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3165" yWindow="45" windowWidth="21615" windowHeight="9735" tabRatio="762"/>
  </bookViews>
  <sheets>
    <sheet name="Stmt net assets" sheetId="10" r:id="rId1"/>
    <sheet name="Stmt of activities-GA rev" sheetId="9" r:id="rId2"/>
    <sheet name="Stmt of activities-GAexp" sheetId="8" r:id="rId3"/>
    <sheet name="Gen Bal" sheetId="7" r:id="rId4"/>
    <sheet name="GV Fund BS" sheetId="3" r:id="rId5"/>
    <sheet name="Gen rev" sheetId="1" r:id="rId6"/>
    <sheet name="Gen exp" sheetId="2" r:id="rId7"/>
    <sheet name="GVFund Rev" sheetId="4" r:id="rId8"/>
    <sheet name="GVFund Exp" sheetId="5" r:id="rId9"/>
    <sheet name="Water" sheetId="6" r:id="rId10"/>
    <sheet name="Sewer" sheetId="14" r:id="rId11"/>
    <sheet name="Electric" sheetId="13" r:id="rId12"/>
    <sheet name="Sanitation" sheetId="15" r:id="rId13"/>
    <sheet name="LT Lia GA" sheetId="12" r:id="rId14"/>
  </sheets>
  <definedNames>
    <definedName name="_xlnm.Print_Area" localSheetId="11">Electric!$A$11:$W$251,Electric!$Y$11:$AY$251,Electric!$BA$13:$BM$251</definedName>
    <definedName name="_xlnm.Print_Area" localSheetId="3">'Gen Bal'!$A$1:$W$272</definedName>
    <definedName name="_xlnm.Print_Area" localSheetId="6">'Gen exp'!$A$1:$AG$272</definedName>
    <definedName name="_xlnm.Print_Area" localSheetId="5">'Gen rev'!$A$1:$W$272</definedName>
    <definedName name="_xlnm.Print_Area" localSheetId="4">'GV Fund BS'!$A$1:$W$272</definedName>
    <definedName name="_xlnm.Print_Area" localSheetId="8">'GVFund Exp'!$A$1:$AL$272</definedName>
    <definedName name="_xlnm.Print_Area" localSheetId="7">'GVFund Rev'!$A$1:$W$273</definedName>
    <definedName name="_xlnm.Print_Area" localSheetId="13">'LT Lia GA'!$A$1:$U$272</definedName>
    <definedName name="_xlnm.Print_Area" localSheetId="12">Sanitation!$A$1:$W$250,Sanitation!$Y$1:$AY$250,Sanitation!$BA$1:$BM$250</definedName>
    <definedName name="_xlnm.Print_Area" localSheetId="10">Sewer!$A$1:$W$266,Sewer!$Y$1:$AY$266,Sewer!$BA$1:$BM$266</definedName>
    <definedName name="_xlnm.Print_Area" localSheetId="0">'Stmt net assets'!$A$1:$AC$272</definedName>
    <definedName name="_xlnm.Print_Area" localSheetId="1">'Stmt of activities-GA rev'!$A$1:$AC$273</definedName>
    <definedName name="_xlnm.Print_Area" localSheetId="2">'Stmt of activities-GAexp'!$A$1:$AA$272</definedName>
    <definedName name="_xlnm.Print_Area" localSheetId="9">Water!$A$1:$W$272,Water!$Z$1:$AZ$272,Water!$BB$1:$BN$272</definedName>
    <definedName name="_xlnm.Print_Titles" localSheetId="11">Electric!$1:$10</definedName>
    <definedName name="_xlnm.Print_Titles" localSheetId="3">'Gen Bal'!$88:$96</definedName>
    <definedName name="_xlnm.Print_Titles" localSheetId="6">'Gen exp'!$88:$96</definedName>
    <definedName name="_xlnm.Print_Titles" localSheetId="5">'Gen rev'!$88:$95</definedName>
    <definedName name="_xlnm.Print_Titles" localSheetId="4">'GV Fund BS'!$88:$96</definedName>
    <definedName name="_xlnm.Print_Titles" localSheetId="8">'GVFund Exp'!$88:$96</definedName>
    <definedName name="_xlnm.Print_Titles" localSheetId="7">'GVFund Rev'!$88:$96</definedName>
    <definedName name="_xlnm.Print_Titles" localSheetId="13">'LT Lia GA'!$88:$96</definedName>
    <definedName name="_xlnm.Print_Titles" localSheetId="10">Sewer!$112:$120</definedName>
    <definedName name="_xlnm.Print_Titles" localSheetId="0">'Stmt net assets'!$88:$96</definedName>
    <definedName name="_xlnm.Print_Titles" localSheetId="1">'Stmt of activities-GA rev'!$88:$96</definedName>
    <definedName name="_xlnm.Print_Titles" localSheetId="2">'Stmt of activities-GAexp'!$88:$96</definedName>
    <definedName name="_xlnm.Print_Titles" localSheetId="9">Water!$116:$126</definedName>
  </definedNames>
  <calcPr calcId="145621"/>
</workbook>
</file>

<file path=xl/calcChain.xml><?xml version="1.0" encoding="utf-8"?>
<calcChain xmlns="http://schemas.openxmlformats.org/spreadsheetml/2006/main">
  <c r="BG24" i="14" l="1"/>
  <c r="BH272" i="6"/>
  <c r="K18" i="9"/>
  <c r="Q229" i="3" l="1"/>
  <c r="W229" i="3" s="1"/>
  <c r="E178" i="3"/>
  <c r="Q178" i="3"/>
  <c r="S178" i="3"/>
  <c r="W125" i="3"/>
  <c r="Q126" i="3"/>
  <c r="S126" i="3"/>
  <c r="W126" i="3" s="1"/>
  <c r="Q62" i="3"/>
  <c r="S62" i="3"/>
  <c r="W62" i="3" s="1"/>
  <c r="W229" i="7"/>
  <c r="E178" i="7"/>
  <c r="W178" i="7"/>
  <c r="W125" i="7"/>
  <c r="S126" i="7"/>
  <c r="W126" i="7" s="1"/>
  <c r="W127" i="7"/>
  <c r="Q243" i="8"/>
  <c r="W243" i="8"/>
  <c r="W187" i="8"/>
  <c r="W133" i="8"/>
  <c r="K66" i="8"/>
  <c r="S66" i="8"/>
  <c r="O210" i="9"/>
  <c r="AA210" i="9" s="1"/>
  <c r="AA148" i="9"/>
  <c r="AC148" i="9"/>
  <c r="K74" i="9"/>
  <c r="M74" i="9"/>
  <c r="G243" i="10"/>
  <c r="E243" i="10" s="1"/>
  <c r="O243" i="10"/>
  <c r="Y243" i="10"/>
  <c r="AC243" i="10" s="1"/>
  <c r="AA243" i="8" s="1"/>
  <c r="G187" i="10"/>
  <c r="E187" i="10" s="1"/>
  <c r="U187" i="10"/>
  <c r="O187" i="10" s="1"/>
  <c r="Y187" i="10"/>
  <c r="AC187" i="10" s="1"/>
  <c r="AA187" i="8" s="1"/>
  <c r="G133" i="10"/>
  <c r="E133" i="10" s="1"/>
  <c r="U133" i="10"/>
  <c r="O133" i="10" s="1"/>
  <c r="Y133" i="10"/>
  <c r="AC133" i="10" s="1"/>
  <c r="AA133" i="8" s="1"/>
  <c r="M66" i="10"/>
  <c r="E66" i="10" s="1"/>
  <c r="U66" i="10"/>
  <c r="O66" i="10" s="1"/>
  <c r="Y66" i="10"/>
  <c r="AC66" i="10" s="1"/>
  <c r="AA66" i="8" s="1"/>
  <c r="W178" i="3" l="1"/>
  <c r="W66" i="8"/>
  <c r="AA74" i="9"/>
  <c r="AC210" i="9"/>
  <c r="AC74" i="9"/>
  <c r="E241" i="12"/>
  <c r="E197" i="12"/>
  <c r="E72" i="12"/>
  <c r="Q241" i="10" l="1"/>
  <c r="Q232" i="10"/>
  <c r="M232" i="12"/>
  <c r="K232" i="12"/>
  <c r="E232" i="12"/>
  <c r="Y232" i="10"/>
  <c r="G232" i="10"/>
  <c r="K204" i="12"/>
  <c r="W204" i="4"/>
  <c r="I182" i="5"/>
  <c r="Q204" i="3"/>
  <c r="E204" i="3"/>
  <c r="E204" i="7"/>
  <c r="O204" i="9"/>
  <c r="K204" i="9"/>
  <c r="Y204" i="10"/>
  <c r="G204" i="10"/>
  <c r="Q198" i="12"/>
  <c r="Q161" i="12"/>
  <c r="Y161" i="10"/>
  <c r="U161" i="10"/>
  <c r="K161" i="9"/>
  <c r="Q97" i="3"/>
  <c r="E97" i="3"/>
  <c r="Y97" i="10"/>
  <c r="U97" i="10"/>
  <c r="K86" i="9"/>
  <c r="Y86" i="10"/>
  <c r="G86" i="10"/>
  <c r="S85" i="3"/>
  <c r="Q85" i="3"/>
  <c r="E85" i="3"/>
  <c r="W85" i="4"/>
  <c r="AP85" i="5"/>
  <c r="BK63" i="15"/>
  <c r="AE63" i="15"/>
  <c r="BK63" i="13"/>
  <c r="AE63" i="13"/>
  <c r="O63" i="13"/>
  <c r="I63" i="13"/>
  <c r="BK64" i="14"/>
  <c r="BE64" i="14"/>
  <c r="AE64" i="14"/>
  <c r="O64" i="14"/>
  <c r="I64" i="14"/>
  <c r="AF67" i="6"/>
  <c r="BL67" i="6"/>
  <c r="BF67" i="6"/>
  <c r="O67" i="6"/>
  <c r="I67" i="6"/>
  <c r="AP65" i="5"/>
  <c r="Q65" i="4"/>
  <c r="M65" i="4"/>
  <c r="AK65" i="2"/>
  <c r="Q65" i="1"/>
  <c r="M65" i="1"/>
  <c r="S65" i="3"/>
  <c r="Q65" i="3"/>
  <c r="E65" i="3"/>
  <c r="Q65" i="7"/>
  <c r="M65" i="9"/>
  <c r="K65" i="9"/>
  <c r="Y65" i="10"/>
  <c r="Q65" i="10"/>
  <c r="G65" i="10"/>
  <c r="I59" i="12"/>
  <c r="E59" i="12"/>
  <c r="K46" i="12"/>
  <c r="E46" i="12"/>
  <c r="S46" i="12" s="1"/>
  <c r="AE46" i="15"/>
  <c r="AE45" i="14"/>
  <c r="AF48" i="6"/>
  <c r="O46" i="15"/>
  <c r="I46" i="15"/>
  <c r="BE45" i="14"/>
  <c r="O45" i="14"/>
  <c r="I45" i="14"/>
  <c r="BF48" i="6"/>
  <c r="O48" i="6"/>
  <c r="I48" i="6"/>
  <c r="AL46" i="5"/>
  <c r="W46" i="4"/>
  <c r="Q46" i="4"/>
  <c r="Q46" i="1"/>
  <c r="Q46" i="3"/>
  <c r="Q46" i="7"/>
  <c r="U46" i="9"/>
  <c r="Y46" i="10"/>
  <c r="K24" i="9"/>
  <c r="Y24" i="10"/>
  <c r="G24" i="10"/>
  <c r="Y18" i="10"/>
  <c r="U18" i="10"/>
  <c r="M18" i="10"/>
  <c r="G18" i="10"/>
  <c r="Q18" i="12"/>
  <c r="K18" i="12"/>
  <c r="S18" i="3"/>
  <c r="Q18" i="3"/>
  <c r="AL18" i="5"/>
  <c r="W18" i="4"/>
  <c r="Q18" i="4"/>
  <c r="Q14" i="8"/>
  <c r="E14" i="8"/>
  <c r="M14" i="9"/>
  <c r="K14" i="9"/>
  <c r="K13" i="9"/>
  <c r="M13" i="9"/>
  <c r="Y14" i="10"/>
  <c r="U14" i="10"/>
  <c r="G14" i="10"/>
  <c r="Q10" i="12"/>
  <c r="K10" i="12"/>
  <c r="S10" i="12" s="1"/>
  <c r="AE250" i="15" l="1"/>
  <c r="BK250" i="15"/>
  <c r="BI266" i="14"/>
  <c r="AE266" i="14"/>
  <c r="BL272" i="6"/>
  <c r="AF272" i="6"/>
  <c r="G272" i="5"/>
  <c r="E272" i="5"/>
  <c r="W272" i="4"/>
  <c r="I272" i="4"/>
  <c r="E272" i="2"/>
  <c r="S272" i="3"/>
  <c r="Q272" i="3"/>
  <c r="E272" i="3"/>
  <c r="E272" i="7"/>
  <c r="Q272" i="8"/>
  <c r="E272" i="8"/>
  <c r="M272" i="9"/>
  <c r="U272" i="9"/>
  <c r="O272" i="9"/>
  <c r="K272" i="9"/>
  <c r="Y272" i="10"/>
  <c r="U272" i="10"/>
  <c r="G272" i="10"/>
  <c r="K271" i="12"/>
  <c r="Q271" i="12"/>
  <c r="E271" i="12"/>
  <c r="AE265" i="14"/>
  <c r="BK265" i="14"/>
  <c r="BI265" i="14"/>
  <c r="BL271" i="6"/>
  <c r="BJ271" i="6"/>
  <c r="AF271" i="6"/>
  <c r="AJ271" i="6" s="1"/>
  <c r="W271" i="4"/>
  <c r="Q271" i="4"/>
  <c r="I271" i="4"/>
  <c r="W270" i="1"/>
  <c r="Q270" i="1"/>
  <c r="I270" i="1"/>
  <c r="Q271" i="3"/>
  <c r="S271" i="3"/>
  <c r="M271" i="9"/>
  <c r="K271" i="9"/>
  <c r="Y271" i="10"/>
  <c r="G271" i="10"/>
  <c r="E270" i="12"/>
  <c r="AK249" i="15"/>
  <c r="AE249" i="15"/>
  <c r="AK264" i="14"/>
  <c r="AE264" i="14"/>
  <c r="AL270" i="6"/>
  <c r="AF270" i="6"/>
  <c r="BK249" i="15"/>
  <c r="BE249" i="15"/>
  <c r="BK264" i="14"/>
  <c r="BI264" i="14"/>
  <c r="BE264" i="14"/>
  <c r="BL270" i="6"/>
  <c r="BF270" i="6"/>
  <c r="I270" i="5"/>
  <c r="M270" i="4"/>
  <c r="I270" i="2"/>
  <c r="S270" i="3"/>
  <c r="Q270" i="3"/>
  <c r="E270" i="3"/>
  <c r="Q270" i="7"/>
  <c r="E270" i="7"/>
  <c r="K270" i="8"/>
  <c r="O270" i="9"/>
  <c r="Y270" i="10"/>
  <c r="G270" i="10"/>
  <c r="AF269" i="6"/>
  <c r="BL269" i="6"/>
  <c r="BF269" i="6"/>
  <c r="AL269" i="5"/>
  <c r="W269" i="4"/>
  <c r="S269" i="3"/>
  <c r="Q269" i="3"/>
  <c r="E269" i="3"/>
  <c r="Y269" i="10"/>
  <c r="G269" i="10"/>
  <c r="AL268" i="5"/>
  <c r="W268" i="4"/>
  <c r="Q268" i="4"/>
  <c r="AG268" i="2"/>
  <c r="Q267" i="1"/>
  <c r="S268" i="3"/>
  <c r="Q268" i="3"/>
  <c r="E268" i="3"/>
  <c r="S268" i="7"/>
  <c r="K268" i="9"/>
  <c r="Y268" i="10"/>
  <c r="U268" i="10"/>
  <c r="M268" i="10"/>
  <c r="G268" i="10"/>
  <c r="AE261" i="14"/>
  <c r="AF267" i="6"/>
  <c r="BK261" i="14"/>
  <c r="BE261" i="14"/>
  <c r="BL267" i="6"/>
  <c r="BF267" i="6"/>
  <c r="S267" i="3"/>
  <c r="Q267" i="3"/>
  <c r="S267" i="8"/>
  <c r="Q267" i="8"/>
  <c r="M267" i="8"/>
  <c r="K267" i="8"/>
  <c r="I267" i="8"/>
  <c r="E267" i="8"/>
  <c r="O267" i="9" l="1"/>
  <c r="Y267" i="10"/>
  <c r="AE245" i="15"/>
  <c r="AE260" i="14"/>
  <c r="AF266" i="6"/>
  <c r="BK245" i="15"/>
  <c r="BK260" i="14"/>
  <c r="BL266" i="6"/>
  <c r="BH266" i="6"/>
  <c r="W266" i="4"/>
  <c r="Q266" i="4"/>
  <c r="Q265" i="1"/>
  <c r="Q266" i="3"/>
  <c r="S266" i="3"/>
  <c r="S266" i="7"/>
  <c r="U266" i="9"/>
  <c r="K266" i="9"/>
  <c r="Y266" i="10"/>
  <c r="G266" i="10"/>
  <c r="I265" i="12"/>
  <c r="AE259" i="14"/>
  <c r="BK259" i="14"/>
  <c r="BI259" i="14"/>
  <c r="W265" i="4"/>
  <c r="Q265" i="4"/>
  <c r="Q264" i="1"/>
  <c r="S265" i="3"/>
  <c r="Q265" i="3"/>
  <c r="S265" i="7"/>
  <c r="U265" i="9"/>
  <c r="Y265" i="10"/>
  <c r="G265" i="10"/>
  <c r="K264" i="12"/>
  <c r="BI258" i="14"/>
  <c r="AE258" i="14"/>
  <c r="G264" i="5"/>
  <c r="W264" i="4"/>
  <c r="Q264" i="4"/>
  <c r="I264" i="4"/>
  <c r="Q263" i="1"/>
  <c r="I263" i="1"/>
  <c r="S264" i="3"/>
  <c r="Q264" i="3"/>
  <c r="E264" i="3"/>
  <c r="S264" i="7"/>
  <c r="E264" i="7"/>
  <c r="E264" i="8"/>
  <c r="U264" i="9"/>
  <c r="O264" i="9"/>
  <c r="M264" i="9"/>
  <c r="K264" i="9"/>
  <c r="Y264" i="10"/>
  <c r="U264" i="10"/>
  <c r="G264" i="10"/>
  <c r="Q263" i="12"/>
  <c r="K263" i="12"/>
  <c r="E263" i="12"/>
  <c r="AE257" i="14"/>
  <c r="BK257" i="14"/>
  <c r="BE257" i="14"/>
  <c r="AL263" i="5"/>
  <c r="W263" i="4"/>
  <c r="Q263" i="4"/>
  <c r="Q262" i="1"/>
  <c r="S263" i="3"/>
  <c r="Q263" i="3"/>
  <c r="O263" i="9"/>
  <c r="K263" i="9"/>
  <c r="Y263" i="10"/>
  <c r="U263" i="10"/>
  <c r="M263" i="10"/>
  <c r="G263" i="10"/>
  <c r="BK256" i="14"/>
  <c r="BI256" i="14"/>
  <c r="AE256" i="14"/>
  <c r="BL262" i="6"/>
  <c r="BJ262" i="6"/>
  <c r="AF262" i="6"/>
  <c r="W262" i="4"/>
  <c r="Q262" i="4"/>
  <c r="Q261" i="1"/>
  <c r="S262" i="3"/>
  <c r="Q262" i="3"/>
  <c r="E262" i="3"/>
  <c r="M262" i="9"/>
  <c r="K262" i="9"/>
  <c r="Y262" i="10"/>
  <c r="AE255" i="14"/>
  <c r="W261" i="4"/>
  <c r="Q261" i="4"/>
  <c r="I261" i="4"/>
  <c r="Q260" i="1"/>
  <c r="I260" i="1"/>
  <c r="Q261" i="3"/>
  <c r="E261" i="3"/>
  <c r="Y261" i="10"/>
  <c r="U261" i="10"/>
  <c r="G261" i="10"/>
  <c r="E260" i="12"/>
  <c r="I260" i="5"/>
  <c r="W260" i="4"/>
  <c r="Q260" i="4"/>
  <c r="Q259" i="1"/>
  <c r="S260" i="3"/>
  <c r="Q260" i="3"/>
  <c r="E260" i="3"/>
  <c r="S260" i="7"/>
  <c r="K260" i="8"/>
  <c r="O260" i="9"/>
  <c r="Y260" i="10"/>
  <c r="U260" i="10"/>
  <c r="M260" i="10"/>
  <c r="G260" i="10"/>
  <c r="AE254" i="14"/>
  <c r="W259" i="4"/>
  <c r="Q259" i="4"/>
  <c r="I259" i="4"/>
  <c r="W258" i="1"/>
  <c r="Q258" i="1"/>
  <c r="I258" i="1"/>
  <c r="S259" i="3"/>
  <c r="Q259" i="3"/>
  <c r="E259" i="3"/>
  <c r="S259" i="7"/>
  <c r="Q259" i="7"/>
  <c r="E259" i="7"/>
  <c r="U259" i="9"/>
  <c r="O259" i="9"/>
  <c r="M259" i="9"/>
  <c r="K259" i="9"/>
  <c r="Y259" i="10"/>
  <c r="U259" i="10"/>
  <c r="M259" i="10"/>
  <c r="G259" i="10"/>
  <c r="AE237" i="13"/>
  <c r="AQ253" i="14"/>
  <c r="AE253" i="14"/>
  <c r="AR258" i="6"/>
  <c r="AF258" i="6"/>
  <c r="BK237" i="13"/>
  <c r="BE237" i="13"/>
  <c r="BK253" i="14"/>
  <c r="BE253" i="14"/>
  <c r="BL258" i="6"/>
  <c r="BJ258" i="6"/>
  <c r="BF258" i="6"/>
  <c r="AL258" i="5"/>
  <c r="W258" i="4"/>
  <c r="Q258" i="4"/>
  <c r="I258" i="4"/>
  <c r="W257" i="1"/>
  <c r="Q257" i="1"/>
  <c r="S258" i="3"/>
  <c r="Q258" i="3"/>
  <c r="E258" i="3"/>
  <c r="O258" i="9"/>
  <c r="M258" i="9"/>
  <c r="K258" i="9"/>
  <c r="Y258" i="10"/>
  <c r="U258" i="10"/>
  <c r="M258" i="10"/>
  <c r="G258" i="10"/>
  <c r="K257" i="12"/>
  <c r="AE236" i="15"/>
  <c r="BK236" i="15"/>
  <c r="AE252" i="14"/>
  <c r="BK252" i="14"/>
  <c r="BI252" i="14"/>
  <c r="M252" i="14"/>
  <c r="G252" i="14"/>
  <c r="AF257" i="6"/>
  <c r="BL257" i="6"/>
  <c r="BJ257" i="6"/>
  <c r="M257" i="6"/>
  <c r="G257" i="6"/>
  <c r="W257" i="4"/>
  <c r="Q257" i="4"/>
  <c r="Q256" i="1"/>
  <c r="Q257" i="3"/>
  <c r="K257" i="9"/>
  <c r="Y257" i="10"/>
  <c r="G257" i="10"/>
  <c r="W265" i="3" l="1"/>
  <c r="BK235" i="15"/>
  <c r="BK251" i="14"/>
  <c r="BI251" i="14"/>
  <c r="BG251" i="14"/>
  <c r="BE251" i="14"/>
  <c r="AE251" i="14"/>
  <c r="BL256" i="6"/>
  <c r="BJ256" i="6"/>
  <c r="AF256" i="6"/>
  <c r="G256" i="6"/>
  <c r="Q256" i="4"/>
  <c r="Q255" i="1"/>
  <c r="Q256" i="3"/>
  <c r="E256" i="3"/>
  <c r="K256" i="9"/>
  <c r="Y256" i="10"/>
  <c r="U256" i="10"/>
  <c r="G256" i="10"/>
  <c r="BK249" i="14"/>
  <c r="AE249" i="14"/>
  <c r="BL254" i="6"/>
  <c r="BJ254" i="6"/>
  <c r="AF254" i="6"/>
  <c r="AL254" i="5"/>
  <c r="W254" i="4"/>
  <c r="Q254" i="4"/>
  <c r="Q253" i="1"/>
  <c r="S254" i="3"/>
  <c r="Q254" i="3"/>
  <c r="E254" i="3"/>
  <c r="E254" i="7"/>
  <c r="U254" i="10"/>
  <c r="G254" i="10"/>
  <c r="S161" i="12"/>
  <c r="U130" i="12"/>
  <c r="S130" i="12"/>
  <c r="S25" i="3" l="1"/>
  <c r="Q25" i="3"/>
  <c r="E25" i="3"/>
  <c r="AC24" i="9"/>
  <c r="U25" i="3" l="1"/>
  <c r="Y28" i="10"/>
  <c r="AE248" i="14"/>
  <c r="BK248" i="14"/>
  <c r="BI248" i="14"/>
  <c r="BL253" i="6"/>
  <c r="BJ253" i="6"/>
  <c r="AF253" i="6"/>
  <c r="AL253" i="5"/>
  <c r="G253" i="5"/>
  <c r="W253" i="4"/>
  <c r="Q253" i="4"/>
  <c r="I253" i="4"/>
  <c r="G253" i="2"/>
  <c r="Q252" i="1"/>
  <c r="Q253" i="3"/>
  <c r="E253" i="8"/>
  <c r="O253" i="9"/>
  <c r="K253" i="9"/>
  <c r="Y253" i="10"/>
  <c r="U253" i="10"/>
  <c r="G253" i="10"/>
  <c r="E252" i="12"/>
  <c r="BK247" i="14"/>
  <c r="BI247" i="14"/>
  <c r="AE247" i="14"/>
  <c r="BL252" i="6"/>
  <c r="BJ252" i="6"/>
  <c r="BH252" i="6"/>
  <c r="AF252" i="6"/>
  <c r="S252" i="3"/>
  <c r="Q252" i="3"/>
  <c r="W252" i="3" s="1"/>
  <c r="E252" i="3"/>
  <c r="E251" i="3"/>
  <c r="E252" i="7"/>
  <c r="Q251" i="3"/>
  <c r="Q250" i="1"/>
  <c r="W250" i="1"/>
  <c r="Q252" i="9"/>
  <c r="Y252" i="10"/>
  <c r="G252" i="10"/>
  <c r="K251" i="9"/>
  <c r="Y251" i="10" l="1"/>
  <c r="G251" i="10"/>
  <c r="K250" i="12"/>
  <c r="Q250" i="12"/>
  <c r="I250" i="12"/>
  <c r="E250" i="12"/>
  <c r="AE230" i="15"/>
  <c r="AE245" i="14"/>
  <c r="AF250" i="6"/>
  <c r="BK230" i="15"/>
  <c r="BK245" i="14"/>
  <c r="BI245" i="14"/>
  <c r="BE245" i="14"/>
  <c r="BL250" i="6"/>
  <c r="BJ250" i="6"/>
  <c r="BF250" i="6"/>
  <c r="I250" i="5"/>
  <c r="AL250" i="5"/>
  <c r="W250" i="4"/>
  <c r="Q250" i="4"/>
  <c r="W249" i="1"/>
  <c r="Q249" i="1"/>
  <c r="Q250" i="3"/>
  <c r="E250" i="3"/>
  <c r="Q250" i="7"/>
  <c r="E250" i="7"/>
  <c r="K250" i="8"/>
  <c r="K250" i="9"/>
  <c r="Y250" i="10"/>
  <c r="U250" i="10"/>
  <c r="M250" i="10"/>
  <c r="K249" i="12"/>
  <c r="AE229" i="15"/>
  <c r="AI229" i="15" s="1"/>
  <c r="AE229" i="13"/>
  <c r="AE244" i="14"/>
  <c r="AF249" i="6"/>
  <c r="BK229" i="15"/>
  <c r="BI229" i="15"/>
  <c r="BK229" i="13"/>
  <c r="O229" i="13"/>
  <c r="I229" i="13"/>
  <c r="BK244" i="14"/>
  <c r="BI244" i="14"/>
  <c r="BG244" i="14"/>
  <c r="S244" i="14"/>
  <c r="BL249" i="6"/>
  <c r="BJ249" i="6"/>
  <c r="G249" i="5"/>
  <c r="Q249" i="4"/>
  <c r="G249" i="2"/>
  <c r="Q248" i="1"/>
  <c r="Q249" i="3"/>
  <c r="Q249" i="7"/>
  <c r="E249" i="8"/>
  <c r="U249" i="9"/>
  <c r="O249" i="9"/>
  <c r="K249" i="9"/>
  <c r="Y249" i="10"/>
  <c r="U249" i="10"/>
  <c r="G249" i="10"/>
  <c r="Q248" i="12"/>
  <c r="E248" i="12"/>
  <c r="AE228" i="15"/>
  <c r="AQ228" i="13"/>
  <c r="AE228" i="13"/>
  <c r="AE243" i="14"/>
  <c r="AF248" i="6"/>
  <c r="BK228" i="15"/>
  <c r="BK228" i="13"/>
  <c r="BI228" i="13"/>
  <c r="BE228" i="13"/>
  <c r="O228" i="13"/>
  <c r="I228" i="13"/>
  <c r="BK243" i="14"/>
  <c r="BI243" i="14"/>
  <c r="BL248" i="6"/>
  <c r="BF248" i="6"/>
  <c r="W248" i="4"/>
  <c r="Q248" i="4"/>
  <c r="W247" i="1"/>
  <c r="Q247" i="1"/>
  <c r="S248" i="3"/>
  <c r="Q248" i="3"/>
  <c r="E248" i="7"/>
  <c r="E248" i="3"/>
  <c r="S248" i="7"/>
  <c r="Q248" i="7"/>
  <c r="K248" i="9"/>
  <c r="Y248" i="10"/>
  <c r="G248" i="10"/>
  <c r="BL247" i="6"/>
  <c r="BF247" i="6"/>
  <c r="AF247" i="6"/>
  <c r="Q247" i="4"/>
  <c r="Q246" i="1"/>
  <c r="S247" i="3"/>
  <c r="Q247" i="3"/>
  <c r="Y247" i="10"/>
  <c r="U247" i="10"/>
  <c r="G247" i="10"/>
  <c r="Q246" i="12" l="1"/>
  <c r="BK241" i="14"/>
  <c r="BI241" i="14"/>
  <c r="BE241" i="14"/>
  <c r="BL246" i="6"/>
  <c r="BJ246" i="6"/>
  <c r="BF246" i="6"/>
  <c r="AL246" i="5"/>
  <c r="G246" i="5"/>
  <c r="W246" i="4"/>
  <c r="Q246" i="4"/>
  <c r="Q245" i="1"/>
  <c r="S246" i="3"/>
  <c r="Q246" i="3"/>
  <c r="E246" i="3"/>
  <c r="E246" i="8"/>
  <c r="U246" i="9"/>
  <c r="K246" i="9"/>
  <c r="Y246" i="10"/>
  <c r="G246" i="10"/>
  <c r="AE240" i="14"/>
  <c r="AF245" i="6"/>
  <c r="BK240" i="14"/>
  <c r="BL245" i="6"/>
  <c r="M245" i="5"/>
  <c r="G245" i="5"/>
  <c r="E245" i="5"/>
  <c r="W245" i="4"/>
  <c r="Q245" i="4"/>
  <c r="M245" i="2"/>
  <c r="G245" i="2"/>
  <c r="E245" i="2"/>
  <c r="Q244" i="1"/>
  <c r="S245" i="3"/>
  <c r="Q245" i="3"/>
  <c r="S245" i="7"/>
  <c r="Q245" i="8"/>
  <c r="M245" i="8"/>
  <c r="E245" i="8"/>
  <c r="U245" i="9"/>
  <c r="Y245" i="10"/>
  <c r="U245" i="10"/>
  <c r="G245" i="10"/>
  <c r="Q244" i="12"/>
  <c r="AE239" i="14"/>
  <c r="AF244" i="6"/>
  <c r="BK239" i="14"/>
  <c r="BI239" i="14"/>
  <c r="BE239" i="14"/>
  <c r="BL244" i="6"/>
  <c r="BJ244" i="6"/>
  <c r="BF244" i="6"/>
  <c r="W244" i="4"/>
  <c r="S244" i="3"/>
  <c r="Q244" i="3"/>
  <c r="S244" i="7"/>
  <c r="Q244" i="7"/>
  <c r="Y244" i="10"/>
  <c r="U244" i="10"/>
  <c r="G244" i="10"/>
  <c r="K243" i="12"/>
  <c r="AE223" i="15"/>
  <c r="AE238" i="14"/>
  <c r="AI238" i="14" s="1"/>
  <c r="AF243" i="6"/>
  <c r="BK223" i="15"/>
  <c r="O224" i="15"/>
  <c r="O225" i="15"/>
  <c r="O226" i="15"/>
  <c r="O227" i="15"/>
  <c r="O228" i="15"/>
  <c r="O229" i="15"/>
  <c r="O230" i="15"/>
  <c r="O231" i="15"/>
  <c r="O232" i="15"/>
  <c r="O233" i="15"/>
  <c r="O234" i="15"/>
  <c r="O235" i="15"/>
  <c r="O236" i="15"/>
  <c r="O237" i="15"/>
  <c r="O238" i="15"/>
  <c r="O239" i="15"/>
  <c r="O240" i="15"/>
  <c r="O241" i="15"/>
  <c r="O242" i="15"/>
  <c r="O243" i="15"/>
  <c r="O244" i="15"/>
  <c r="O245" i="15"/>
  <c r="O246" i="15"/>
  <c r="O247" i="15"/>
  <c r="O248" i="15"/>
  <c r="O249" i="15"/>
  <c r="O250" i="15"/>
  <c r="O223" i="15"/>
  <c r="I224" i="15"/>
  <c r="I225" i="15"/>
  <c r="I226" i="15"/>
  <c r="I227" i="15"/>
  <c r="I228" i="15"/>
  <c r="I229" i="15"/>
  <c r="I230" i="15"/>
  <c r="I231" i="15"/>
  <c r="I232" i="15"/>
  <c r="I233" i="15"/>
  <c r="I234" i="15"/>
  <c r="I235" i="15"/>
  <c r="I236" i="15"/>
  <c r="I237" i="15"/>
  <c r="I238" i="15"/>
  <c r="I239" i="15"/>
  <c r="I240" i="15"/>
  <c r="I241" i="15"/>
  <c r="I242" i="15"/>
  <c r="I243" i="15"/>
  <c r="I244" i="15"/>
  <c r="I245" i="15"/>
  <c r="I246" i="15"/>
  <c r="I247" i="15"/>
  <c r="I248" i="15"/>
  <c r="I249" i="15"/>
  <c r="I250" i="15"/>
  <c r="I223" i="15"/>
  <c r="BK238" i="14"/>
  <c r="BI238" i="14"/>
  <c r="BL243" i="6"/>
  <c r="BJ243" i="6"/>
  <c r="E243" i="5"/>
  <c r="W243" i="4"/>
  <c r="Q243" i="4"/>
  <c r="E243" i="2"/>
  <c r="Q242" i="1"/>
  <c r="Q243" i="3"/>
  <c r="AE237" i="14"/>
  <c r="AF242" i="6"/>
  <c r="O222" i="15"/>
  <c r="I222" i="15"/>
  <c r="BK237" i="14"/>
  <c r="BI237" i="14"/>
  <c r="BL242" i="6"/>
  <c r="BJ242" i="6"/>
  <c r="W241" i="4"/>
  <c r="Q241" i="4"/>
  <c r="I241" i="4"/>
  <c r="Q240" i="1"/>
  <c r="Q241" i="3"/>
  <c r="Q241" i="7"/>
  <c r="Y241" i="10"/>
  <c r="AC241" i="10" s="1"/>
  <c r="U241" i="10"/>
  <c r="M241" i="10"/>
  <c r="G241" i="10"/>
  <c r="K240" i="12"/>
  <c r="I240" i="12"/>
  <c r="W240" i="4"/>
  <c r="I240" i="4"/>
  <c r="S240" i="3"/>
  <c r="Q240" i="3"/>
  <c r="S240" i="7"/>
  <c r="O240" i="9"/>
  <c r="K240" i="9"/>
  <c r="Y240" i="10"/>
  <c r="U240" i="10"/>
  <c r="G240" i="10"/>
  <c r="AE235" i="14"/>
  <c r="BK235" i="14"/>
  <c r="BI235" i="14"/>
  <c r="AF240" i="6"/>
  <c r="BL240" i="6"/>
  <c r="BJ240" i="6"/>
  <c r="BF240" i="6"/>
  <c r="W239" i="4"/>
  <c r="S239" i="3"/>
  <c r="Q239" i="3"/>
  <c r="Q239" i="7"/>
  <c r="Y239" i="10"/>
  <c r="G239" i="10"/>
  <c r="K238" i="12" l="1"/>
  <c r="W238" i="4"/>
  <c r="Q238" i="4"/>
  <c r="Q237" i="1"/>
  <c r="S238" i="3"/>
  <c r="Q238" i="3"/>
  <c r="K238" i="9"/>
  <c r="M238" i="9"/>
  <c r="Y238" i="10"/>
  <c r="G238" i="10"/>
  <c r="AE232" i="14"/>
  <c r="BK232" i="14"/>
  <c r="BE232" i="14"/>
  <c r="AF237" i="6"/>
  <c r="BL237" i="6"/>
  <c r="BF237" i="6"/>
  <c r="AL236" i="5"/>
  <c r="W236" i="4"/>
  <c r="K236" i="9"/>
  <c r="U236" i="9"/>
  <c r="Y236" i="10"/>
  <c r="G236" i="10"/>
  <c r="E235" i="12" l="1"/>
  <c r="AE216" i="15"/>
  <c r="AE231" i="14"/>
  <c r="AF236" i="6"/>
  <c r="BK216" i="15"/>
  <c r="O216" i="15"/>
  <c r="I216" i="15"/>
  <c r="BK231" i="14"/>
  <c r="G231" i="14"/>
  <c r="BL236" i="6"/>
  <c r="G236" i="6"/>
  <c r="W235" i="4"/>
  <c r="W234" i="1"/>
  <c r="E235" i="3"/>
  <c r="E235" i="7"/>
  <c r="K235" i="9"/>
  <c r="Y235" i="10"/>
  <c r="G235" i="10"/>
  <c r="E234" i="12"/>
  <c r="AE215" i="15"/>
  <c r="AE230" i="14"/>
  <c r="AF234" i="6"/>
  <c r="BK215" i="15"/>
  <c r="O215" i="15"/>
  <c r="I215" i="15"/>
  <c r="BK230" i="14"/>
  <c r="BI230" i="14"/>
  <c r="BL234" i="6"/>
  <c r="BH234" i="6"/>
  <c r="Q234" i="4"/>
  <c r="Q233" i="1"/>
  <c r="S234" i="3"/>
  <c r="Q234" i="3"/>
  <c r="S234" i="7"/>
  <c r="O234" i="9"/>
  <c r="Y234" i="10"/>
  <c r="G234" i="10"/>
  <c r="K233" i="12"/>
  <c r="BK214" i="15"/>
  <c r="AE214" i="15"/>
  <c r="O214" i="15"/>
  <c r="I214" i="15"/>
  <c r="BI229" i="14"/>
  <c r="AE229" i="14"/>
  <c r="BL233" i="6"/>
  <c r="BJ233" i="6"/>
  <c r="AF233" i="6"/>
  <c r="Q233" i="4"/>
  <c r="Q232" i="1"/>
  <c r="S233" i="3"/>
  <c r="Q233" i="3"/>
  <c r="S233" i="7"/>
  <c r="K233" i="9"/>
  <c r="Y233" i="10"/>
  <c r="G233" i="10"/>
  <c r="AE227" i="14"/>
  <c r="AF232" i="6"/>
  <c r="BK227" i="14"/>
  <c r="BL232" i="6"/>
  <c r="BF232" i="6"/>
  <c r="W232" i="4"/>
  <c r="Q232" i="4"/>
  <c r="W231" i="1"/>
  <c r="Q231" i="1"/>
  <c r="Q232" i="3"/>
  <c r="E232" i="3"/>
  <c r="Q232" i="7"/>
  <c r="E232" i="7"/>
  <c r="AE226" i="14" l="1"/>
  <c r="AF231" i="6"/>
  <c r="AE212" i="13"/>
  <c r="O212" i="15"/>
  <c r="I212" i="15"/>
  <c r="BK212" i="13"/>
  <c r="BE212" i="13"/>
  <c r="O212" i="13"/>
  <c r="I212" i="13"/>
  <c r="BK226" i="14"/>
  <c r="BE226" i="14"/>
  <c r="BL231" i="6"/>
  <c r="BJ231" i="6"/>
  <c r="Q231" i="4"/>
  <c r="Q230" i="1"/>
  <c r="S231" i="3"/>
  <c r="Q231" i="3"/>
  <c r="E231" i="3"/>
  <c r="E231" i="7"/>
  <c r="Y231" i="10"/>
  <c r="U231" i="10"/>
  <c r="G231" i="10"/>
  <c r="E230" i="12"/>
  <c r="AE225" i="14"/>
  <c r="BK225" i="14"/>
  <c r="BE225" i="14"/>
  <c r="I230" i="5"/>
  <c r="W230" i="4"/>
  <c r="Q230" i="4"/>
  <c r="Q229" i="1"/>
  <c r="Q230" i="3"/>
  <c r="K230" i="8"/>
  <c r="U230" i="9"/>
  <c r="K230" i="9"/>
  <c r="Y230" i="10"/>
  <c r="G230" i="10"/>
  <c r="E229" i="12"/>
  <c r="AE224" i="14"/>
  <c r="AF229" i="6"/>
  <c r="BK224" i="14"/>
  <c r="BL229" i="6"/>
  <c r="BJ229" i="6"/>
  <c r="G229" i="5"/>
  <c r="W229" i="4"/>
  <c r="G229" i="2"/>
  <c r="E229" i="8"/>
  <c r="K229" i="9"/>
  <c r="Y229" i="10"/>
  <c r="G229" i="10"/>
  <c r="AE223" i="14"/>
  <c r="AF228" i="6"/>
  <c r="BF228" i="6"/>
  <c r="AL228" i="5"/>
  <c r="W228" i="4"/>
  <c r="Q228" i="4"/>
  <c r="Q227" i="1"/>
  <c r="S228" i="3"/>
  <c r="Q228" i="3"/>
  <c r="E228" i="3"/>
  <c r="E228" i="7"/>
  <c r="Y228" i="10"/>
  <c r="U228" i="10"/>
  <c r="M228" i="10"/>
  <c r="G228" i="10"/>
  <c r="S227" i="12"/>
  <c r="W227" i="12" s="1"/>
  <c r="BM222" i="14"/>
  <c r="AY222" i="14"/>
  <c r="AI222" i="14"/>
  <c r="AS222" i="14" s="1"/>
  <c r="W222" i="14"/>
  <c r="O222" i="14"/>
  <c r="I222" i="14"/>
  <c r="AL227" i="5"/>
  <c r="AH227" i="5"/>
  <c r="W227" i="4"/>
  <c r="S227" i="4"/>
  <c r="AG227" i="2"/>
  <c r="AC227" i="2"/>
  <c r="W226" i="1"/>
  <c r="S226" i="1"/>
  <c r="S227" i="3"/>
  <c r="Q227" i="3"/>
  <c r="S227" i="7"/>
  <c r="W227" i="7" s="1"/>
  <c r="W227" i="8"/>
  <c r="K227" i="9"/>
  <c r="AA227" i="9" s="1"/>
  <c r="Y227" i="10"/>
  <c r="AC227" i="10" s="1"/>
  <c r="E226" i="12"/>
  <c r="AQ221" i="14"/>
  <c r="AE221" i="14"/>
  <c r="BK221" i="14"/>
  <c r="BI221" i="14"/>
  <c r="BE221" i="14"/>
  <c r="W226" i="4"/>
  <c r="Q226" i="4"/>
  <c r="I226" i="4"/>
  <c r="Q225" i="1"/>
  <c r="S226" i="3"/>
  <c r="Q226" i="3"/>
  <c r="S226" i="7"/>
  <c r="U226" i="9"/>
  <c r="O226" i="9"/>
  <c r="M226" i="9"/>
  <c r="K226" i="9"/>
  <c r="Y226" i="10"/>
  <c r="U226" i="10"/>
  <c r="M226" i="10"/>
  <c r="G226" i="10"/>
  <c r="Q225" i="12"/>
  <c r="AF226" i="6"/>
  <c r="BL226" i="6"/>
  <c r="BJ226" i="6"/>
  <c r="AL225" i="5"/>
  <c r="AB225" i="5"/>
  <c r="W225" i="4"/>
  <c r="Q225" i="4"/>
  <c r="Q224" i="1"/>
  <c r="S225" i="3"/>
  <c r="Q225" i="3"/>
  <c r="S225" i="7"/>
  <c r="M225" i="9"/>
  <c r="K225" i="9"/>
  <c r="Y225" i="10"/>
  <c r="U225" i="10"/>
  <c r="M225" i="10"/>
  <c r="G225" i="10"/>
  <c r="AF225" i="6"/>
  <c r="BL225" i="6"/>
  <c r="BJ225" i="6"/>
  <c r="BF225" i="6"/>
  <c r="AL224" i="5"/>
  <c r="W224" i="4"/>
  <c r="Q224" i="4"/>
  <c r="Q223" i="1"/>
  <c r="S224" i="3"/>
  <c r="Q224" i="3"/>
  <c r="S224" i="7"/>
  <c r="K224" i="9"/>
  <c r="Y224" i="10"/>
  <c r="E223" i="12"/>
  <c r="AE205" i="15"/>
  <c r="AE218" i="14"/>
  <c r="AF224" i="6"/>
  <c r="BK205" i="15"/>
  <c r="BG205" i="15"/>
  <c r="O205" i="15"/>
  <c r="I205" i="15"/>
  <c r="BK218" i="14"/>
  <c r="BI218" i="14"/>
  <c r="BE218" i="14"/>
  <c r="BL224" i="6"/>
  <c r="BJ224" i="6"/>
  <c r="BF224" i="6"/>
  <c r="W223" i="4"/>
  <c r="Q223" i="4"/>
  <c r="W222" i="1"/>
  <c r="Q222" i="1"/>
  <c r="Q223" i="3"/>
  <c r="M223" i="9"/>
  <c r="K223" i="9"/>
  <c r="Y223" i="10"/>
  <c r="U223" i="10"/>
  <c r="G223" i="10"/>
  <c r="W227" i="3" l="1"/>
  <c r="Y227" i="3" s="1"/>
  <c r="AM227" i="2"/>
  <c r="AC227" i="9"/>
  <c r="AF227" i="10"/>
  <c r="AA227" i="8"/>
  <c r="Z227" i="7"/>
  <c r="Y227" i="7"/>
  <c r="AE204" i="15"/>
  <c r="AE204" i="13"/>
  <c r="AE217" i="14"/>
  <c r="AF223" i="6"/>
  <c r="BK204" i="15"/>
  <c r="O204" i="15"/>
  <c r="I204" i="15"/>
  <c r="BK204" i="13"/>
  <c r="BE204" i="13"/>
  <c r="O204" i="13"/>
  <c r="I204" i="13"/>
  <c r="BK217" i="14"/>
  <c r="BI217" i="14"/>
  <c r="BL223" i="6"/>
  <c r="W222" i="4"/>
  <c r="Q222" i="4"/>
  <c r="Q221" i="1"/>
  <c r="S222" i="3"/>
  <c r="Q222" i="3"/>
  <c r="E222" i="3"/>
  <c r="E222" i="7"/>
  <c r="M222" i="9"/>
  <c r="K222" i="9"/>
  <c r="Y222" i="10"/>
  <c r="U222" i="10"/>
  <c r="E219" i="12"/>
  <c r="BK214" i="14"/>
  <c r="BE214" i="14"/>
  <c r="AE214" i="14"/>
  <c r="BL220" i="6"/>
  <c r="BF220" i="6"/>
  <c r="AF220" i="6"/>
  <c r="AL219" i="5"/>
  <c r="W219" i="4"/>
  <c r="Q219" i="4"/>
  <c r="I219" i="4"/>
  <c r="Q218" i="1"/>
  <c r="I218" i="1"/>
  <c r="S219" i="3"/>
  <c r="Q219" i="3"/>
  <c r="E219" i="3"/>
  <c r="S219" i="7"/>
  <c r="Q219" i="7"/>
  <c r="E219" i="7"/>
  <c r="Q219" i="9"/>
  <c r="Y219" i="10"/>
  <c r="U219" i="10"/>
  <c r="M219" i="10"/>
  <c r="G219" i="10"/>
  <c r="AR227" i="5" l="1"/>
  <c r="AC227" i="8"/>
  <c r="AL218" i="5"/>
  <c r="W218" i="4"/>
  <c r="Q218" i="3"/>
  <c r="E218" i="3"/>
  <c r="E218" i="7"/>
  <c r="U218" i="9"/>
  <c r="Y218" i="10"/>
  <c r="G218" i="10"/>
  <c r="BK199" i="15"/>
  <c r="AE199" i="15"/>
  <c r="BK212" i="14"/>
  <c r="BG212" i="14"/>
  <c r="AE212" i="14"/>
  <c r="BL218" i="6"/>
  <c r="BH218" i="6"/>
  <c r="BF218" i="6"/>
  <c r="AF218" i="6"/>
  <c r="O199" i="15"/>
  <c r="I199" i="15"/>
  <c r="W217" i="4"/>
  <c r="Q217" i="3"/>
  <c r="E217" i="3"/>
  <c r="E217" i="7"/>
  <c r="U217" i="9"/>
  <c r="O217" i="9"/>
  <c r="Y217" i="10"/>
  <c r="U217" i="10"/>
  <c r="G217" i="10"/>
  <c r="K216" i="12"/>
  <c r="Q216" i="5"/>
  <c r="G216" i="5"/>
  <c r="E216" i="5"/>
  <c r="W216" i="4"/>
  <c r="Q216" i="4"/>
  <c r="Q216" i="2"/>
  <c r="G216" i="2"/>
  <c r="E216" i="2"/>
  <c r="Q215" i="1"/>
  <c r="Q216" i="3"/>
  <c r="E216" i="3"/>
  <c r="E216" i="7"/>
  <c r="S216" i="8"/>
  <c r="Q216" i="8"/>
  <c r="E216" i="8"/>
  <c r="U216" i="9"/>
  <c r="K216" i="9"/>
  <c r="Y216" i="10"/>
  <c r="U216" i="10"/>
  <c r="M216" i="10"/>
  <c r="G216" i="10"/>
  <c r="K215" i="12"/>
  <c r="AF216" i="6"/>
  <c r="BL216" i="6"/>
  <c r="BJ216" i="6"/>
  <c r="G215" i="5"/>
  <c r="W215" i="4"/>
  <c r="Q215" i="4"/>
  <c r="G215" i="2"/>
  <c r="Q214" i="1"/>
  <c r="S215" i="3"/>
  <c r="Q215" i="3"/>
  <c r="E215" i="3"/>
  <c r="S215" i="7"/>
  <c r="E215" i="7"/>
  <c r="E215" i="8"/>
  <c r="U215" i="9"/>
  <c r="M215" i="9"/>
  <c r="K215" i="9"/>
  <c r="Y215" i="10"/>
  <c r="U215" i="10"/>
  <c r="G215" i="10"/>
  <c r="E213" i="12"/>
  <c r="AQ208" i="14"/>
  <c r="AE208" i="14"/>
  <c r="AF214" i="6"/>
  <c r="BK208" i="14"/>
  <c r="BE208" i="14"/>
  <c r="BL214" i="6"/>
  <c r="BF214" i="6"/>
  <c r="M213" i="5"/>
  <c r="I213" i="5"/>
  <c r="G213" i="5"/>
  <c r="E213" i="5"/>
  <c r="W213" i="4"/>
  <c r="I213" i="2"/>
  <c r="G213" i="2"/>
  <c r="E213" i="2"/>
  <c r="S213" i="3"/>
  <c r="Q213" i="3"/>
  <c r="E213" i="3"/>
  <c r="S213" i="7"/>
  <c r="E213" i="7"/>
  <c r="Q213" i="8"/>
  <c r="M213" i="8"/>
  <c r="K213" i="8"/>
  <c r="E213" i="8"/>
  <c r="U213" i="9"/>
  <c r="Y213" i="10"/>
  <c r="U213" i="10"/>
  <c r="G213" i="10"/>
  <c r="AE194" i="13"/>
  <c r="AE207" i="14"/>
  <c r="AF213" i="6"/>
  <c r="BK194" i="13"/>
  <c r="BE194" i="13"/>
  <c r="BK207" i="14"/>
  <c r="BE207" i="14"/>
  <c r="BL213" i="6"/>
  <c r="BF213" i="6"/>
  <c r="O194" i="13"/>
  <c r="I194" i="13"/>
  <c r="AJ212" i="2"/>
  <c r="Q212" i="3"/>
  <c r="E212" i="3"/>
  <c r="K212" i="9"/>
  <c r="Y212" i="10"/>
  <c r="G212" i="10"/>
  <c r="I211" i="12"/>
  <c r="AE206" i="14"/>
  <c r="AF212" i="6"/>
  <c r="AB211" i="5"/>
  <c r="W211" i="4"/>
  <c r="W211" i="2"/>
  <c r="Q211" i="3"/>
  <c r="M211" i="9"/>
  <c r="K211" i="9"/>
  <c r="Y211" i="10"/>
  <c r="G211" i="10"/>
  <c r="AL210" i="5"/>
  <c r="W210" i="4"/>
  <c r="Q210" i="4"/>
  <c r="Q209" i="1"/>
  <c r="S210" i="3"/>
  <c r="Q210" i="3"/>
  <c r="S210" i="7"/>
  <c r="Y210" i="10"/>
  <c r="U210" i="10"/>
  <c r="M210" i="10"/>
  <c r="G210" i="10"/>
  <c r="AL209" i="5"/>
  <c r="Q209" i="5"/>
  <c r="O209" i="5"/>
  <c r="G209" i="5"/>
  <c r="E209" i="5"/>
  <c r="W209" i="4"/>
  <c r="Q209" i="4"/>
  <c r="Q209" i="2"/>
  <c r="O209" i="2"/>
  <c r="G209" i="2"/>
  <c r="E209" i="2"/>
  <c r="Q208" i="1"/>
  <c r="Q209" i="3"/>
  <c r="S209" i="3"/>
  <c r="S209" i="7"/>
  <c r="Q209" i="8"/>
  <c r="I209" i="8"/>
  <c r="E209" i="8"/>
  <c r="K209" i="9"/>
  <c r="Y209" i="10"/>
  <c r="G209" i="10"/>
  <c r="E208" i="12"/>
  <c r="K208" i="12"/>
  <c r="W208" i="4"/>
  <c r="W207" i="1"/>
  <c r="S208" i="3"/>
  <c r="Q208" i="3"/>
  <c r="K208" i="9"/>
  <c r="Y208" i="10"/>
  <c r="U208" i="10"/>
  <c r="M208" i="10"/>
  <c r="G208" i="10"/>
  <c r="AE202" i="14"/>
  <c r="AF208" i="6"/>
  <c r="BK202" i="14"/>
  <c r="BI202" i="14"/>
  <c r="BE202" i="14"/>
  <c r="BL208" i="6"/>
  <c r="BJ208" i="6"/>
  <c r="BF208" i="6"/>
  <c r="G207" i="5"/>
  <c r="E207" i="5"/>
  <c r="W207" i="4"/>
  <c r="Q207" i="4"/>
  <c r="I207" i="4"/>
  <c r="G207" i="2"/>
  <c r="E207" i="2"/>
  <c r="Q206" i="1"/>
  <c r="I206" i="1"/>
  <c r="S207" i="3"/>
  <c r="Q207" i="3"/>
  <c r="E207" i="3"/>
  <c r="E207" i="7"/>
  <c r="Q207" i="8"/>
  <c r="E207" i="8"/>
  <c r="O207" i="9"/>
  <c r="M207" i="9"/>
  <c r="K207" i="9"/>
  <c r="Y207" i="10"/>
  <c r="U207" i="10"/>
  <c r="M207" i="10"/>
  <c r="G207" i="10"/>
  <c r="AE201" i="14"/>
  <c r="AF207" i="6"/>
  <c r="BK201" i="14"/>
  <c r="BL207" i="6"/>
  <c r="BJ207" i="6"/>
  <c r="W206" i="4"/>
  <c r="Q206" i="4"/>
  <c r="Q205" i="1"/>
  <c r="S206" i="3"/>
  <c r="Q206" i="3"/>
  <c r="E206" i="3"/>
  <c r="S206" i="7"/>
  <c r="E206" i="7"/>
  <c r="U206" i="9"/>
  <c r="M206" i="9"/>
  <c r="K206" i="9"/>
  <c r="Y206" i="10"/>
  <c r="U206" i="10"/>
  <c r="G206" i="10"/>
  <c r="E205" i="12"/>
  <c r="BN206" i="6"/>
  <c r="AZ206" i="6"/>
  <c r="AJ206" i="6"/>
  <c r="AT206" i="6" s="1"/>
  <c r="W206" i="6"/>
  <c r="O206" i="6"/>
  <c r="I206" i="6"/>
  <c r="AL205" i="5"/>
  <c r="W205" i="4"/>
  <c r="Q205" i="3"/>
  <c r="O205" i="9"/>
  <c r="K205" i="9"/>
  <c r="Y205" i="10"/>
  <c r="U205" i="10"/>
  <c r="M205" i="10"/>
  <c r="G205" i="10"/>
  <c r="AE199" i="14"/>
  <c r="BK199" i="14"/>
  <c r="BI199" i="14"/>
  <c r="W204" i="7"/>
  <c r="Q203" i="4" l="1"/>
  <c r="I203" i="4"/>
  <c r="S203" i="3"/>
  <c r="Q203" i="3"/>
  <c r="E203" i="3"/>
  <c r="O203" i="9"/>
  <c r="M203" i="9"/>
  <c r="K203" i="9"/>
  <c r="Y203" i="10"/>
  <c r="U203" i="10"/>
  <c r="G203" i="10"/>
  <c r="BK197" i="14"/>
  <c r="BE197" i="14"/>
  <c r="BG197" i="14"/>
  <c r="AE197" i="14"/>
  <c r="BL203" i="6"/>
  <c r="BJ203" i="6"/>
  <c r="BF203" i="6"/>
  <c r="AF203" i="6"/>
  <c r="AJ203" i="6" s="1"/>
  <c r="W202" i="4"/>
  <c r="S202" i="3"/>
  <c r="Q202" i="3"/>
  <c r="E202" i="3"/>
  <c r="S202" i="7"/>
  <c r="U202" i="9"/>
  <c r="M202" i="9"/>
  <c r="K202" i="9"/>
  <c r="Y202" i="10"/>
  <c r="U202" i="10"/>
  <c r="G202" i="10"/>
  <c r="Q201" i="12"/>
  <c r="K201" i="12"/>
  <c r="W201" i="4"/>
  <c r="Q201" i="4"/>
  <c r="Q200" i="1"/>
  <c r="S201" i="3"/>
  <c r="Q201" i="3"/>
  <c r="S201" i="7"/>
  <c r="K201" i="9"/>
  <c r="Y201" i="10"/>
  <c r="U201" i="10"/>
  <c r="G201" i="10"/>
  <c r="K200" i="12"/>
  <c r="AQ195" i="14"/>
  <c r="AE195" i="14"/>
  <c r="BK195" i="14"/>
  <c r="BI195" i="14"/>
  <c r="BE195" i="14"/>
  <c r="AR201" i="6"/>
  <c r="AF201" i="6"/>
  <c r="BL201" i="6"/>
  <c r="BJ201" i="6"/>
  <c r="BF201" i="6"/>
  <c r="AL200" i="5"/>
  <c r="W200" i="4"/>
  <c r="Q200" i="4"/>
  <c r="Q199" i="1"/>
  <c r="S200" i="3"/>
  <c r="Q200" i="3"/>
  <c r="E200" i="3"/>
  <c r="S200" i="7"/>
  <c r="Q200" i="7"/>
  <c r="E200" i="7"/>
  <c r="K200" i="9"/>
  <c r="U200" i="10"/>
  <c r="Y200" i="10"/>
  <c r="M200" i="10"/>
  <c r="G200" i="10"/>
  <c r="BL200" i="6"/>
  <c r="AF200" i="6"/>
  <c r="G200" i="6"/>
  <c r="W199" i="4"/>
  <c r="U199" i="9"/>
  <c r="K199" i="9"/>
  <c r="Y199" i="10"/>
  <c r="G199" i="10"/>
  <c r="AE193" i="14"/>
  <c r="AF199" i="6"/>
  <c r="BK193" i="14"/>
  <c r="BE193" i="14"/>
  <c r="BI193" i="14"/>
  <c r="BL199" i="6"/>
  <c r="BJ199" i="6"/>
  <c r="BF199" i="6"/>
  <c r="G198" i="5"/>
  <c r="W198" i="4"/>
  <c r="Q198" i="4"/>
  <c r="G198" i="2"/>
  <c r="Q197" i="1"/>
  <c r="S198" i="3"/>
  <c r="Q198" i="3"/>
  <c r="E198" i="3"/>
  <c r="E198" i="7"/>
  <c r="E198" i="8"/>
  <c r="M198" i="9"/>
  <c r="Y198" i="10"/>
  <c r="U198" i="10"/>
  <c r="G198" i="10"/>
  <c r="W197" i="4"/>
  <c r="Q197" i="4"/>
  <c r="M197" i="4"/>
  <c r="Q196" i="1"/>
  <c r="S197" i="3"/>
  <c r="Q197" i="3"/>
  <c r="S197" i="7"/>
  <c r="Y197" i="10"/>
  <c r="U197" i="10"/>
  <c r="Q197" i="10"/>
  <c r="M197" i="10"/>
  <c r="G197" i="10"/>
  <c r="BK178" i="15"/>
  <c r="AE178" i="15"/>
  <c r="O178" i="15"/>
  <c r="I178" i="15"/>
  <c r="BK191" i="14"/>
  <c r="BI191" i="14"/>
  <c r="AE191" i="14"/>
  <c r="BL197" i="6"/>
  <c r="BJ197" i="6"/>
  <c r="BH197" i="6"/>
  <c r="AF197" i="6"/>
  <c r="W196" i="4"/>
  <c r="Q196" i="4"/>
  <c r="Q195" i="1"/>
  <c r="Q196" i="3"/>
  <c r="E196" i="3"/>
  <c r="K196" i="9"/>
  <c r="Y196" i="10"/>
  <c r="U196" i="10"/>
  <c r="G196" i="10"/>
  <c r="AE190" i="14"/>
  <c r="AF196" i="6"/>
  <c r="BK190" i="14"/>
  <c r="BI190" i="14"/>
  <c r="BE190" i="14"/>
  <c r="BL196" i="6"/>
  <c r="BJ196" i="6"/>
  <c r="G195" i="5"/>
  <c r="W195" i="4"/>
  <c r="Q195" i="4"/>
  <c r="I195" i="4"/>
  <c r="Q194" i="1"/>
  <c r="Q195" i="3"/>
  <c r="E195" i="8"/>
  <c r="O195" i="9"/>
  <c r="K195" i="9"/>
  <c r="Y195" i="10"/>
  <c r="U195" i="10"/>
  <c r="G195" i="10"/>
  <c r="Q194" i="12"/>
  <c r="AE176" i="15"/>
  <c r="AE176" i="13"/>
  <c r="AE189" i="14"/>
  <c r="AF195" i="6"/>
  <c r="BK176" i="15"/>
  <c r="BK176" i="13"/>
  <c r="BK189" i="14"/>
  <c r="BE189" i="14"/>
  <c r="BL195" i="6"/>
  <c r="BF195" i="6"/>
  <c r="O176" i="15"/>
  <c r="I176" i="15"/>
  <c r="O176" i="13"/>
  <c r="I176" i="13"/>
  <c r="W194" i="4"/>
  <c r="I194" i="4"/>
  <c r="I193" i="1"/>
  <c r="Q194" i="3"/>
  <c r="E194" i="3"/>
  <c r="Q194" i="7"/>
  <c r="E194" i="7"/>
  <c r="O194" i="9"/>
  <c r="Y194" i="10"/>
  <c r="U194" i="10"/>
  <c r="G194" i="10"/>
  <c r="AQ188" i="14"/>
  <c r="AE188" i="14"/>
  <c r="AR194" i="6"/>
  <c r="AF194" i="6"/>
  <c r="BK188" i="14"/>
  <c r="BI188" i="14"/>
  <c r="BE188" i="14"/>
  <c r="BL194" i="6"/>
  <c r="BJ194" i="6"/>
  <c r="BF194" i="6"/>
  <c r="AL193" i="5"/>
  <c r="AF193" i="5"/>
  <c r="W193" i="4"/>
  <c r="Q193" i="4"/>
  <c r="I193" i="4"/>
  <c r="S193" i="3"/>
  <c r="Q193" i="3"/>
  <c r="E193" i="3"/>
  <c r="E193" i="7"/>
  <c r="O193" i="9"/>
  <c r="U193" i="9"/>
  <c r="K193" i="9"/>
  <c r="Y193" i="10"/>
  <c r="U193" i="10"/>
  <c r="M193" i="10"/>
  <c r="G193" i="10"/>
  <c r="AE187" i="14"/>
  <c r="AF193" i="6"/>
  <c r="BK187" i="14"/>
  <c r="BI187" i="14"/>
  <c r="BE187" i="14"/>
  <c r="M187" i="14"/>
  <c r="BL193" i="6"/>
  <c r="M193" i="6"/>
  <c r="Q192" i="4"/>
  <c r="Q191" i="1"/>
  <c r="S192" i="3"/>
  <c r="Q192" i="3"/>
  <c r="U192" i="10"/>
  <c r="G192" i="10"/>
  <c r="G191" i="5"/>
  <c r="Q191" i="4"/>
  <c r="I191" i="4"/>
  <c r="Q190" i="1"/>
  <c r="I190" i="1"/>
  <c r="Q191" i="3"/>
  <c r="E191" i="8"/>
  <c r="O191" i="9"/>
  <c r="K191" i="9"/>
  <c r="Y191" i="10"/>
  <c r="U191" i="10"/>
  <c r="G191" i="10"/>
  <c r="K190" i="12"/>
  <c r="I190" i="12"/>
  <c r="BE185" i="14"/>
  <c r="AE185" i="14"/>
  <c r="BF191" i="6"/>
  <c r="AF191" i="6"/>
  <c r="W190" i="4"/>
  <c r="Q190" i="4"/>
  <c r="Q189" i="1"/>
  <c r="S190" i="3"/>
  <c r="Q190" i="3"/>
  <c r="E190" i="3"/>
  <c r="M190" i="9"/>
  <c r="Y190" i="10"/>
  <c r="G190" i="10"/>
  <c r="K189" i="12"/>
  <c r="W189" i="4"/>
  <c r="AL189" i="5"/>
  <c r="W188" i="1"/>
  <c r="S189" i="3"/>
  <c r="Q189" i="3"/>
  <c r="S189" i="7"/>
  <c r="Q189" i="7"/>
  <c r="K189" i="9"/>
  <c r="Y189" i="10"/>
  <c r="G189" i="10"/>
  <c r="K188" i="12"/>
  <c r="W188" i="4"/>
  <c r="Q188" i="4"/>
  <c r="Q187" i="1"/>
  <c r="Q188" i="3"/>
  <c r="E188" i="3"/>
  <c r="E188" i="7"/>
  <c r="M188" i="9"/>
  <c r="K188" i="9"/>
  <c r="G188" i="10"/>
  <c r="Q187" i="12"/>
  <c r="K187" i="12"/>
  <c r="BK169" i="13"/>
  <c r="BG169" i="13"/>
  <c r="AE169" i="13"/>
  <c r="O169" i="13"/>
  <c r="I169" i="13"/>
  <c r="BK182" i="14"/>
  <c r="BI182" i="14"/>
  <c r="AE182" i="14"/>
  <c r="AF188" i="6"/>
  <c r="BF188" i="6"/>
  <c r="BL188" i="6"/>
  <c r="BJ188" i="6"/>
  <c r="W187" i="4"/>
  <c r="Q187" i="4"/>
  <c r="W186" i="1"/>
  <c r="Q186" i="1"/>
  <c r="Q187" i="3"/>
  <c r="S187" i="3"/>
  <c r="E187" i="3"/>
  <c r="E186" i="12"/>
  <c r="AE168" i="15"/>
  <c r="BK168" i="15"/>
  <c r="BI168" i="15"/>
  <c r="O168" i="15"/>
  <c r="I168" i="15"/>
  <c r="AE181" i="14"/>
  <c r="BK181" i="14"/>
  <c r="BI181" i="14"/>
  <c r="AF187" i="6"/>
  <c r="BL187" i="6"/>
  <c r="BF187" i="6"/>
  <c r="Q186" i="4"/>
  <c r="Q185" i="1"/>
  <c r="Q186" i="3"/>
  <c r="M186" i="9"/>
  <c r="Y186" i="10"/>
  <c r="G186" i="10"/>
  <c r="AF186" i="6"/>
  <c r="AE167" i="13"/>
  <c r="AE180" i="14"/>
  <c r="BK167" i="13"/>
  <c r="O167" i="13"/>
  <c r="I167" i="13"/>
  <c r="BK180" i="14"/>
  <c r="BL186" i="6"/>
  <c r="BJ186" i="6"/>
  <c r="BH186" i="6"/>
  <c r="S186" i="6"/>
  <c r="G185" i="5"/>
  <c r="G185" i="2"/>
  <c r="S185" i="3"/>
  <c r="Q185" i="3"/>
  <c r="E185" i="8"/>
  <c r="M185" i="9"/>
  <c r="Y185" i="10"/>
  <c r="U185" i="10"/>
  <c r="G185" i="10"/>
  <c r="Q184" i="12"/>
  <c r="K184" i="12"/>
  <c r="AE179" i="14"/>
  <c r="AF185" i="6"/>
  <c r="BK179" i="14"/>
  <c r="BI179" i="14"/>
  <c r="BE179" i="14"/>
  <c r="BL185" i="6"/>
  <c r="W184" i="4"/>
  <c r="Q184" i="4"/>
  <c r="W183" i="1"/>
  <c r="Q183" i="1"/>
  <c r="S184" i="3"/>
  <c r="Q184" i="3"/>
  <c r="E184" i="3"/>
  <c r="S184" i="7"/>
  <c r="E184" i="7"/>
  <c r="Y184" i="10"/>
  <c r="U184" i="10"/>
  <c r="G184" i="10"/>
  <c r="E183" i="12"/>
  <c r="AE178" i="14"/>
  <c r="AF184" i="6"/>
  <c r="BK178" i="14"/>
  <c r="BI178" i="14"/>
  <c r="BL184" i="6"/>
  <c r="BJ184" i="6"/>
  <c r="W183" i="4"/>
  <c r="S183" i="3"/>
  <c r="Q183" i="3"/>
  <c r="E183" i="3"/>
  <c r="U183" i="9"/>
  <c r="M183" i="9"/>
  <c r="K183" i="9"/>
  <c r="Y183" i="10"/>
  <c r="U183" i="10"/>
  <c r="I182" i="12"/>
  <c r="K182" i="12"/>
  <c r="Q182" i="4"/>
  <c r="I182" i="2"/>
  <c r="Q181" i="1"/>
  <c r="S182" i="3"/>
  <c r="Q182" i="3"/>
  <c r="S182" i="7"/>
  <c r="K182" i="8"/>
  <c r="M182" i="9"/>
  <c r="K182" i="9"/>
  <c r="Y182" i="10"/>
  <c r="U182" i="10"/>
  <c r="G182" i="10"/>
  <c r="AE163" i="15"/>
  <c r="AE163" i="13"/>
  <c r="AE176" i="14"/>
  <c r="AF182" i="6"/>
  <c r="BK163" i="15"/>
  <c r="O163" i="15"/>
  <c r="I163" i="15"/>
  <c r="BK163" i="13"/>
  <c r="O163" i="13"/>
  <c r="M163" i="13"/>
  <c r="I163" i="13"/>
  <c r="G163" i="13"/>
  <c r="BK176" i="14"/>
  <c r="BI176" i="14"/>
  <c r="M176" i="14"/>
  <c r="BL182" i="6"/>
  <c r="M182" i="6"/>
  <c r="W181" i="4"/>
  <c r="Q181" i="4"/>
  <c r="W180" i="1"/>
  <c r="Q180" i="1"/>
  <c r="S181" i="3"/>
  <c r="Q181" i="3"/>
  <c r="E181" i="3"/>
  <c r="E181" i="7"/>
  <c r="Y181" i="10"/>
  <c r="U181" i="10"/>
  <c r="G181" i="10"/>
  <c r="AE175" i="14"/>
  <c r="AF181" i="6"/>
  <c r="BK175" i="14"/>
  <c r="BI175" i="14"/>
  <c r="BL181" i="6"/>
  <c r="S180" i="3"/>
  <c r="Q180" i="3"/>
  <c r="E180" i="3"/>
  <c r="S180" i="7"/>
  <c r="Q180" i="7"/>
  <c r="E180" i="7"/>
  <c r="K180" i="9"/>
  <c r="Y180" i="10"/>
  <c r="U180" i="10"/>
  <c r="G180" i="10"/>
  <c r="Q179" i="12" l="1"/>
  <c r="K179" i="12"/>
  <c r="AF180" i="6"/>
  <c r="O161" i="15"/>
  <c r="I161" i="15"/>
  <c r="BL180" i="6"/>
  <c r="BJ180" i="6"/>
  <c r="G179" i="5"/>
  <c r="I179" i="4"/>
  <c r="G179" i="2"/>
  <c r="S179" i="3"/>
  <c r="E179" i="3"/>
  <c r="S179" i="7"/>
  <c r="S179" i="8"/>
  <c r="E179" i="8"/>
  <c r="U179" i="9"/>
  <c r="O179" i="9"/>
  <c r="Y179" i="10"/>
  <c r="G179" i="10"/>
  <c r="K178" i="12"/>
  <c r="BK160" i="15"/>
  <c r="AE160" i="15"/>
  <c r="O160" i="15"/>
  <c r="I160" i="15"/>
  <c r="BK173" i="14"/>
  <c r="BI173" i="14"/>
  <c r="AE173" i="14"/>
  <c r="BL179" i="6"/>
  <c r="BJ179" i="6"/>
  <c r="BF179" i="6"/>
  <c r="AF179" i="6"/>
  <c r="W178" i="4"/>
  <c r="Q178" i="4"/>
  <c r="Q177" i="1"/>
  <c r="U178" i="9"/>
  <c r="K178" i="9"/>
  <c r="Y178" i="10"/>
  <c r="G178" i="10"/>
  <c r="AL177" i="5"/>
  <c r="AF177" i="5"/>
  <c r="W177" i="4"/>
  <c r="Q177" i="4"/>
  <c r="Q176" i="1"/>
  <c r="S177" i="3"/>
  <c r="Q177" i="3"/>
  <c r="E177" i="3"/>
  <c r="S177" i="7"/>
  <c r="Q177" i="7"/>
  <c r="E177" i="7"/>
  <c r="M177" i="9"/>
  <c r="K177" i="9"/>
  <c r="Y177" i="10"/>
  <c r="U177" i="10"/>
  <c r="M177" i="10"/>
  <c r="G177" i="10"/>
  <c r="W176" i="4"/>
  <c r="Q176" i="4"/>
  <c r="Q175" i="1"/>
  <c r="S176" i="3"/>
  <c r="Q176" i="3"/>
  <c r="Y176" i="10"/>
  <c r="U176" i="10"/>
  <c r="G176" i="10"/>
  <c r="BK170" i="14"/>
  <c r="BI170" i="14"/>
  <c r="AE170" i="14"/>
  <c r="W175" i="4"/>
  <c r="Q175" i="4"/>
  <c r="Q174" i="1"/>
  <c r="S175" i="3"/>
  <c r="Q175" i="3"/>
  <c r="S175" i="7"/>
  <c r="K175" i="9"/>
  <c r="Y175" i="10"/>
  <c r="G175" i="10"/>
  <c r="K174" i="12"/>
  <c r="AE169" i="14"/>
  <c r="AF175" i="6"/>
  <c r="BK169" i="14"/>
  <c r="BI169" i="14"/>
  <c r="BE169" i="14"/>
  <c r="BL175" i="6"/>
  <c r="BJ175" i="6"/>
  <c r="BF175" i="6"/>
  <c r="W174" i="4"/>
  <c r="S174" i="3"/>
  <c r="Q174" i="3"/>
  <c r="S174" i="7"/>
  <c r="K174" i="9"/>
  <c r="Y174" i="10"/>
  <c r="G174" i="10"/>
  <c r="Q173" i="12"/>
  <c r="BK168" i="14"/>
  <c r="BI168" i="14"/>
  <c r="BE168" i="14"/>
  <c r="AE168" i="14"/>
  <c r="W173" i="4"/>
  <c r="W172" i="1"/>
  <c r="S173" i="3"/>
  <c r="Q173" i="3"/>
  <c r="U173" i="9"/>
  <c r="M173" i="9"/>
  <c r="K173" i="9"/>
  <c r="Y173" i="10"/>
  <c r="G173" i="10"/>
  <c r="E172" i="12"/>
  <c r="O154" i="15"/>
  <c r="I154" i="15"/>
  <c r="BI167" i="14"/>
  <c r="AE167" i="14"/>
  <c r="BF173" i="6"/>
  <c r="BJ173" i="6"/>
  <c r="AF173" i="6"/>
  <c r="G172" i="5"/>
  <c r="W172" i="4"/>
  <c r="Q172" i="4"/>
  <c r="Q171" i="1"/>
  <c r="S172" i="3"/>
  <c r="Q172" i="3"/>
  <c r="E172" i="3"/>
  <c r="S172" i="7"/>
  <c r="E172" i="7"/>
  <c r="E172" i="8"/>
  <c r="M172" i="9"/>
  <c r="K172" i="9"/>
  <c r="Y172" i="10"/>
  <c r="E171" i="12"/>
  <c r="BK153" i="13"/>
  <c r="AE153" i="13"/>
  <c r="O153" i="13"/>
  <c r="I153" i="13"/>
  <c r="AE166" i="14"/>
  <c r="BK166" i="14"/>
  <c r="BE166" i="14"/>
  <c r="AF172" i="6"/>
  <c r="BL172" i="6"/>
  <c r="BJ172" i="6"/>
  <c r="BF172" i="6"/>
  <c r="Q171" i="4"/>
  <c r="Q170" i="1"/>
  <c r="Q171" i="3"/>
  <c r="M171" i="9"/>
  <c r="K171" i="9"/>
  <c r="Y171" i="10"/>
  <c r="U171" i="10"/>
  <c r="G171" i="10"/>
  <c r="AE165" i="14"/>
  <c r="AF171" i="6"/>
  <c r="BK165" i="14"/>
  <c r="BI165" i="14"/>
  <c r="BE165" i="14"/>
  <c r="BL171" i="6"/>
  <c r="BF171" i="6"/>
  <c r="W170" i="4"/>
  <c r="Q170" i="4"/>
  <c r="Q169" i="1"/>
  <c r="Q170" i="3"/>
  <c r="E170" i="3"/>
  <c r="K170" i="9"/>
  <c r="Y170" i="10"/>
  <c r="U170" i="10"/>
  <c r="G170" i="10"/>
  <c r="AE151" i="15"/>
  <c r="BK151" i="15"/>
  <c r="O151" i="15"/>
  <c r="I151" i="15"/>
  <c r="BK164" i="14"/>
  <c r="BI164" i="14"/>
  <c r="AE164" i="14"/>
  <c r="BL170" i="6"/>
  <c r="BJ170" i="6"/>
  <c r="AF170" i="6"/>
  <c r="W169" i="4"/>
  <c r="Q169" i="4"/>
  <c r="Q168" i="1"/>
  <c r="S169" i="3"/>
  <c r="Q169" i="3"/>
  <c r="E169" i="3"/>
  <c r="M169" i="9"/>
  <c r="K169" i="9"/>
  <c r="Y169" i="10"/>
  <c r="G169" i="10"/>
  <c r="K167" i="9"/>
  <c r="M167" i="9"/>
  <c r="Q167" i="4"/>
  <c r="S167" i="3"/>
  <c r="Y167" i="10"/>
  <c r="G167" i="10"/>
  <c r="E166" i="12" l="1"/>
  <c r="I166" i="12"/>
  <c r="AE163" i="14"/>
  <c r="AF169" i="6"/>
  <c r="BK163" i="14"/>
  <c r="BI163" i="14"/>
  <c r="BL169" i="6"/>
  <c r="BJ169" i="6"/>
  <c r="W166" i="4"/>
  <c r="Q166" i="4"/>
  <c r="Q165" i="1"/>
  <c r="S166" i="3"/>
  <c r="Q166" i="3"/>
  <c r="E166" i="3"/>
  <c r="S166" i="7"/>
  <c r="Y166" i="10"/>
  <c r="U166" i="10"/>
  <c r="G166" i="10"/>
  <c r="E165" i="12"/>
  <c r="AL165" i="5"/>
  <c r="I165" i="5"/>
  <c r="W165" i="4"/>
  <c r="Q165" i="4"/>
  <c r="Q164" i="1"/>
  <c r="S165" i="3"/>
  <c r="Q165" i="3"/>
  <c r="E165" i="3"/>
  <c r="S165" i="7"/>
  <c r="E165" i="7"/>
  <c r="K165" i="8"/>
  <c r="M165" i="9"/>
  <c r="Y165" i="10"/>
  <c r="U165" i="10"/>
  <c r="M165" i="10"/>
  <c r="K164" i="12"/>
  <c r="S164" i="12" s="1"/>
  <c r="BK161" i="14"/>
  <c r="BI161" i="14"/>
  <c r="AE161" i="14"/>
  <c r="BL167" i="6"/>
  <c r="BJ167" i="6"/>
  <c r="AF167" i="6"/>
  <c r="AJ167" i="6" s="1"/>
  <c r="G164" i="5"/>
  <c r="W164" i="4"/>
  <c r="G164" i="2"/>
  <c r="W163" i="1"/>
  <c r="Q164" i="3"/>
  <c r="E164" i="3"/>
  <c r="Q164" i="7"/>
  <c r="E164" i="7"/>
  <c r="E164" i="8"/>
  <c r="U164" i="9"/>
  <c r="M164" i="9"/>
  <c r="K164" i="9"/>
  <c r="Y164" i="10"/>
  <c r="U164" i="10"/>
  <c r="G164" i="10"/>
  <c r="AE147" i="15"/>
  <c r="BK147" i="15"/>
  <c r="O147" i="15"/>
  <c r="I147" i="15"/>
  <c r="BK147" i="13"/>
  <c r="AE147" i="13"/>
  <c r="O147" i="13"/>
  <c r="I147" i="13"/>
  <c r="BK160" i="14"/>
  <c r="BI160" i="14"/>
  <c r="BG160" i="14"/>
  <c r="AE160" i="14"/>
  <c r="AF166" i="6"/>
  <c r="BL166" i="6"/>
  <c r="BJ166" i="6"/>
  <c r="BH166" i="6"/>
  <c r="BF166" i="6"/>
  <c r="W163" i="4"/>
  <c r="Q163" i="4"/>
  <c r="W162" i="1"/>
  <c r="Q162" i="1"/>
  <c r="S163" i="3"/>
  <c r="Q163" i="3"/>
  <c r="S163" i="7"/>
  <c r="Y163" i="10"/>
  <c r="U163" i="10"/>
  <c r="G163" i="10"/>
  <c r="E162" i="12"/>
  <c r="AF165" i="6"/>
  <c r="BF165" i="6"/>
  <c r="S162" i="3"/>
  <c r="Q162" i="3"/>
  <c r="S162" i="7"/>
  <c r="M162" i="9"/>
  <c r="K162" i="9"/>
  <c r="Y162" i="10"/>
  <c r="U162" i="10"/>
  <c r="G162" i="10"/>
  <c r="BK158" i="14"/>
  <c r="BI158" i="14"/>
  <c r="BE158" i="14"/>
  <c r="BL164" i="6"/>
  <c r="BJ164" i="6"/>
  <c r="BH164" i="6"/>
  <c r="BF164" i="6"/>
  <c r="AE158" i="14"/>
  <c r="AF164" i="6"/>
  <c r="S164" i="6"/>
  <c r="AL161" i="5"/>
  <c r="W161" i="4"/>
  <c r="Q161" i="4"/>
  <c r="Q160" i="1"/>
  <c r="S161" i="3"/>
  <c r="Q161" i="3"/>
  <c r="E161" i="3"/>
  <c r="S161" i="7"/>
  <c r="Q161" i="7"/>
  <c r="E161" i="7"/>
  <c r="AA161" i="9"/>
  <c r="G161" i="10"/>
  <c r="M160" i="5"/>
  <c r="Q160" i="4"/>
  <c r="M160" i="2"/>
  <c r="Q159" i="1"/>
  <c r="Q160" i="3"/>
  <c r="M160" i="8"/>
  <c r="W160" i="8" s="1"/>
  <c r="K160" i="9"/>
  <c r="Y160" i="10"/>
  <c r="G160" i="10"/>
  <c r="E160" i="10" s="1"/>
  <c r="E159" i="12"/>
  <c r="S159" i="5"/>
  <c r="Q159" i="4"/>
  <c r="Q158" i="1"/>
  <c r="S159" i="3"/>
  <c r="Q159" i="3"/>
  <c r="S159" i="7"/>
  <c r="Q159" i="7"/>
  <c r="O159" i="9"/>
  <c r="K159" i="9"/>
  <c r="Y159" i="10"/>
  <c r="U159" i="10"/>
  <c r="G159" i="10"/>
  <c r="W158" i="4"/>
  <c r="Q158" i="4"/>
  <c r="W157" i="1"/>
  <c r="Q157" i="1"/>
  <c r="Q158" i="3"/>
  <c r="E158" i="3"/>
  <c r="E158" i="7"/>
  <c r="Y158" i="10"/>
  <c r="U158" i="10"/>
  <c r="M158" i="10"/>
  <c r="G158" i="10"/>
  <c r="AE154" i="14"/>
  <c r="AF160" i="6"/>
  <c r="BL160" i="6"/>
  <c r="BJ160" i="6"/>
  <c r="BH160" i="6"/>
  <c r="Q157" i="5"/>
  <c r="Q157" i="4"/>
  <c r="Q156" i="1"/>
  <c r="S157" i="3"/>
  <c r="Q157" i="3"/>
  <c r="O157" i="9"/>
  <c r="K157" i="9"/>
  <c r="Y157" i="10"/>
  <c r="G157" i="10"/>
  <c r="AE153" i="14"/>
  <c r="AF159" i="6"/>
  <c r="BK153" i="14"/>
  <c r="BI153" i="14"/>
  <c r="BL159" i="6"/>
  <c r="BJ159" i="6"/>
  <c r="Q156" i="4"/>
  <c r="Q155" i="1"/>
  <c r="S156" i="3"/>
  <c r="S156" i="7"/>
  <c r="O156" i="9"/>
  <c r="Y156" i="10"/>
  <c r="G156" i="10"/>
  <c r="Q155" i="12"/>
  <c r="AE139" i="15"/>
  <c r="AE152" i="14"/>
  <c r="AF158" i="6"/>
  <c r="O139" i="15"/>
  <c r="I139" i="15"/>
  <c r="BK152" i="14"/>
  <c r="BE152" i="14"/>
  <c r="BL158" i="6"/>
  <c r="BF158" i="6"/>
  <c r="Q155" i="4"/>
  <c r="Q154" i="1"/>
  <c r="S155" i="3"/>
  <c r="Q155" i="3"/>
  <c r="S155" i="7"/>
  <c r="Q155" i="7"/>
  <c r="O155" i="9"/>
  <c r="Y155" i="10"/>
  <c r="G155" i="10"/>
  <c r="M154" i="12"/>
  <c r="I154" i="5"/>
  <c r="G154" i="5"/>
  <c r="W154" i="4"/>
  <c r="AC161" i="9" l="1"/>
  <c r="W163" i="3"/>
  <c r="I154" i="2"/>
  <c r="G154" i="2"/>
  <c r="S154" i="3"/>
  <c r="Q154" i="3"/>
  <c r="K154" i="8"/>
  <c r="E154" i="8"/>
  <c r="M154" i="9"/>
  <c r="K154" i="9"/>
  <c r="U154" i="10"/>
  <c r="Y154" i="10"/>
  <c r="M154" i="10"/>
  <c r="G154" i="10"/>
  <c r="AE150" i="14"/>
  <c r="AF156" i="6"/>
  <c r="BK150" i="14"/>
  <c r="BE150" i="14"/>
  <c r="BL156" i="6"/>
  <c r="BF156" i="6"/>
  <c r="W153" i="4"/>
  <c r="S153" i="3"/>
  <c r="Q153" i="3"/>
  <c r="E153" i="3"/>
  <c r="S153" i="7"/>
  <c r="E153" i="7"/>
  <c r="K153" i="9"/>
  <c r="M153" i="9"/>
  <c r="Y153" i="10"/>
  <c r="U153" i="10"/>
  <c r="G153" i="10"/>
  <c r="K152" i="12"/>
  <c r="W152" i="4"/>
  <c r="Q152" i="4"/>
  <c r="W151" i="1"/>
  <c r="Q151" i="1"/>
  <c r="S152" i="3"/>
  <c r="Q152" i="3"/>
  <c r="S152" i="7"/>
  <c r="K152" i="9"/>
  <c r="Y152" i="10"/>
  <c r="U152" i="10"/>
  <c r="O152" i="10" s="1"/>
  <c r="G152" i="10"/>
  <c r="E151" i="12"/>
  <c r="I151" i="5"/>
  <c r="G151" i="5"/>
  <c r="W151" i="4"/>
  <c r="Q151" i="4"/>
  <c r="I151" i="4"/>
  <c r="I151" i="2"/>
  <c r="G151" i="2"/>
  <c r="Q150" i="1"/>
  <c r="S151" i="3"/>
  <c r="Q151" i="3"/>
  <c r="S151" i="7"/>
  <c r="K151" i="8"/>
  <c r="E151" i="8"/>
  <c r="O151" i="9"/>
  <c r="K151" i="9"/>
  <c r="Y151" i="10"/>
  <c r="U151" i="10"/>
  <c r="M151" i="10"/>
  <c r="G151" i="10"/>
  <c r="AE134" i="15"/>
  <c r="BK134" i="15"/>
  <c r="O134" i="15"/>
  <c r="I134" i="15"/>
  <c r="BL153" i="6"/>
  <c r="BF153" i="6"/>
  <c r="AF153" i="6"/>
  <c r="W150" i="4"/>
  <c r="Q150" i="4"/>
  <c r="I150" i="4"/>
  <c r="Q149" i="1"/>
  <c r="I149" i="1"/>
  <c r="S150" i="3"/>
  <c r="Q150" i="3"/>
  <c r="E150" i="3"/>
  <c r="M150" i="9"/>
  <c r="K150" i="9"/>
  <c r="Y150" i="10"/>
  <c r="G150" i="10"/>
  <c r="AL149" i="5"/>
  <c r="W149" i="4"/>
  <c r="S149" i="3"/>
  <c r="Q149" i="3"/>
  <c r="E149" i="3"/>
  <c r="S149" i="7"/>
  <c r="E149" i="7"/>
  <c r="K149" i="9"/>
  <c r="Y149" i="10"/>
  <c r="U149" i="10"/>
  <c r="G149" i="10"/>
  <c r="Q148" i="12"/>
  <c r="AE145" i="14"/>
  <c r="AF151" i="6"/>
  <c r="BK145" i="14"/>
  <c r="BL151" i="6"/>
  <c r="W148" i="4"/>
  <c r="Q148" i="4"/>
  <c r="Q147" i="1"/>
  <c r="S148" i="3"/>
  <c r="Q148" i="3"/>
  <c r="E148" i="3"/>
  <c r="S148" i="7"/>
  <c r="E148" i="7"/>
  <c r="Y148" i="10"/>
  <c r="U148" i="10"/>
  <c r="G148" i="10"/>
  <c r="Q147" i="12"/>
  <c r="BK131" i="15"/>
  <c r="AE131" i="15"/>
  <c r="O131" i="15"/>
  <c r="I131" i="15"/>
  <c r="BK144" i="14"/>
  <c r="BI144" i="14"/>
  <c r="AE144" i="14"/>
  <c r="AL147" i="5"/>
  <c r="I147" i="5"/>
  <c r="W147" i="4"/>
  <c r="Q147" i="4"/>
  <c r="Q146" i="1"/>
  <c r="S147" i="3"/>
  <c r="Q147" i="3"/>
  <c r="E147" i="3"/>
  <c r="E147" i="7"/>
  <c r="K147" i="8"/>
  <c r="M147" i="9"/>
  <c r="K147" i="9"/>
  <c r="Y147" i="10"/>
  <c r="U147" i="10"/>
  <c r="M147" i="10"/>
  <c r="G147" i="10"/>
  <c r="Q146" i="12"/>
  <c r="AE143" i="14"/>
  <c r="O130" i="15"/>
  <c r="I130" i="15"/>
  <c r="BK143" i="14"/>
  <c r="BE143" i="14"/>
  <c r="W146" i="4"/>
  <c r="S146" i="3"/>
  <c r="Q146" i="3"/>
  <c r="E146" i="3"/>
  <c r="K146" i="9"/>
  <c r="Y146" i="10"/>
  <c r="G146" i="10"/>
  <c r="AE142" i="14" l="1"/>
  <c r="AF148" i="6"/>
  <c r="BK142" i="14"/>
  <c r="BI142" i="14"/>
  <c r="BG142" i="14"/>
  <c r="BE142" i="14"/>
  <c r="BL148" i="6"/>
  <c r="BJ148" i="6"/>
  <c r="BH148" i="6"/>
  <c r="G145" i="5"/>
  <c r="W145" i="4"/>
  <c r="Q145" i="4"/>
  <c r="I145" i="4"/>
  <c r="G145" i="2"/>
  <c r="Q144" i="1"/>
  <c r="S145" i="3"/>
  <c r="Q145" i="3"/>
  <c r="E145" i="3"/>
  <c r="S145" i="7"/>
  <c r="E145" i="7"/>
  <c r="E145" i="8"/>
  <c r="U145" i="9"/>
  <c r="O145" i="9"/>
  <c r="K145" i="9"/>
  <c r="Y145" i="10"/>
  <c r="U145" i="10"/>
  <c r="G145" i="10"/>
  <c r="E144" i="12"/>
  <c r="AE128" i="15"/>
  <c r="AF147" i="6"/>
  <c r="BK128" i="15"/>
  <c r="O128" i="15"/>
  <c r="I128" i="15"/>
  <c r="BL147" i="6"/>
  <c r="BJ147" i="6"/>
  <c r="W144" i="4"/>
  <c r="Q144" i="4"/>
  <c r="Q143" i="1"/>
  <c r="S144" i="3"/>
  <c r="Q144" i="3"/>
  <c r="E144" i="3"/>
  <c r="Q144" i="8"/>
  <c r="U144" i="9"/>
  <c r="K144" i="9"/>
  <c r="Y144" i="10"/>
  <c r="G144" i="10"/>
  <c r="K143" i="12"/>
  <c r="AE127" i="15"/>
  <c r="BK127" i="15"/>
  <c r="O127" i="15"/>
  <c r="I127" i="15"/>
  <c r="BK140" i="14"/>
  <c r="BI140" i="14"/>
  <c r="BE140" i="14"/>
  <c r="AE140" i="14"/>
  <c r="W143" i="4"/>
  <c r="M143" i="5"/>
  <c r="G143" i="5"/>
  <c r="E143" i="5"/>
  <c r="Q143" i="4"/>
  <c r="G143" i="2"/>
  <c r="E143" i="2"/>
  <c r="W142" i="1"/>
  <c r="Q142" i="1"/>
  <c r="S143" i="3"/>
  <c r="Q143" i="3"/>
  <c r="S143" i="7"/>
  <c r="Q143" i="8"/>
  <c r="M143" i="8"/>
  <c r="E143" i="8"/>
  <c r="O143" i="9"/>
  <c r="M143" i="9"/>
  <c r="K143" i="9"/>
  <c r="Y143" i="10"/>
  <c r="U143" i="10"/>
  <c r="G143" i="10"/>
  <c r="K142" i="12"/>
  <c r="AE139" i="14"/>
  <c r="AF145" i="6"/>
  <c r="BK139" i="14"/>
  <c r="BI139" i="14"/>
  <c r="BL145" i="6"/>
  <c r="BJ145" i="6"/>
  <c r="BF145" i="6"/>
  <c r="AL142" i="5"/>
  <c r="AF142" i="5"/>
  <c r="G142" i="5"/>
  <c r="E142" i="5"/>
  <c r="W142" i="4"/>
  <c r="I142" i="4"/>
  <c r="G142" i="2"/>
  <c r="E142" i="2"/>
  <c r="I141" i="1"/>
  <c r="S142" i="3"/>
  <c r="Q142" i="3"/>
  <c r="E142" i="3"/>
  <c r="E142" i="7"/>
  <c r="K142" i="8"/>
  <c r="M142" i="8"/>
  <c r="Q142" i="8"/>
  <c r="E142" i="8"/>
  <c r="O142" i="9"/>
  <c r="M142" i="9"/>
  <c r="K142" i="9"/>
  <c r="Y142" i="10"/>
  <c r="U142" i="10"/>
  <c r="G142" i="10"/>
  <c r="K141" i="12" l="1"/>
  <c r="Q141" i="12"/>
  <c r="O125" i="15"/>
  <c r="I125" i="15"/>
  <c r="W141" i="4"/>
  <c r="W140" i="1"/>
  <c r="S141" i="3"/>
  <c r="Q141" i="3"/>
  <c r="U141" i="9"/>
  <c r="K141" i="9"/>
  <c r="Y141" i="10"/>
  <c r="U141" i="10"/>
  <c r="M141" i="10"/>
  <c r="G141" i="10"/>
  <c r="AE137" i="14"/>
  <c r="AF143" i="6"/>
  <c r="BK137" i="14"/>
  <c r="BE137" i="14"/>
  <c r="BL143" i="6"/>
  <c r="W140" i="4"/>
  <c r="Q140" i="4"/>
  <c r="Q139" i="1"/>
  <c r="S140" i="3"/>
  <c r="Q140" i="3"/>
  <c r="S140" i="7"/>
  <c r="Q140" i="7"/>
  <c r="U140" i="9"/>
  <c r="M140" i="9"/>
  <c r="K140" i="9"/>
  <c r="Y140" i="10"/>
  <c r="Q139" i="4"/>
  <c r="Q138" i="1"/>
  <c r="S139" i="3"/>
  <c r="Q139" i="3"/>
  <c r="Y139" i="10"/>
  <c r="G139" i="10"/>
  <c r="Q138" i="4"/>
  <c r="Q137" i="1"/>
  <c r="S138" i="3"/>
  <c r="Q138" i="3"/>
  <c r="S138" i="7"/>
  <c r="M138" i="9"/>
  <c r="K138" i="9"/>
  <c r="Y138" i="10"/>
  <c r="U138" i="10"/>
  <c r="M138" i="10"/>
  <c r="W137" i="4"/>
  <c r="Q137" i="4"/>
  <c r="Q136" i="1"/>
  <c r="S137" i="3"/>
  <c r="Q137" i="3"/>
  <c r="E137" i="3"/>
  <c r="E137" i="7"/>
  <c r="Y137" i="10"/>
  <c r="U137" i="10"/>
  <c r="G137" i="10"/>
  <c r="AE121" i="15"/>
  <c r="AE134" i="14"/>
  <c r="AF140" i="6"/>
  <c r="BK121" i="15"/>
  <c r="BE121" i="15"/>
  <c r="M121" i="15"/>
  <c r="O121" i="15" s="1"/>
  <c r="I121" i="15"/>
  <c r="G134" i="14"/>
  <c r="G140" i="6"/>
  <c r="BE134" i="14"/>
  <c r="M140" i="6"/>
  <c r="BL140" i="6"/>
  <c r="BJ140" i="6"/>
  <c r="BF140" i="6"/>
  <c r="AL136" i="5"/>
  <c r="W136" i="4"/>
  <c r="Q136" i="4"/>
  <c r="Q135" i="1" l="1"/>
  <c r="Q136" i="3"/>
  <c r="E136" i="3"/>
  <c r="Y136" i="10" l="1"/>
  <c r="U136" i="10"/>
  <c r="M136" i="10"/>
  <c r="G136" i="10"/>
  <c r="AE133" i="14"/>
  <c r="AF139" i="6"/>
  <c r="BK133" i="14"/>
  <c r="BE133" i="14"/>
  <c r="BL139" i="6"/>
  <c r="BJ139" i="6"/>
  <c r="BF139" i="6"/>
  <c r="AL135" i="5"/>
  <c r="W135" i="4"/>
  <c r="Q135" i="4"/>
  <c r="Q134" i="1"/>
  <c r="S135" i="3"/>
  <c r="Q135" i="3"/>
  <c r="Y135" i="10"/>
  <c r="U135" i="10"/>
  <c r="G135" i="10"/>
  <c r="Q134" i="12"/>
  <c r="K134" i="12"/>
  <c r="AE132" i="14"/>
  <c r="AF138" i="6"/>
  <c r="BK132" i="14"/>
  <c r="BI132" i="14"/>
  <c r="BE132" i="14"/>
  <c r="S132" i="14"/>
  <c r="BL138" i="6"/>
  <c r="BJ138" i="6"/>
  <c r="BF138" i="6"/>
  <c r="S138" i="6"/>
  <c r="I134" i="5"/>
  <c r="AL134" i="5"/>
  <c r="AF134" i="5"/>
  <c r="W134" i="4"/>
  <c r="Q134" i="4"/>
  <c r="I134" i="2"/>
  <c r="W133" i="1"/>
  <c r="Q133" i="1"/>
  <c r="S134" i="3"/>
  <c r="Q134" i="3"/>
  <c r="E134" i="3"/>
  <c r="S134" i="7"/>
  <c r="Q134" i="7"/>
  <c r="E134" i="7"/>
  <c r="K134" i="8"/>
  <c r="U134" i="9"/>
  <c r="M134" i="9"/>
  <c r="K134" i="9"/>
  <c r="Y134" i="10"/>
  <c r="M134" i="10"/>
  <c r="U134" i="10"/>
  <c r="G134" i="10"/>
  <c r="Q133" i="12" l="1"/>
  <c r="K133" i="12"/>
  <c r="AE118" i="15"/>
  <c r="AE131" i="14"/>
  <c r="AF137" i="6"/>
  <c r="BK118" i="15"/>
  <c r="O118" i="15"/>
  <c r="I118" i="15"/>
  <c r="BK131" i="14"/>
  <c r="BI131" i="14"/>
  <c r="BL137" i="6"/>
  <c r="BJ137" i="6"/>
  <c r="W133" i="4"/>
  <c r="S133" i="3"/>
  <c r="Q133" i="3"/>
  <c r="E133" i="3"/>
  <c r="S133" i="7"/>
  <c r="Q133" i="7"/>
  <c r="M133" i="9"/>
  <c r="K133" i="9"/>
  <c r="E132" i="12"/>
  <c r="AE130" i="14"/>
  <c r="AF136" i="6"/>
  <c r="BK130" i="14"/>
  <c r="BI130" i="14"/>
  <c r="BL136" i="6"/>
  <c r="BH136" i="6"/>
  <c r="BF136" i="6"/>
  <c r="G132" i="5"/>
  <c r="G132" i="2"/>
  <c r="Q132" i="3"/>
  <c r="E132" i="3"/>
  <c r="E132" i="8"/>
  <c r="M132" i="9"/>
  <c r="K132" i="9"/>
  <c r="Y132" i="10"/>
  <c r="U132" i="10"/>
  <c r="O132" i="10" s="1"/>
  <c r="G132" i="10"/>
  <c r="M131" i="12"/>
  <c r="AE129" i="14"/>
  <c r="AF135" i="6"/>
  <c r="O116" i="15"/>
  <c r="I116" i="15"/>
  <c r="BK129" i="14"/>
  <c r="BI129" i="14"/>
  <c r="BE129" i="14"/>
  <c r="BL135" i="6"/>
  <c r="BJ135" i="6"/>
  <c r="BH135" i="6"/>
  <c r="W131" i="4"/>
  <c r="Q131" i="4"/>
  <c r="Q130" i="1"/>
  <c r="S131" i="3"/>
  <c r="Q131" i="3"/>
  <c r="E131" i="3"/>
  <c r="U131" i="9"/>
  <c r="Y131" i="10"/>
  <c r="G131" i="10"/>
  <c r="AE115" i="15"/>
  <c r="AE115" i="13"/>
  <c r="AE128" i="14"/>
  <c r="AF134" i="6"/>
  <c r="BK115" i="13"/>
  <c r="BG115" i="13"/>
  <c r="S115" i="13"/>
  <c r="BG128" i="14"/>
  <c r="BK128" i="14"/>
  <c r="S128" i="14"/>
  <c r="BL134" i="6"/>
  <c r="S134" i="6"/>
  <c r="O115" i="15"/>
  <c r="I115" i="15"/>
  <c r="O115" i="13"/>
  <c r="I115" i="13"/>
  <c r="G130" i="5"/>
  <c r="W130" i="4"/>
  <c r="I130" i="4"/>
  <c r="Q130" i="3"/>
  <c r="S130" i="3"/>
  <c r="E130" i="8"/>
  <c r="O130" i="9"/>
  <c r="K130" i="9"/>
  <c r="Y130" i="10"/>
  <c r="U130" i="10"/>
  <c r="M130" i="10"/>
  <c r="G130" i="10"/>
  <c r="K129" i="12"/>
  <c r="AE114" i="15"/>
  <c r="AE127" i="14"/>
  <c r="AF133" i="6"/>
  <c r="BK114" i="15"/>
  <c r="BI114" i="15"/>
  <c r="O114" i="15"/>
  <c r="I114" i="15"/>
  <c r="BK127" i="14"/>
  <c r="BI127" i="14"/>
  <c r="BG127" i="14"/>
  <c r="BL133" i="6"/>
  <c r="BJ133" i="6"/>
  <c r="BH133" i="6"/>
  <c r="W129" i="4"/>
  <c r="Q129" i="4"/>
  <c r="W128" i="1"/>
  <c r="Q128" i="1"/>
  <c r="S129" i="3"/>
  <c r="Q129" i="3"/>
  <c r="E129" i="3"/>
  <c r="E129" i="7"/>
  <c r="K129" i="9"/>
  <c r="Y129" i="10"/>
  <c r="U129" i="10"/>
  <c r="G129" i="10"/>
  <c r="AE126" i="14"/>
  <c r="AF132" i="6"/>
  <c r="BK126" i="14"/>
  <c r="BI126" i="14"/>
  <c r="BG126" i="14"/>
  <c r="BE126" i="14"/>
  <c r="BL132" i="6"/>
  <c r="BJ132" i="6"/>
  <c r="BH132" i="6"/>
  <c r="S132" i="6"/>
  <c r="AL128" i="5"/>
  <c r="G128" i="5"/>
  <c r="W128" i="4"/>
  <c r="Q128" i="4"/>
  <c r="G128" i="2"/>
  <c r="W127" i="1"/>
  <c r="Q127" i="1"/>
  <c r="S128" i="3"/>
  <c r="Q128" i="3"/>
  <c r="E128" i="3"/>
  <c r="E128" i="7"/>
  <c r="E128" i="8"/>
  <c r="U128" i="9"/>
  <c r="K128" i="9"/>
  <c r="Y128" i="10"/>
  <c r="U128" i="10"/>
  <c r="M128" i="10"/>
  <c r="G128" i="10"/>
  <c r="BI125" i="14"/>
  <c r="BE125" i="14"/>
  <c r="AE125" i="14"/>
  <c r="AL127" i="5"/>
  <c r="W127" i="4"/>
  <c r="Q127" i="4"/>
  <c r="AG127" i="2"/>
  <c r="W126" i="1"/>
  <c r="Q126" i="1"/>
  <c r="Q127" i="3"/>
  <c r="U127" i="9"/>
  <c r="K127" i="9"/>
  <c r="Y127" i="10"/>
  <c r="U127" i="10"/>
  <c r="G127" i="10"/>
  <c r="G126" i="5"/>
  <c r="W126" i="4"/>
  <c r="Q126" i="4"/>
  <c r="G126" i="2"/>
  <c r="Q125" i="1"/>
  <c r="Y252" i="3"/>
  <c r="Y265" i="3"/>
  <c r="E126" i="8"/>
  <c r="U126" i="9"/>
  <c r="O126" i="9"/>
  <c r="K126" i="9"/>
  <c r="Y126" i="10"/>
  <c r="U126" i="10"/>
  <c r="G126" i="10"/>
  <c r="K124" i="12"/>
  <c r="AE110" i="15"/>
  <c r="AQ122" i="14"/>
  <c r="AE122" i="14"/>
  <c r="AR128" i="6"/>
  <c r="AF128" i="6"/>
  <c r="BK110" i="15"/>
  <c r="BK122" i="14"/>
  <c r="BI122" i="14"/>
  <c r="BL128" i="6"/>
  <c r="BJ128" i="6"/>
  <c r="W124" i="4"/>
  <c r="Q124" i="4"/>
  <c r="W123" i="1"/>
  <c r="Q123" i="1"/>
  <c r="S124" i="3"/>
  <c r="Q124" i="3"/>
  <c r="E124" i="3"/>
  <c r="S124" i="7"/>
  <c r="E124" i="7"/>
  <c r="U124" i="9" l="1"/>
  <c r="M124" i="9"/>
  <c r="K124" i="9"/>
  <c r="Y124" i="10"/>
  <c r="U124" i="10"/>
  <c r="G124" i="10"/>
  <c r="AE109" i="13"/>
  <c r="AE121" i="14"/>
  <c r="AF127" i="6"/>
  <c r="BK109" i="13"/>
  <c r="BG109" i="13"/>
  <c r="BK121" i="14"/>
  <c r="BI121" i="14"/>
  <c r="BL127" i="6"/>
  <c r="BJ127" i="6"/>
  <c r="BH127" i="6"/>
  <c r="W123" i="4"/>
  <c r="Q123" i="4"/>
  <c r="Q122" i="1"/>
  <c r="S123" i="3"/>
  <c r="Q123" i="3"/>
  <c r="K123" i="9"/>
  <c r="Y123" i="10"/>
  <c r="U123" i="10"/>
  <c r="BK108" i="15"/>
  <c r="BK110" i="14"/>
  <c r="BI110" i="14"/>
  <c r="BE110" i="14"/>
  <c r="BL114" i="6"/>
  <c r="BJ114" i="6"/>
  <c r="BF114" i="6"/>
  <c r="O108" i="15"/>
  <c r="I108" i="15"/>
  <c r="M110" i="14"/>
  <c r="G110" i="14"/>
  <c r="M114" i="6"/>
  <c r="G114" i="6"/>
  <c r="W122" i="4"/>
  <c r="Q122" i="4"/>
  <c r="W121" i="1"/>
  <c r="Q121" i="1"/>
  <c r="S122" i="3"/>
  <c r="Q122" i="3"/>
  <c r="S122" i="7"/>
  <c r="Q122" i="7"/>
  <c r="Y122" i="10"/>
  <c r="U122" i="10"/>
  <c r="G122" i="10"/>
  <c r="Q120" i="12"/>
  <c r="W120" i="4"/>
  <c r="Q120" i="4"/>
  <c r="I120" i="4"/>
  <c r="Q119" i="1"/>
  <c r="I119" i="1"/>
  <c r="S120" i="3"/>
  <c r="Q120" i="3"/>
  <c r="E120" i="3"/>
  <c r="E120" i="7"/>
  <c r="O120" i="9"/>
  <c r="K120" i="9"/>
  <c r="Y120" i="10"/>
  <c r="U120" i="10"/>
  <c r="M120" i="10"/>
  <c r="G120" i="10"/>
  <c r="Y119" i="10"/>
  <c r="U119" i="10"/>
  <c r="G119" i="10"/>
  <c r="AE105" i="13"/>
  <c r="AE107" i="14"/>
  <c r="AF110" i="6"/>
  <c r="BK105" i="13"/>
  <c r="BE105" i="13"/>
  <c r="BK107" i="14"/>
  <c r="BI107" i="14"/>
  <c r="BE107" i="14"/>
  <c r="BL110" i="6"/>
  <c r="BF110" i="6"/>
  <c r="AL118" i="5"/>
  <c r="W118" i="4"/>
  <c r="S118" i="3"/>
  <c r="Q118" i="3"/>
  <c r="E118" i="3"/>
  <c r="Y118" i="10"/>
  <c r="G118" i="10"/>
  <c r="AE106" i="14"/>
  <c r="AF109" i="6"/>
  <c r="BK106" i="14"/>
  <c r="BI106" i="14"/>
  <c r="BL109" i="6"/>
  <c r="BH109" i="6"/>
  <c r="G117" i="5"/>
  <c r="G117" i="2"/>
  <c r="Q117" i="3"/>
  <c r="E117" i="8"/>
  <c r="M117" i="9"/>
  <c r="K117" i="9"/>
  <c r="Y117" i="10"/>
  <c r="U117" i="10"/>
  <c r="M117" i="10"/>
  <c r="G117" i="10"/>
  <c r="AE103" i="13"/>
  <c r="AE105" i="14"/>
  <c r="AF108" i="6"/>
  <c r="BK103" i="13"/>
  <c r="O103" i="13"/>
  <c r="I103" i="13"/>
  <c r="BK105" i="14"/>
  <c r="BI105" i="14"/>
  <c r="BL108" i="6"/>
  <c r="BJ108" i="6"/>
  <c r="W116" i="4"/>
  <c r="Q116" i="4"/>
  <c r="Q115" i="1"/>
  <c r="S116" i="3"/>
  <c r="Q116" i="3"/>
  <c r="E116" i="3"/>
  <c r="E116" i="7"/>
  <c r="K116" i="9"/>
  <c r="Y116" i="10"/>
  <c r="U116" i="10"/>
  <c r="AE104" i="14"/>
  <c r="AF107" i="6"/>
  <c r="BK104" i="14"/>
  <c r="BI104" i="14"/>
  <c r="BL107" i="6"/>
  <c r="BH107" i="6"/>
  <c r="E115" i="5"/>
  <c r="W115" i="4"/>
  <c r="Q115" i="4"/>
  <c r="E115" i="2"/>
  <c r="Q114" i="1"/>
  <c r="Q115" i="3"/>
  <c r="Q115" i="8"/>
  <c r="K115" i="9"/>
  <c r="Y115" i="10"/>
  <c r="U115" i="10"/>
  <c r="O115" i="10" s="1"/>
  <c r="G115" i="10"/>
  <c r="G113" i="5" l="1"/>
  <c r="G113" i="2"/>
  <c r="S113" i="3"/>
  <c r="Q113" i="3"/>
  <c r="M113" i="9"/>
  <c r="K113" i="9"/>
  <c r="Y113" i="10"/>
  <c r="U113" i="10"/>
  <c r="M113" i="10"/>
  <c r="G113" i="10"/>
  <c r="AE101" i="14"/>
  <c r="AF104" i="6"/>
  <c r="BK101" i="14"/>
  <c r="BI101" i="14"/>
  <c r="BL104" i="6"/>
  <c r="BF104" i="6"/>
  <c r="AL112" i="5"/>
  <c r="W112" i="4"/>
  <c r="Q112" i="4"/>
  <c r="Q111" i="1"/>
  <c r="S112" i="3"/>
  <c r="Q112" i="3"/>
  <c r="E112" i="3"/>
  <c r="E112" i="7"/>
  <c r="Y112" i="10"/>
  <c r="U112" i="10"/>
  <c r="G112" i="10"/>
  <c r="E111" i="12"/>
  <c r="K111" i="12"/>
  <c r="AE100" i="14"/>
  <c r="AF103" i="6"/>
  <c r="BK100" i="14"/>
  <c r="BI100" i="14"/>
  <c r="BG100" i="14"/>
  <c r="BE100" i="14"/>
  <c r="BL103" i="6"/>
  <c r="BJ103" i="6"/>
  <c r="W111" i="4"/>
  <c r="Q111" i="4"/>
  <c r="Q110" i="1"/>
  <c r="S111" i="3"/>
  <c r="Q111" i="3"/>
  <c r="E111" i="3"/>
  <c r="K111" i="9"/>
  <c r="Y111" i="10"/>
  <c r="G111" i="10"/>
  <c r="Q110" i="12"/>
  <c r="AE99" i="14"/>
  <c r="AE97" i="13"/>
  <c r="AF102" i="6"/>
  <c r="BK99" i="14"/>
  <c r="BI99" i="14"/>
  <c r="BG99" i="14"/>
  <c r="S99" i="14"/>
  <c r="BK97" i="13"/>
  <c r="BG97" i="13"/>
  <c r="S97" i="13"/>
  <c r="BL102" i="6"/>
  <c r="BH102" i="6"/>
  <c r="S102" i="6"/>
  <c r="W110" i="4"/>
  <c r="Q110" i="4"/>
  <c r="Q109" i="1"/>
  <c r="S110" i="3"/>
  <c r="Q110" i="3"/>
  <c r="K110" i="9"/>
  <c r="Y110" i="10"/>
  <c r="U110" i="10"/>
  <c r="M110" i="10"/>
  <c r="G110" i="10"/>
  <c r="K109" i="12"/>
  <c r="AE98" i="14"/>
  <c r="AF101" i="6"/>
  <c r="BL101" i="6"/>
  <c r="AL109" i="5"/>
  <c r="I109" i="5"/>
  <c r="W109" i="4"/>
  <c r="I109" i="2"/>
  <c r="W108" i="1"/>
  <c r="S109" i="3"/>
  <c r="Q109" i="3"/>
  <c r="K109" i="8"/>
  <c r="M109" i="9"/>
  <c r="Y109" i="10"/>
  <c r="U109" i="10"/>
  <c r="M109" i="10"/>
  <c r="AE97" i="14"/>
  <c r="AF100" i="6"/>
  <c r="BK97" i="14"/>
  <c r="BI97" i="14"/>
  <c r="BJ100" i="6"/>
  <c r="W108" i="4"/>
  <c r="AL108" i="5"/>
  <c r="E108" i="5"/>
  <c r="Q108" i="4"/>
  <c r="I108" i="4"/>
  <c r="Q107" i="1"/>
  <c r="S108" i="3"/>
  <c r="Q108" i="3"/>
  <c r="E108" i="3"/>
  <c r="Q108" i="8"/>
  <c r="O108" i="9"/>
  <c r="K108" i="9"/>
  <c r="Y108" i="10"/>
  <c r="U108" i="10"/>
  <c r="M108" i="10"/>
  <c r="G108" i="10"/>
  <c r="Q107" i="12"/>
  <c r="M107" i="12"/>
  <c r="AE96" i="14"/>
  <c r="AD99" i="6"/>
  <c r="AF99" i="6"/>
  <c r="BK96" i="14"/>
  <c r="BG96" i="14"/>
  <c r="BL99" i="6"/>
  <c r="Q107" i="4"/>
  <c r="Q106" i="1"/>
  <c r="S107" i="3"/>
  <c r="Q107" i="3"/>
  <c r="S107" i="7"/>
  <c r="K107" i="9"/>
  <c r="Y107" i="10"/>
  <c r="U107" i="10"/>
  <c r="M107" i="10"/>
  <c r="AL106" i="5"/>
  <c r="W106" i="4"/>
  <c r="Q106" i="4"/>
  <c r="Q105" i="1"/>
  <c r="S106" i="3"/>
  <c r="Q106" i="3"/>
  <c r="E106" i="3"/>
  <c r="E106" i="7"/>
  <c r="O106" i="9"/>
  <c r="M106" i="9"/>
  <c r="K106" i="9"/>
  <c r="Y106" i="10"/>
  <c r="U106" i="10"/>
  <c r="M106" i="10"/>
  <c r="G106" i="10"/>
  <c r="W105" i="4"/>
  <c r="Q105" i="4"/>
  <c r="W104" i="1"/>
  <c r="Q104" i="1"/>
  <c r="S105" i="3"/>
  <c r="Q105" i="3"/>
  <c r="S105" i="7"/>
  <c r="Q105" i="7"/>
  <c r="U105" i="9"/>
  <c r="M105" i="9"/>
  <c r="K105" i="9"/>
  <c r="Y105" i="10"/>
  <c r="U105" i="10"/>
  <c r="G105" i="10"/>
  <c r="O104" i="12"/>
  <c r="M104" i="12"/>
  <c r="K104" i="12"/>
  <c r="AE93" i="14"/>
  <c r="AF96" i="6"/>
  <c r="BK93" i="14"/>
  <c r="BI93" i="14"/>
  <c r="BL96" i="6"/>
  <c r="BJ96" i="6"/>
  <c r="AB104" i="5"/>
  <c r="Q104" i="4"/>
  <c r="Q103" i="1"/>
  <c r="Q104" i="3"/>
  <c r="E104" i="3"/>
  <c r="Q104" i="7"/>
  <c r="E104" i="7"/>
  <c r="U104" i="9"/>
  <c r="M104" i="9"/>
  <c r="K104" i="9"/>
  <c r="Y104" i="10"/>
  <c r="U104" i="10"/>
  <c r="G104" i="10"/>
  <c r="AE92" i="14"/>
  <c r="AF95" i="6"/>
  <c r="BK92" i="14"/>
  <c r="BI92" i="14"/>
  <c r="BJ95" i="6"/>
  <c r="W103" i="4"/>
  <c r="S103" i="3"/>
  <c r="Q103" i="3"/>
  <c r="E103" i="3"/>
  <c r="K103" i="9"/>
  <c r="Y103" i="10"/>
  <c r="O103" i="10"/>
  <c r="G103" i="10"/>
  <c r="Q102" i="12"/>
  <c r="AL102" i="5"/>
  <c r="W102" i="4"/>
  <c r="Q102" i="4"/>
  <c r="I102" i="4"/>
  <c r="Q101" i="1"/>
  <c r="Q102" i="3"/>
  <c r="E102" i="3"/>
  <c r="O102" i="9"/>
  <c r="M102" i="9"/>
  <c r="K102" i="9"/>
  <c r="Y102" i="10"/>
  <c r="U102" i="10"/>
  <c r="M102" i="10"/>
  <c r="G102" i="10"/>
  <c r="BK88" i="13"/>
  <c r="BE88" i="13"/>
  <c r="BK90" i="14"/>
  <c r="BI90" i="14"/>
  <c r="BL93" i="6"/>
  <c r="BJ93" i="6"/>
  <c r="AE88" i="13"/>
  <c r="AE90" i="14"/>
  <c r="AF93" i="6"/>
  <c r="O88" i="13"/>
  <c r="I88" i="13"/>
  <c r="I90" i="14"/>
  <c r="O90" i="14"/>
  <c r="Q101" i="12"/>
  <c r="K101" i="12"/>
  <c r="AL101" i="5"/>
  <c r="G101" i="5"/>
  <c r="W101" i="4"/>
  <c r="Q101" i="4"/>
  <c r="G101" i="2"/>
  <c r="Q100" i="1"/>
  <c r="Q101" i="3"/>
  <c r="E101" i="3"/>
  <c r="Q101" i="7"/>
  <c r="E101" i="7"/>
  <c r="O101" i="9"/>
  <c r="E101" i="8"/>
  <c r="M101" i="9"/>
  <c r="K101" i="9"/>
  <c r="Y101" i="10"/>
  <c r="U101" i="10"/>
  <c r="G101" i="10"/>
  <c r="Q99" i="12"/>
  <c r="E99" i="12"/>
  <c r="AK88" i="14"/>
  <c r="AE88" i="14"/>
  <c r="AL91" i="6"/>
  <c r="AF91" i="6"/>
  <c r="BI88" i="14"/>
  <c r="BK88" i="14"/>
  <c r="E88" i="14"/>
  <c r="I88" i="14" s="1"/>
  <c r="BL91" i="6"/>
  <c r="BF91" i="6"/>
  <c r="G91" i="6"/>
  <c r="E91" i="6"/>
  <c r="I91" i="6" s="1"/>
  <c r="I99" i="5"/>
  <c r="W99" i="4"/>
  <c r="Q99" i="4"/>
  <c r="I99" i="2"/>
  <c r="Q98" i="1"/>
  <c r="S99" i="3"/>
  <c r="Q99" i="3"/>
  <c r="S99" i="7"/>
  <c r="K99" i="8"/>
  <c r="K99" i="9"/>
  <c r="Y99" i="10"/>
  <c r="O99" i="10"/>
  <c r="AE87" i="14"/>
  <c r="AF90" i="6"/>
  <c r="BK85" i="15"/>
  <c r="O85" i="15"/>
  <c r="I85" i="15"/>
  <c r="BK87" i="14"/>
  <c r="S87" i="14"/>
  <c r="BL90" i="6"/>
  <c r="BJ90" i="6"/>
  <c r="BH90" i="6"/>
  <c r="S90" i="6"/>
  <c r="W98" i="4"/>
  <c r="AL98" i="5"/>
  <c r="G98" i="5"/>
  <c r="I98" i="4"/>
  <c r="G98" i="2"/>
  <c r="S98" i="3"/>
  <c r="Q98" i="3"/>
  <c r="E98" i="3"/>
  <c r="E98" i="7"/>
  <c r="E98" i="8"/>
  <c r="O98" i="9"/>
  <c r="K98" i="9"/>
  <c r="Y98" i="10"/>
  <c r="U98" i="10"/>
  <c r="M98" i="10"/>
  <c r="G98" i="10"/>
  <c r="AE86" i="14"/>
  <c r="AF89" i="6"/>
  <c r="BK86" i="14"/>
  <c r="BI86" i="14"/>
  <c r="O87" i="14"/>
  <c r="O88" i="14"/>
  <c r="O89" i="14"/>
  <c r="O91" i="14"/>
  <c r="O92" i="14"/>
  <c r="O93" i="14"/>
  <c r="O94" i="14"/>
  <c r="O95" i="14"/>
  <c r="O96" i="14"/>
  <c r="O97" i="14"/>
  <c r="O98" i="14"/>
  <c r="O99" i="14"/>
  <c r="O100" i="14"/>
  <c r="O101" i="14"/>
  <c r="O102" i="14"/>
  <c r="O103" i="14"/>
  <c r="O104" i="14"/>
  <c r="O105" i="14"/>
  <c r="O106" i="14"/>
  <c r="O107" i="14"/>
  <c r="O108" i="14"/>
  <c r="O109" i="14"/>
  <c r="O110" i="14"/>
  <c r="O121" i="14"/>
  <c r="O122" i="14"/>
  <c r="O123" i="14"/>
  <c r="O124" i="14"/>
  <c r="O125" i="14"/>
  <c r="O126" i="14"/>
  <c r="O127" i="14"/>
  <c r="O128" i="14"/>
  <c r="O129" i="14"/>
  <c r="O130" i="14"/>
  <c r="O131" i="14"/>
  <c r="O132" i="14"/>
  <c r="O133" i="14"/>
  <c r="O134" i="14"/>
  <c r="O135" i="14"/>
  <c r="O136" i="14"/>
  <c r="O137" i="14"/>
  <c r="O138" i="14"/>
  <c r="O139" i="14"/>
  <c r="O140" i="14"/>
  <c r="O141" i="14"/>
  <c r="O142" i="14"/>
  <c r="O143" i="14"/>
  <c r="O144" i="14"/>
  <c r="O145" i="14"/>
  <c r="O146" i="14"/>
  <c r="O147" i="14"/>
  <c r="O148" i="14"/>
  <c r="O149" i="14"/>
  <c r="O150" i="14"/>
  <c r="O151" i="14"/>
  <c r="O152" i="14"/>
  <c r="O153" i="14"/>
  <c r="O154" i="14"/>
  <c r="O155" i="14"/>
  <c r="O156" i="14"/>
  <c r="O157" i="14"/>
  <c r="O158" i="14"/>
  <c r="O159" i="14"/>
  <c r="O160" i="14"/>
  <c r="O161" i="14"/>
  <c r="O162" i="14"/>
  <c r="O163" i="14"/>
  <c r="O164" i="14"/>
  <c r="O165" i="14"/>
  <c r="O166" i="14"/>
  <c r="O167" i="14"/>
  <c r="O168" i="14"/>
  <c r="O169" i="14"/>
  <c r="O170" i="14"/>
  <c r="O171" i="14"/>
  <c r="O172" i="14"/>
  <c r="O173" i="14"/>
  <c r="O174" i="14"/>
  <c r="O175" i="14"/>
  <c r="O176" i="14"/>
  <c r="O177" i="14"/>
  <c r="O178" i="14"/>
  <c r="O179" i="14"/>
  <c r="O180" i="14"/>
  <c r="O181" i="14"/>
  <c r="O182" i="14"/>
  <c r="O183" i="14"/>
  <c r="O184" i="14"/>
  <c r="O185" i="14"/>
  <c r="O186" i="14"/>
  <c r="O187" i="14"/>
  <c r="O188" i="14"/>
  <c r="O189" i="14"/>
  <c r="O190" i="14"/>
  <c r="O191" i="14"/>
  <c r="O192" i="14"/>
  <c r="O193" i="14"/>
  <c r="O194" i="14"/>
  <c r="O195" i="14"/>
  <c r="O196" i="14"/>
  <c r="O197" i="14"/>
  <c r="O198" i="14"/>
  <c r="O199" i="14"/>
  <c r="O200" i="14"/>
  <c r="O201" i="14"/>
  <c r="O202" i="14"/>
  <c r="O203" i="14"/>
  <c r="O204" i="14"/>
  <c r="O205" i="14"/>
  <c r="O206" i="14"/>
  <c r="O207" i="14"/>
  <c r="O208" i="14"/>
  <c r="O209" i="14"/>
  <c r="O210" i="14"/>
  <c r="O211" i="14"/>
  <c r="O212" i="14"/>
  <c r="O213" i="14"/>
  <c r="O214" i="14"/>
  <c r="O215" i="14"/>
  <c r="O216" i="14"/>
  <c r="O217" i="14"/>
  <c r="O218" i="14"/>
  <c r="O219" i="14"/>
  <c r="O220" i="14"/>
  <c r="O221" i="14"/>
  <c r="O223" i="14"/>
  <c r="O224" i="14"/>
  <c r="O225" i="14"/>
  <c r="O226" i="14"/>
  <c r="O227" i="14"/>
  <c r="O229" i="14"/>
  <c r="O230" i="14"/>
  <c r="O231" i="14"/>
  <c r="O232" i="14"/>
  <c r="O233" i="14"/>
  <c r="O234" i="14"/>
  <c r="O235" i="14"/>
  <c r="O236" i="14"/>
  <c r="O237" i="14"/>
  <c r="O238" i="14"/>
  <c r="O239" i="14"/>
  <c r="O240" i="14"/>
  <c r="O241" i="14"/>
  <c r="O242" i="14"/>
  <c r="O243" i="14"/>
  <c r="O244" i="14"/>
  <c r="O245" i="14"/>
  <c r="O246" i="14"/>
  <c r="O247" i="14"/>
  <c r="O248" i="14"/>
  <c r="O249" i="14"/>
  <c r="O250" i="14"/>
  <c r="O251" i="14"/>
  <c r="O252" i="14"/>
  <c r="O253" i="14"/>
  <c r="O254" i="14"/>
  <c r="O255" i="14"/>
  <c r="O256" i="14"/>
  <c r="O257" i="14"/>
  <c r="O258" i="14"/>
  <c r="O259" i="14"/>
  <c r="O260" i="14"/>
  <c r="O261" i="14"/>
  <c r="O262" i="14"/>
  <c r="O263" i="14"/>
  <c r="O264" i="14"/>
  <c r="O265" i="14"/>
  <c r="O266" i="14"/>
  <c r="I87" i="14"/>
  <c r="I89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4" i="14"/>
  <c r="I195" i="14"/>
  <c r="I196" i="14"/>
  <c r="I197" i="14"/>
  <c r="I198" i="14"/>
  <c r="I199" i="14"/>
  <c r="I200" i="14"/>
  <c r="I201" i="14"/>
  <c r="I202" i="14"/>
  <c r="I203" i="14"/>
  <c r="I204" i="14"/>
  <c r="I205" i="14"/>
  <c r="I206" i="14"/>
  <c r="I207" i="14"/>
  <c r="I208" i="14"/>
  <c r="I209" i="14"/>
  <c r="I210" i="14"/>
  <c r="I211" i="14"/>
  <c r="I212" i="14"/>
  <c r="I213" i="14"/>
  <c r="I214" i="14"/>
  <c r="I215" i="14"/>
  <c r="I216" i="14"/>
  <c r="I217" i="14"/>
  <c r="I218" i="14"/>
  <c r="I219" i="14"/>
  <c r="I220" i="14"/>
  <c r="I221" i="14"/>
  <c r="I223" i="14"/>
  <c r="I224" i="14"/>
  <c r="I225" i="14"/>
  <c r="I226" i="14"/>
  <c r="I227" i="14"/>
  <c r="I229" i="14"/>
  <c r="I230" i="14"/>
  <c r="I231" i="14"/>
  <c r="I232" i="14"/>
  <c r="I233" i="14"/>
  <c r="I234" i="14"/>
  <c r="I235" i="14"/>
  <c r="I236" i="14"/>
  <c r="I237" i="14"/>
  <c r="I238" i="14"/>
  <c r="I239" i="14"/>
  <c r="I240" i="14"/>
  <c r="I241" i="14"/>
  <c r="I242" i="14"/>
  <c r="I243" i="14"/>
  <c r="I244" i="14"/>
  <c r="I245" i="14"/>
  <c r="I246" i="14"/>
  <c r="I247" i="14"/>
  <c r="I248" i="14"/>
  <c r="I249" i="14"/>
  <c r="I250" i="14"/>
  <c r="I251" i="14"/>
  <c r="I252" i="14"/>
  <c r="I253" i="14"/>
  <c r="I254" i="14"/>
  <c r="I255" i="14"/>
  <c r="I256" i="14"/>
  <c r="I257" i="14"/>
  <c r="I258" i="14"/>
  <c r="I259" i="14"/>
  <c r="I260" i="14"/>
  <c r="I261" i="14"/>
  <c r="I262" i="14"/>
  <c r="I263" i="14"/>
  <c r="I264" i="14"/>
  <c r="I265" i="14"/>
  <c r="I266" i="14"/>
  <c r="O86" i="14"/>
  <c r="I86" i="14"/>
  <c r="BL89" i="6"/>
  <c r="BJ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83" i="6"/>
  <c r="O184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221" i="6"/>
  <c r="O222" i="6"/>
  <c r="O223" i="6"/>
  <c r="O224" i="6"/>
  <c r="O225" i="6"/>
  <c r="O226" i="6"/>
  <c r="O227" i="6"/>
  <c r="O228" i="6"/>
  <c r="O229" i="6"/>
  <c r="O230" i="6"/>
  <c r="O231" i="6"/>
  <c r="O232" i="6"/>
  <c r="O233" i="6"/>
  <c r="O234" i="6"/>
  <c r="O236" i="6"/>
  <c r="O237" i="6"/>
  <c r="O238" i="6"/>
  <c r="O239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O272" i="6"/>
  <c r="O89" i="6"/>
  <c r="I90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89" i="6"/>
  <c r="E84" i="13"/>
  <c r="K84" i="13"/>
  <c r="W97" i="4"/>
  <c r="Q97" i="4"/>
  <c r="Q96" i="1"/>
  <c r="U97" i="9"/>
  <c r="K97" i="9"/>
  <c r="E86" i="12"/>
  <c r="W86" i="4"/>
  <c r="S86" i="3"/>
  <c r="Q86" i="3"/>
  <c r="K85" i="9"/>
  <c r="U85" i="9"/>
  <c r="Q85" i="12" l="1"/>
  <c r="O85" i="12"/>
  <c r="K85" i="12"/>
  <c r="G85" i="12"/>
  <c r="E85" i="12"/>
  <c r="AF87" i="6"/>
  <c r="BJ87" i="6"/>
  <c r="BF87" i="6"/>
  <c r="O87" i="6"/>
  <c r="I87" i="6"/>
  <c r="Q85" i="4"/>
  <c r="W85" i="1"/>
  <c r="Q85" i="1"/>
  <c r="S85" i="7"/>
  <c r="Q85" i="7"/>
  <c r="E85" i="7"/>
  <c r="Y85" i="10"/>
  <c r="U85" i="10"/>
  <c r="K84" i="12"/>
  <c r="BK83" i="14"/>
  <c r="BI83" i="14"/>
  <c r="AE83" i="14"/>
  <c r="O83" i="14"/>
  <c r="I83" i="14"/>
  <c r="AL84" i="5"/>
  <c r="W84" i="4"/>
  <c r="S84" i="3"/>
  <c r="Q84" i="3"/>
  <c r="M84" i="9"/>
  <c r="K84" i="9"/>
  <c r="Y84" i="10"/>
  <c r="U84" i="10"/>
  <c r="M84" i="10"/>
  <c r="G84" i="10"/>
  <c r="AL83" i="5"/>
  <c r="I83" i="5"/>
  <c r="W83" i="4"/>
  <c r="Q83" i="4"/>
  <c r="AG83" i="2"/>
  <c r="I83" i="2"/>
  <c r="Q83" i="1"/>
  <c r="S83" i="3"/>
  <c r="Q83" i="3"/>
  <c r="E83" i="3"/>
  <c r="S83" i="7"/>
  <c r="E83" i="7"/>
  <c r="K83" i="8"/>
  <c r="M83" i="9"/>
  <c r="K83" i="9"/>
  <c r="Y83" i="10"/>
  <c r="O79" i="15"/>
  <c r="I79" i="15"/>
  <c r="BK81" i="14"/>
  <c r="BE81" i="14"/>
  <c r="O81" i="14"/>
  <c r="I81" i="14"/>
  <c r="BL84" i="6"/>
  <c r="BF84" i="6"/>
  <c r="O84" i="6"/>
  <c r="I84" i="6"/>
  <c r="AL82" i="5"/>
  <c r="W82" i="4"/>
  <c r="K82" i="9"/>
  <c r="Y82" i="10"/>
  <c r="G82" i="10" l="1"/>
  <c r="AE78" i="15"/>
  <c r="AK80" i="14"/>
  <c r="AE80" i="14"/>
  <c r="AF83" i="6"/>
  <c r="BK78" i="15"/>
  <c r="O78" i="15"/>
  <c r="I78" i="15"/>
  <c r="BK80" i="14"/>
  <c r="BE80" i="14"/>
  <c r="O80" i="14"/>
  <c r="I80" i="14"/>
  <c r="BL83" i="6"/>
  <c r="BJ83" i="6"/>
  <c r="BF83" i="6"/>
  <c r="O83" i="6"/>
  <c r="I83" i="6"/>
  <c r="W81" i="4"/>
  <c r="I81" i="4"/>
  <c r="S81" i="3"/>
  <c r="Q81" i="3"/>
  <c r="O81" i="9"/>
  <c r="M81" i="9"/>
  <c r="K81" i="9"/>
  <c r="Y81" i="10"/>
  <c r="U81" i="10"/>
  <c r="G81" i="10"/>
  <c r="Q80" i="12"/>
  <c r="G80" i="12"/>
  <c r="AE79" i="14"/>
  <c r="AF82" i="6"/>
  <c r="BK79" i="14"/>
  <c r="BI79" i="14"/>
  <c r="BE79" i="14"/>
  <c r="O79" i="14"/>
  <c r="I79" i="14"/>
  <c r="BJ82" i="6"/>
  <c r="BF82" i="6"/>
  <c r="O82" i="6"/>
  <c r="I82" i="6"/>
  <c r="W80" i="4"/>
  <c r="W80" i="1"/>
  <c r="Q80" i="1"/>
  <c r="S80" i="3"/>
  <c r="Q80" i="3"/>
  <c r="E80" i="3"/>
  <c r="S80" i="7"/>
  <c r="E80" i="7"/>
  <c r="U80" i="9"/>
  <c r="O80" i="9"/>
  <c r="K80" i="9"/>
  <c r="Y80" i="10"/>
  <c r="U80" i="10"/>
  <c r="M80" i="10"/>
  <c r="G80" i="10"/>
  <c r="AE76" i="15"/>
  <c r="AE78" i="14"/>
  <c r="AF81" i="6"/>
  <c r="BK76" i="15"/>
  <c r="O76" i="15"/>
  <c r="I76" i="15"/>
  <c r="BK78" i="14"/>
  <c r="O78" i="14"/>
  <c r="I78" i="14"/>
  <c r="BL81" i="6"/>
  <c r="O81" i="6"/>
  <c r="I81" i="6"/>
  <c r="W79" i="4"/>
  <c r="Q79" i="4"/>
  <c r="S79" i="3"/>
  <c r="Q79" i="3"/>
  <c r="K79" i="9"/>
  <c r="Y79" i="10"/>
  <c r="U79" i="10"/>
  <c r="G79" i="10"/>
  <c r="U78" i="12"/>
  <c r="AE75" i="15"/>
  <c r="AE77" i="14"/>
  <c r="AF80" i="6"/>
  <c r="O75" i="15"/>
  <c r="I75" i="15"/>
  <c r="BK77" i="14"/>
  <c r="BI77" i="14"/>
  <c r="BE77" i="14"/>
  <c r="O77" i="14"/>
  <c r="I77" i="14"/>
  <c r="BJ80" i="6"/>
  <c r="BF80" i="6"/>
  <c r="O80" i="6"/>
  <c r="I80" i="6"/>
  <c r="W78" i="4"/>
  <c r="Q78" i="4"/>
  <c r="Q78" i="1"/>
  <c r="S78" i="3"/>
  <c r="Q78" i="3"/>
  <c r="E78" i="3"/>
  <c r="U78" i="9"/>
  <c r="O78" i="9"/>
  <c r="Y78" i="10"/>
  <c r="G78" i="10"/>
  <c r="K77" i="12"/>
  <c r="AE74" i="15"/>
  <c r="AE76" i="14"/>
  <c r="AF79" i="6"/>
  <c r="BK74" i="15"/>
  <c r="O74" i="15"/>
  <c r="I74" i="15"/>
  <c r="BK76" i="14"/>
  <c r="O76" i="14"/>
  <c r="I76" i="14"/>
  <c r="BL79" i="6"/>
  <c r="BJ79" i="6"/>
  <c r="O79" i="6"/>
  <c r="I79" i="6"/>
  <c r="W77" i="4"/>
  <c r="Q77" i="4"/>
  <c r="Q77" i="1"/>
  <c r="Q77" i="3"/>
  <c r="E77" i="3"/>
  <c r="K77" i="9"/>
  <c r="Y77" i="10"/>
  <c r="U77" i="10"/>
  <c r="G77" i="10"/>
  <c r="Q76" i="12"/>
  <c r="AE75" i="14"/>
  <c r="BK75" i="14"/>
  <c r="BI75" i="14"/>
  <c r="O75" i="14"/>
  <c r="I75" i="14"/>
  <c r="W76" i="4"/>
  <c r="Q76" i="4"/>
  <c r="I76" i="4"/>
  <c r="Q76" i="1"/>
  <c r="Q76" i="3"/>
  <c r="E76" i="3"/>
  <c r="E76" i="7"/>
  <c r="U76" i="9"/>
  <c r="O76" i="9"/>
  <c r="K76" i="9"/>
  <c r="Y76" i="10"/>
  <c r="U76" i="10"/>
  <c r="M76" i="10"/>
  <c r="G76" i="10"/>
  <c r="K74" i="12"/>
  <c r="BI73" i="14"/>
  <c r="AE73" i="14"/>
  <c r="O73" i="14"/>
  <c r="I73" i="14"/>
  <c r="BL76" i="6"/>
  <c r="BJ76" i="6"/>
  <c r="AF76" i="6"/>
  <c r="O76" i="6"/>
  <c r="I76" i="6"/>
  <c r="U74" i="4"/>
  <c r="W74" i="4"/>
  <c r="Q74" i="4"/>
  <c r="Q74" i="1"/>
  <c r="S74" i="3"/>
  <c r="Q74" i="3"/>
  <c r="E74" i="3"/>
  <c r="W74" i="8"/>
  <c r="Y74" i="10"/>
  <c r="U74" i="10"/>
  <c r="G74" i="10"/>
  <c r="AE72" i="14"/>
  <c r="AF75" i="6"/>
  <c r="O72" i="14"/>
  <c r="I72" i="14"/>
  <c r="BJ75" i="6"/>
  <c r="O75" i="6"/>
  <c r="W73" i="4"/>
  <c r="W73" i="1"/>
  <c r="Q73" i="1"/>
  <c r="S73" i="3"/>
  <c r="Q73" i="3"/>
  <c r="E73" i="3"/>
  <c r="U73" i="9"/>
  <c r="K73" i="9"/>
  <c r="Y73" i="10"/>
  <c r="U73" i="10"/>
  <c r="G73" i="10"/>
  <c r="Q72" i="12"/>
  <c r="AE71" i="14"/>
  <c r="AF74" i="6"/>
  <c r="BK71" i="14"/>
  <c r="BE71" i="14"/>
  <c r="O71" i="14"/>
  <c r="I71" i="14"/>
  <c r="BL74" i="6"/>
  <c r="BF74" i="6"/>
  <c r="O74" i="6"/>
  <c r="I74" i="6"/>
  <c r="W72" i="4"/>
  <c r="S72" i="3"/>
  <c r="Q72" i="3"/>
  <c r="E72" i="3"/>
  <c r="U72" i="9"/>
  <c r="O72" i="9"/>
  <c r="K72" i="9"/>
  <c r="M72" i="9"/>
  <c r="Y72" i="10"/>
  <c r="U72" i="10"/>
  <c r="M72" i="10"/>
  <c r="G72" i="10"/>
  <c r="K71" i="12"/>
  <c r="E71" i="12"/>
  <c r="AE69" i="13"/>
  <c r="AE70" i="14"/>
  <c r="AF73" i="6"/>
  <c r="BK69" i="13"/>
  <c r="BG69" i="13"/>
  <c r="BE69" i="13"/>
  <c r="S69" i="13"/>
  <c r="O69" i="13"/>
  <c r="I69" i="13"/>
  <c r="BK70" i="14"/>
  <c r="O70" i="14"/>
  <c r="I70" i="14"/>
  <c r="BL73" i="6"/>
  <c r="BH73" i="6"/>
  <c r="S73" i="6"/>
  <c r="O73" i="6"/>
  <c r="I73" i="6"/>
  <c r="S71" i="3"/>
  <c r="Q71" i="3"/>
  <c r="E71" i="3"/>
  <c r="M71" i="9"/>
  <c r="K71" i="9"/>
  <c r="Y71" i="10"/>
  <c r="U71" i="10"/>
  <c r="G71" i="10"/>
  <c r="AE68" i="15"/>
  <c r="AE69" i="14"/>
  <c r="AF72" i="6"/>
  <c r="BK68" i="15"/>
  <c r="O68" i="15"/>
  <c r="I68" i="15"/>
  <c r="BK69" i="14"/>
  <c r="BI69" i="14"/>
  <c r="O69" i="14"/>
  <c r="I69" i="14"/>
  <c r="BL72" i="6"/>
  <c r="BJ72" i="6"/>
  <c r="BF72" i="6"/>
  <c r="O72" i="6"/>
  <c r="I72" i="6"/>
  <c r="W70" i="4"/>
  <c r="Q70" i="4"/>
  <c r="S70" i="3"/>
  <c r="Q70" i="3"/>
  <c r="M70" i="9"/>
  <c r="K70" i="9"/>
  <c r="G70" i="10"/>
  <c r="AE67" i="14"/>
  <c r="AF70" i="6"/>
  <c r="BK67" i="14"/>
  <c r="BI67" i="14"/>
  <c r="O67" i="14"/>
  <c r="I67" i="14"/>
  <c r="BL70" i="6"/>
  <c r="BJ70" i="6"/>
  <c r="BF70" i="6"/>
  <c r="O70" i="6"/>
  <c r="I70" i="6"/>
  <c r="I68" i="5"/>
  <c r="W68" i="4"/>
  <c r="Q68" i="4"/>
  <c r="I68" i="2"/>
  <c r="Q68" i="1"/>
  <c r="S68" i="3"/>
  <c r="Q68" i="3"/>
  <c r="E68" i="3"/>
  <c r="S68" i="7"/>
  <c r="E68" i="7"/>
  <c r="K68" i="8"/>
  <c r="M68" i="9"/>
  <c r="K68" i="9"/>
  <c r="Y68" i="10"/>
  <c r="U68" i="10"/>
  <c r="Q67" i="12"/>
  <c r="AE65" i="15"/>
  <c r="O65" i="15"/>
  <c r="I65" i="15"/>
  <c r="AL67" i="5"/>
  <c r="AF67" i="5"/>
  <c r="W67" i="4"/>
  <c r="Q67" i="3"/>
  <c r="K67" i="9"/>
  <c r="Y67" i="10"/>
  <c r="G67" i="10"/>
  <c r="E66" i="12"/>
  <c r="Q66" i="12"/>
  <c r="K66" i="12"/>
  <c r="BK65" i="14"/>
  <c r="BI65" i="14"/>
  <c r="BE65" i="14"/>
  <c r="O65" i="14"/>
  <c r="I65" i="14"/>
  <c r="AE65" i="14"/>
  <c r="AF68" i="6"/>
  <c r="BL68" i="6"/>
  <c r="BF68" i="6"/>
  <c r="O68" i="6"/>
  <c r="I68" i="6"/>
  <c r="AL66" i="5"/>
  <c r="Q66" i="5"/>
  <c r="I66" i="5"/>
  <c r="W66" i="4"/>
  <c r="Q66" i="4"/>
  <c r="Q66" i="2"/>
  <c r="I66" i="2"/>
  <c r="Q66" i="1"/>
  <c r="S66" i="3"/>
  <c r="Q66" i="3"/>
  <c r="E66" i="3"/>
  <c r="S66" i="7"/>
  <c r="E66" i="7"/>
  <c r="K66" i="9"/>
  <c r="O63" i="15"/>
  <c r="I63" i="15"/>
  <c r="BN67" i="6"/>
  <c r="AJ67" i="6"/>
  <c r="AT67" i="6" s="1"/>
  <c r="W67" i="6"/>
  <c r="AE62" i="14"/>
  <c r="AF65" i="6"/>
  <c r="O62" i="15"/>
  <c r="I62" i="15"/>
  <c r="BK62" i="14"/>
  <c r="O62" i="14"/>
  <c r="I62" i="14"/>
  <c r="BL65" i="6"/>
  <c r="BJ65" i="6"/>
  <c r="O65" i="6"/>
  <c r="I65" i="6"/>
  <c r="Q63" i="4"/>
  <c r="Q63" i="1"/>
  <c r="S63" i="3"/>
  <c r="Q63" i="3"/>
  <c r="O63" i="9"/>
  <c r="M63" i="9"/>
  <c r="K63" i="9"/>
  <c r="Y63" i="10"/>
  <c r="BK61" i="14"/>
  <c r="BI61" i="14"/>
  <c r="AE61" i="14"/>
  <c r="O61" i="14"/>
  <c r="I61" i="14"/>
  <c r="BL64" i="6"/>
  <c r="BJ64" i="6"/>
  <c r="AF64" i="6"/>
  <c r="O64" i="6"/>
  <c r="I64" i="6"/>
  <c r="W62" i="4"/>
  <c r="Q62" i="4"/>
  <c r="Q62" i="1"/>
  <c r="U62" i="9"/>
  <c r="K62" i="9"/>
  <c r="Y62" i="10"/>
  <c r="U62" i="10"/>
  <c r="G62" i="10"/>
  <c r="K61" i="12"/>
  <c r="BK60" i="14"/>
  <c r="BI60" i="14"/>
  <c r="BE60" i="14"/>
  <c r="AE60" i="14"/>
  <c r="O60" i="14"/>
  <c r="I60" i="14"/>
  <c r="BL63" i="6"/>
  <c r="BJ63" i="6"/>
  <c r="BF63" i="6"/>
  <c r="AF63" i="6"/>
  <c r="O63" i="6"/>
  <c r="I63" i="6"/>
  <c r="W61" i="4"/>
  <c r="AL61" i="5"/>
  <c r="AB61" i="5"/>
  <c r="Q61" i="4"/>
  <c r="I61" i="4"/>
  <c r="Q61" i="1"/>
  <c r="I61" i="1"/>
  <c r="S61" i="3"/>
  <c r="Q61" i="3"/>
  <c r="E61" i="3"/>
  <c r="E61" i="7"/>
  <c r="U61" i="9"/>
  <c r="O61" i="9"/>
  <c r="M61" i="9"/>
  <c r="K61" i="9"/>
  <c r="Y61" i="10"/>
  <c r="U61" i="10"/>
  <c r="G61" i="10"/>
  <c r="Q59" i="10"/>
  <c r="S59" i="12"/>
  <c r="S74" i="4" l="1"/>
  <c r="W59" i="12"/>
  <c r="AZ67" i="6"/>
  <c r="BK58" i="13"/>
  <c r="BE59" i="13"/>
  <c r="AE59" i="13"/>
  <c r="O59" i="13"/>
  <c r="I59" i="13"/>
  <c r="BE58" i="14"/>
  <c r="AE58" i="14"/>
  <c r="O58" i="14"/>
  <c r="I58" i="14"/>
  <c r="BF61" i="6"/>
  <c r="AF61" i="6"/>
  <c r="O61" i="6"/>
  <c r="I61" i="6"/>
  <c r="AL59" i="5"/>
  <c r="W59" i="4"/>
  <c r="Q59" i="4"/>
  <c r="Q59" i="1"/>
  <c r="Q59" i="3"/>
  <c r="E59" i="3"/>
  <c r="U59" i="9"/>
  <c r="O59" i="9"/>
  <c r="Y59" i="10"/>
  <c r="U59" i="10"/>
  <c r="M59" i="10"/>
  <c r="G59" i="10"/>
  <c r="BK59" i="14"/>
  <c r="BI59" i="14"/>
  <c r="BG59" i="14"/>
  <c r="BL62" i="6"/>
  <c r="AE58" i="13"/>
  <c r="AE59" i="14"/>
  <c r="AF62" i="6"/>
  <c r="O58" i="13"/>
  <c r="I58" i="13"/>
  <c r="O59" i="14"/>
  <c r="I59" i="14"/>
  <c r="O62" i="6"/>
  <c r="I62" i="6"/>
  <c r="W60" i="4"/>
  <c r="Q60" i="4"/>
  <c r="Q60" i="1"/>
  <c r="S60" i="3"/>
  <c r="Q60" i="3"/>
  <c r="K60" i="9"/>
  <c r="Y60" i="10"/>
  <c r="U60" i="10"/>
  <c r="Q58" i="12"/>
  <c r="BK57" i="13"/>
  <c r="BG57" i="13"/>
  <c r="BE57" i="13"/>
  <c r="BK57" i="14"/>
  <c r="BI57" i="14"/>
  <c r="BL60" i="6"/>
  <c r="BJ60" i="6"/>
  <c r="BF60" i="6"/>
  <c r="AE57" i="13"/>
  <c r="AE57" i="14"/>
  <c r="AF60" i="6"/>
  <c r="O57" i="13"/>
  <c r="I57" i="13"/>
  <c r="O57" i="14"/>
  <c r="I57" i="14"/>
  <c r="O60" i="6"/>
  <c r="I60" i="6"/>
  <c r="W58" i="4"/>
  <c r="Q58" i="4"/>
  <c r="W58" i="1"/>
  <c r="Q58" i="1"/>
  <c r="S58" i="3"/>
  <c r="Q58" i="3"/>
  <c r="S58" i="7"/>
  <c r="M58" i="9"/>
  <c r="K58" i="9"/>
  <c r="Y58" i="10"/>
  <c r="U58" i="10"/>
  <c r="G58" i="10"/>
  <c r="BK56" i="14"/>
  <c r="BI56" i="14"/>
  <c r="AE56" i="14"/>
  <c r="O56" i="14"/>
  <c r="I56" i="14"/>
  <c r="BL59" i="6"/>
  <c r="BJ59" i="6"/>
  <c r="AF59" i="6"/>
  <c r="O59" i="6"/>
  <c r="I59" i="6"/>
  <c r="W57" i="4"/>
  <c r="Q57" i="4"/>
  <c r="W57" i="1"/>
  <c r="Q57" i="1"/>
  <c r="S57" i="3"/>
  <c r="Q57" i="3"/>
  <c r="U57" i="9"/>
  <c r="O57" i="9"/>
  <c r="K57" i="9"/>
  <c r="Y57" i="10"/>
  <c r="G57" i="10"/>
  <c r="Q56" i="12"/>
  <c r="E56" i="12"/>
  <c r="BK55" i="13"/>
  <c r="AE55" i="13"/>
  <c r="S55" i="13"/>
  <c r="O55" i="13"/>
  <c r="I55" i="13"/>
  <c r="BL58" i="6"/>
  <c r="AF58" i="6"/>
  <c r="S58" i="6"/>
  <c r="M58" i="6"/>
  <c r="O58" i="6" s="1"/>
  <c r="G58" i="6"/>
  <c r="I58" i="6" s="1"/>
  <c r="Q56" i="5"/>
  <c r="AF56" i="5"/>
  <c r="I56" i="5"/>
  <c r="AL56" i="5"/>
  <c r="W56" i="4"/>
  <c r="Q56" i="2"/>
  <c r="I56" i="2"/>
  <c r="W56" i="1"/>
  <c r="S56" i="3"/>
  <c r="Q56" i="3"/>
  <c r="K56" i="8"/>
  <c r="Q56" i="9"/>
  <c r="Y56" i="10"/>
  <c r="I55" i="12"/>
  <c r="BI54" i="14"/>
  <c r="AE54" i="14"/>
  <c r="O54" i="14"/>
  <c r="I54" i="14"/>
  <c r="AF57" i="6"/>
  <c r="O57" i="6"/>
  <c r="I57" i="6"/>
  <c r="W55" i="4"/>
  <c r="Q55" i="4"/>
  <c r="I55" i="4"/>
  <c r="Q55" i="3"/>
  <c r="S55" i="9"/>
  <c r="M55" i="9"/>
  <c r="O55" i="9"/>
  <c r="K55" i="9"/>
  <c r="U55" i="10"/>
  <c r="Y55" i="10"/>
  <c r="G55" i="10"/>
  <c r="BI10" i="14"/>
  <c r="BL12" i="6"/>
  <c r="BJ12" i="6"/>
  <c r="Q11" i="12"/>
  <c r="BK11" i="14"/>
  <c r="BI11" i="14"/>
  <c r="BE11" i="14"/>
  <c r="BL13" i="6"/>
  <c r="BH13" i="6"/>
  <c r="BF13" i="6"/>
  <c r="BK13" i="13"/>
  <c r="BE13" i="13"/>
  <c r="BK12" i="14"/>
  <c r="BI12" i="14"/>
  <c r="BE12" i="14"/>
  <c r="BL14" i="6"/>
  <c r="BF14" i="6"/>
  <c r="E13" i="12"/>
  <c r="BK14" i="15"/>
  <c r="BK13" i="14"/>
  <c r="BE13" i="14"/>
  <c r="BL15" i="6"/>
  <c r="BF15" i="6"/>
  <c r="BK15" i="15"/>
  <c r="BK14" i="14"/>
  <c r="BI14" i="14"/>
  <c r="E15" i="12"/>
  <c r="BK15" i="14"/>
  <c r="BI15" i="14"/>
  <c r="BL17" i="6"/>
  <c r="BJ17" i="6"/>
  <c r="BI16" i="14"/>
  <c r="BE16" i="14"/>
  <c r="BL18" i="6"/>
  <c r="BJ18" i="6"/>
  <c r="BK17" i="14"/>
  <c r="BE17" i="14"/>
  <c r="BL19" i="6"/>
  <c r="BF19" i="6"/>
  <c r="S16" i="12"/>
  <c r="W16" i="12" s="1"/>
  <c r="S17" i="12"/>
  <c r="W17" i="12" s="1"/>
  <c r="BL20" i="6"/>
  <c r="BK18" i="14"/>
  <c r="BI18" i="14"/>
  <c r="BE18" i="14"/>
  <c r="BF20" i="6"/>
  <c r="K19" i="12"/>
  <c r="BK19" i="14"/>
  <c r="BI19" i="14"/>
  <c r="BE19" i="14"/>
  <c r="BL21" i="6"/>
  <c r="BJ21" i="6"/>
  <c r="BH21" i="6"/>
  <c r="BF21" i="6"/>
  <c r="E20" i="12"/>
  <c r="O20" i="12"/>
  <c r="BK20" i="14"/>
  <c r="BI20" i="14"/>
  <c r="E21" i="12"/>
  <c r="BK23" i="14"/>
  <c r="BI23" i="14"/>
  <c r="BE23" i="14"/>
  <c r="BL25" i="6"/>
  <c r="BJ25" i="6"/>
  <c r="BF25" i="6"/>
  <c r="BK24" i="14"/>
  <c r="BL27" i="6"/>
  <c r="BJ27" i="6"/>
  <c r="BF27" i="6"/>
  <c r="Q26" i="12"/>
  <c r="K26" i="12"/>
  <c r="BE27" i="15"/>
  <c r="BK26" i="14"/>
  <c r="BE26" i="14"/>
  <c r="BL28" i="6"/>
  <c r="BF28" i="6"/>
  <c r="BK27" i="14"/>
  <c r="BI27" i="14"/>
  <c r="BL29" i="6"/>
  <c r="BL30" i="6"/>
  <c r="BK28" i="14"/>
  <c r="BI28" i="14"/>
  <c r="BJ30" i="6"/>
  <c r="K29" i="12"/>
  <c r="Q29" i="12"/>
  <c r="E29" i="12"/>
  <c r="BK29" i="14"/>
  <c r="BI29" i="14"/>
  <c r="BL31" i="6"/>
  <c r="BJ31" i="6"/>
  <c r="BK30" i="14"/>
  <c r="BI30" i="14"/>
  <c r="BE30" i="14"/>
  <c r="BL32" i="6"/>
  <c r="BF32" i="6"/>
  <c r="U31" i="12"/>
  <c r="K31" i="12"/>
  <c r="BK33" i="13"/>
  <c r="BE33" i="13"/>
  <c r="BK32" i="14"/>
  <c r="BE32" i="14"/>
  <c r="BL34" i="6"/>
  <c r="BF34" i="6"/>
  <c r="K34" i="12"/>
  <c r="BK34" i="14"/>
  <c r="Q35" i="12"/>
  <c r="K35" i="12"/>
  <c r="Q36" i="12"/>
  <c r="I37" i="12"/>
  <c r="BK38" i="15"/>
  <c r="BK37" i="14"/>
  <c r="BI37" i="14"/>
  <c r="BL39" i="6"/>
  <c r="BK39" i="15"/>
  <c r="BK40" i="15"/>
  <c r="BK40" i="13"/>
  <c r="BK39" i="14"/>
  <c r="BI39" i="14"/>
  <c r="BL41" i="6"/>
  <c r="Q40" i="12"/>
  <c r="G40" i="12"/>
  <c r="BK41" i="15"/>
  <c r="BK40" i="14"/>
  <c r="BI40" i="14"/>
  <c r="BL42" i="6"/>
  <c r="BJ42" i="6"/>
  <c r="K41" i="12"/>
  <c r="BK41" i="14"/>
  <c r="BI41" i="14"/>
  <c r="BL43" i="6"/>
  <c r="BJ43" i="6"/>
  <c r="BH43" i="6"/>
  <c r="BL44" i="6"/>
  <c r="BJ44" i="6"/>
  <c r="BI42" i="14"/>
  <c r="BJ45" i="6"/>
  <c r="BF45" i="6"/>
  <c r="Q44" i="12"/>
  <c r="BK43" i="14"/>
  <c r="BI43" i="14"/>
  <c r="BG43" i="14"/>
  <c r="BL46" i="6"/>
  <c r="BJ46" i="6"/>
  <c r="BK44" i="14"/>
  <c r="BI44" i="14"/>
  <c r="BL47" i="6"/>
  <c r="BK48" i="13"/>
  <c r="BI48" i="13"/>
  <c r="BK47" i="14"/>
  <c r="BG47" i="14"/>
  <c r="BE47" i="14"/>
  <c r="BL50" i="6"/>
  <c r="BJ50" i="6"/>
  <c r="BF50" i="6"/>
  <c r="BK49" i="15"/>
  <c r="I48" i="12"/>
  <c r="S48" i="12" s="1"/>
  <c r="Q53" i="12"/>
  <c r="BL55" i="6"/>
  <c r="BJ55" i="6"/>
  <c r="BH55" i="6"/>
  <c r="BF55" i="6"/>
  <c r="BL56" i="6"/>
  <c r="BK53" i="14"/>
  <c r="BE53" i="14"/>
  <c r="BF56" i="6"/>
  <c r="AE53" i="14"/>
  <c r="O53" i="14"/>
  <c r="I53" i="14"/>
  <c r="AF56" i="6"/>
  <c r="O56" i="6"/>
  <c r="I56" i="6"/>
  <c r="O54" i="5"/>
  <c r="I54" i="5"/>
  <c r="G54" i="5"/>
  <c r="W54" i="4"/>
  <c r="Q54" i="4"/>
  <c r="O54" i="2"/>
  <c r="G54" i="2"/>
  <c r="Q54" i="1"/>
  <c r="S54" i="3"/>
  <c r="Q54" i="3"/>
  <c r="E54" i="3"/>
  <c r="S54" i="7"/>
  <c r="K54" i="8"/>
  <c r="I54" i="8"/>
  <c r="E54" i="8"/>
  <c r="U54" i="9"/>
  <c r="M54" i="9"/>
  <c r="K54" i="9"/>
  <c r="Y54" i="10"/>
  <c r="U54" i="10"/>
  <c r="M54" i="10"/>
  <c r="G54" i="10"/>
  <c r="S18" i="12" l="1"/>
  <c r="W18" i="12" s="1"/>
  <c r="AF55" i="6"/>
  <c r="O55" i="6"/>
  <c r="I55" i="6"/>
  <c r="Q53" i="5"/>
  <c r="AL53" i="5"/>
  <c r="W53" i="4"/>
  <c r="Q53" i="2"/>
  <c r="S53" i="3"/>
  <c r="Q53" i="3"/>
  <c r="E53" i="3"/>
  <c r="S53" i="7"/>
  <c r="E53" i="7"/>
  <c r="O53" i="9"/>
  <c r="Y53" i="10"/>
  <c r="U53" i="10"/>
  <c r="AL51" i="5"/>
  <c r="W51" i="4"/>
  <c r="Q51" i="4"/>
  <c r="Q51" i="1"/>
  <c r="Q51" i="3"/>
  <c r="K51" i="9"/>
  <c r="Y51" i="10"/>
  <c r="U51" i="10"/>
  <c r="G51" i="10"/>
  <c r="AE49" i="15"/>
  <c r="O49" i="15"/>
  <c r="I49" i="15"/>
  <c r="W49" i="4"/>
  <c r="Q49" i="3"/>
  <c r="Y49" i="10"/>
  <c r="G49" i="10"/>
  <c r="AE48" i="13"/>
  <c r="AE47" i="14"/>
  <c r="AF50" i="6"/>
  <c r="O48" i="13"/>
  <c r="I48" i="13"/>
  <c r="S47" i="14"/>
  <c r="O47" i="14"/>
  <c r="E47" i="14"/>
  <c r="I47" i="14" s="1"/>
  <c r="O50" i="6"/>
  <c r="E50" i="6"/>
  <c r="I50" i="6" s="1"/>
  <c r="AL48" i="5"/>
  <c r="W48" i="4"/>
  <c r="Q48" i="4"/>
  <c r="I48" i="4"/>
  <c r="Q48" i="1"/>
  <c r="S48" i="3"/>
  <c r="Q48" i="3"/>
  <c r="E48" i="3"/>
  <c r="E48" i="7"/>
  <c r="U48" i="9"/>
  <c r="O48" i="9"/>
  <c r="K48" i="9"/>
  <c r="AE44" i="14" l="1"/>
  <c r="O44" i="14"/>
  <c r="I44" i="14"/>
  <c r="AF47" i="6"/>
  <c r="O47" i="6"/>
  <c r="I47" i="6"/>
  <c r="Q45" i="4"/>
  <c r="Q45" i="1"/>
  <c r="S45" i="3"/>
  <c r="Q45" i="3"/>
  <c r="S45" i="7"/>
  <c r="K45" i="9"/>
  <c r="AE43" i="14"/>
  <c r="AF46" i="6"/>
  <c r="O43" i="14"/>
  <c r="I43" i="14"/>
  <c r="O46" i="6"/>
  <c r="I46" i="6"/>
  <c r="W44" i="4"/>
  <c r="Q44" i="3"/>
  <c r="O44" i="9"/>
  <c r="AE42" i="14"/>
  <c r="AF45" i="6"/>
  <c r="O42" i="14"/>
  <c r="I42" i="14"/>
  <c r="O45" i="6"/>
  <c r="I45" i="6"/>
  <c r="W43" i="4"/>
  <c r="S43" i="3"/>
  <c r="Q43" i="3"/>
  <c r="E43" i="3"/>
  <c r="E43" i="7"/>
  <c r="M43" i="9"/>
  <c r="K43" i="9"/>
  <c r="Y48" i="10"/>
  <c r="U48" i="10"/>
  <c r="G48" i="10"/>
  <c r="Y45" i="10"/>
  <c r="U45" i="10"/>
  <c r="G45" i="10"/>
  <c r="Y44" i="10"/>
  <c r="G44" i="10"/>
  <c r="Y43" i="10"/>
  <c r="U43" i="10"/>
  <c r="G43" i="10"/>
  <c r="AF44" i="6"/>
  <c r="AJ44" i="6" s="1"/>
  <c r="AT44" i="6" s="1"/>
  <c r="O44" i="6"/>
  <c r="I44" i="6"/>
  <c r="S42" i="12"/>
  <c r="W42" i="12" s="1"/>
  <c r="BN44" i="6"/>
  <c r="AZ44" i="6"/>
  <c r="W44" i="6"/>
  <c r="G42" i="5"/>
  <c r="AH42" i="5"/>
  <c r="S42" i="4"/>
  <c r="G42" i="2"/>
  <c r="AC42" i="2" s="1"/>
  <c r="S42" i="1"/>
  <c r="S42" i="3"/>
  <c r="Q42" i="3"/>
  <c r="E42" i="3"/>
  <c r="E42" i="7"/>
  <c r="W42" i="7"/>
  <c r="Z42" i="7" s="1"/>
  <c r="Y42" i="7"/>
  <c r="E42" i="8"/>
  <c r="W42" i="8" s="1"/>
  <c r="M42" i="9"/>
  <c r="K42" i="9"/>
  <c r="Y42" i="10"/>
  <c r="AC42" i="10" s="1"/>
  <c r="U42" i="10"/>
  <c r="O42" i="10" s="1"/>
  <c r="G42" i="10"/>
  <c r="E42" i="10" s="1"/>
  <c r="AE41" i="14"/>
  <c r="AI41" i="14" s="1"/>
  <c r="AF43" i="6"/>
  <c r="O41" i="14"/>
  <c r="I41" i="14"/>
  <c r="O43" i="6"/>
  <c r="I43" i="6"/>
  <c r="W41" i="4"/>
  <c r="Q41" i="4"/>
  <c r="Q41" i="1"/>
  <c r="S41" i="3"/>
  <c r="Q41" i="3"/>
  <c r="E41" i="3"/>
  <c r="E41" i="7"/>
  <c r="U41" i="9"/>
  <c r="M41" i="9"/>
  <c r="K41" i="9"/>
  <c r="Y41" i="10"/>
  <c r="G41" i="10"/>
  <c r="AE41" i="15"/>
  <c r="AE40" i="14"/>
  <c r="AF42" i="6"/>
  <c r="O41" i="15"/>
  <c r="I41" i="15"/>
  <c r="O40" i="14"/>
  <c r="I40" i="14"/>
  <c r="O42" i="6"/>
  <c r="I42" i="6"/>
  <c r="G40" i="5"/>
  <c r="Q40" i="4"/>
  <c r="G40" i="2"/>
  <c r="Q40" i="1"/>
  <c r="S40" i="3"/>
  <c r="Q40" i="3"/>
  <c r="E40" i="8"/>
  <c r="O40" i="9"/>
  <c r="M40" i="9"/>
  <c r="K40" i="9"/>
  <c r="Y40" i="10"/>
  <c r="U40" i="10"/>
  <c r="G40" i="10"/>
  <c r="AE40" i="15"/>
  <c r="AE40" i="13"/>
  <c r="AE39" i="14"/>
  <c r="AF41" i="6"/>
  <c r="O40" i="15"/>
  <c r="I40" i="15"/>
  <c r="O40" i="13"/>
  <c r="I40" i="13"/>
  <c r="O39" i="14"/>
  <c r="I39" i="14"/>
  <c r="O41" i="6"/>
  <c r="I41" i="6"/>
  <c r="W39" i="4"/>
  <c r="Q39" i="4"/>
  <c r="Q39" i="1"/>
  <c r="W39" i="1"/>
  <c r="Q39" i="3"/>
  <c r="U39" i="9"/>
  <c r="Y39" i="10"/>
  <c r="U39" i="10"/>
  <c r="AE39" i="15"/>
  <c r="O39" i="15"/>
  <c r="I39" i="15"/>
  <c r="W38" i="4"/>
  <c r="S38" i="3"/>
  <c r="Q38" i="3"/>
  <c r="E38" i="3"/>
  <c r="E38" i="7"/>
  <c r="S38" i="7"/>
  <c r="M38" i="9"/>
  <c r="K38" i="9"/>
  <c r="Y38" i="10"/>
  <c r="U38" i="10"/>
  <c r="G38" i="10"/>
  <c r="AE38" i="15"/>
  <c r="AE37" i="14"/>
  <c r="AF39" i="6"/>
  <c r="W38" i="15"/>
  <c r="O38" i="15"/>
  <c r="I38" i="15"/>
  <c r="O37" i="14"/>
  <c r="I37" i="14"/>
  <c r="O39" i="6"/>
  <c r="I39" i="6"/>
  <c r="BM38" i="13"/>
  <c r="AI38" i="13"/>
  <c r="W38" i="13"/>
  <c r="K38" i="13"/>
  <c r="E38" i="13"/>
  <c r="AY38" i="13" s="1"/>
  <c r="W37" i="4"/>
  <c r="S37" i="3"/>
  <c r="Q37" i="3"/>
  <c r="Y37" i="10"/>
  <c r="U37" i="10"/>
  <c r="G37" i="10"/>
  <c r="BN38" i="6"/>
  <c r="AJ38" i="6"/>
  <c r="AT38" i="6" s="1"/>
  <c r="W38" i="6"/>
  <c r="K38" i="6"/>
  <c r="E38" i="6"/>
  <c r="W36" i="4"/>
  <c r="W36" i="1"/>
  <c r="S36" i="3"/>
  <c r="Q36" i="3"/>
  <c r="E36" i="3"/>
  <c r="S36" i="7"/>
  <c r="Q36" i="7"/>
  <c r="E36" i="7"/>
  <c r="M36" i="9"/>
  <c r="K36" i="9"/>
  <c r="Y36" i="10"/>
  <c r="U36" i="10"/>
  <c r="G36" i="10"/>
  <c r="G35" i="5"/>
  <c r="W35" i="4"/>
  <c r="Q35" i="4"/>
  <c r="G35" i="2"/>
  <c r="W35" i="1"/>
  <c r="Q35" i="1"/>
  <c r="S35" i="3"/>
  <c r="Q35" i="3"/>
  <c r="S35" i="7"/>
  <c r="E35" i="8"/>
  <c r="M35" i="9"/>
  <c r="K35" i="9"/>
  <c r="Y35" i="10"/>
  <c r="U35" i="10"/>
  <c r="G35" i="10"/>
  <c r="AE34" i="14"/>
  <c r="O34" i="14"/>
  <c r="I34" i="14"/>
  <c r="AL34" i="5"/>
  <c r="W34" i="4"/>
  <c r="Q34" i="4"/>
  <c r="Q34" i="1"/>
  <c r="S34" i="3"/>
  <c r="Q34" i="3"/>
  <c r="K34" i="9"/>
  <c r="M34" i="9"/>
  <c r="Y34" i="10"/>
  <c r="G34" i="10"/>
  <c r="AL33" i="5"/>
  <c r="G33" i="5"/>
  <c r="E33" i="5"/>
  <c r="W33" i="4"/>
  <c r="Q33" i="4"/>
  <c r="G33" i="2"/>
  <c r="E33" i="2"/>
  <c r="Q33" i="1"/>
  <c r="S33" i="3"/>
  <c r="Q33" i="3"/>
  <c r="E33" i="3"/>
  <c r="S33" i="7"/>
  <c r="E33" i="7"/>
  <c r="Q33" i="8"/>
  <c r="E33" i="8"/>
  <c r="U33" i="9"/>
  <c r="M33" i="9"/>
  <c r="K33" i="9"/>
  <c r="Y33" i="10"/>
  <c r="U33" i="10"/>
  <c r="M33" i="10"/>
  <c r="G33" i="10"/>
  <c r="AE33" i="13"/>
  <c r="AE32" i="14"/>
  <c r="AF34" i="6"/>
  <c r="O33" i="13"/>
  <c r="I33" i="13"/>
  <c r="O32" i="14"/>
  <c r="I32" i="14"/>
  <c r="O34" i="6"/>
  <c r="I34" i="6"/>
  <c r="AL32" i="5"/>
  <c r="G32" i="5"/>
  <c r="E32" i="5"/>
  <c r="W32" i="4"/>
  <c r="Q32" i="4"/>
  <c r="G32" i="2"/>
  <c r="E32" i="2"/>
  <c r="Q32" i="1"/>
  <c r="S32" i="3"/>
  <c r="Q32" i="3"/>
  <c r="E32" i="3"/>
  <c r="S32" i="7"/>
  <c r="Q32" i="8"/>
  <c r="E32" i="8"/>
  <c r="O32" i="9"/>
  <c r="M32" i="9"/>
  <c r="K32" i="9"/>
  <c r="Y32" i="10"/>
  <c r="U32" i="10"/>
  <c r="M32" i="10"/>
  <c r="G32" i="10"/>
  <c r="W31" i="4"/>
  <c r="S31" i="3"/>
  <c r="Q31" i="3"/>
  <c r="E31" i="3"/>
  <c r="K31" i="9"/>
  <c r="Y31" i="10"/>
  <c r="U31" i="10"/>
  <c r="G31" i="10"/>
  <c r="AE31" i="15"/>
  <c r="AE30" i="14"/>
  <c r="AF32" i="6"/>
  <c r="O31" i="15"/>
  <c r="I31" i="15"/>
  <c r="O30" i="14"/>
  <c r="I30" i="14"/>
  <c r="O32" i="6"/>
  <c r="I32" i="6"/>
  <c r="W30" i="4"/>
  <c r="Q30" i="4"/>
  <c r="Q30" i="1"/>
  <c r="S30" i="3"/>
  <c r="Q30" i="3"/>
  <c r="E30" i="3"/>
  <c r="E30" i="7"/>
  <c r="O30" i="9"/>
  <c r="K30" i="9"/>
  <c r="Y30" i="10"/>
  <c r="U30" i="10"/>
  <c r="O30" i="10" s="1"/>
  <c r="M30" i="10"/>
  <c r="G30" i="10"/>
  <c r="AE29" i="14"/>
  <c r="AF31" i="6"/>
  <c r="O29" i="14"/>
  <c r="I29" i="14"/>
  <c r="O31" i="6"/>
  <c r="I31" i="6"/>
  <c r="W29" i="4"/>
  <c r="Q29" i="4"/>
  <c r="Q29" i="1"/>
  <c r="S29" i="3"/>
  <c r="Q29" i="3"/>
  <c r="S29" i="7"/>
  <c r="K29" i="9"/>
  <c r="Y29" i="10"/>
  <c r="G29" i="10"/>
  <c r="AE28" i="14"/>
  <c r="AF30" i="6"/>
  <c r="O28" i="14"/>
  <c r="I28" i="14"/>
  <c r="O30" i="6"/>
  <c r="I30" i="6"/>
  <c r="O28" i="5"/>
  <c r="G28" i="5"/>
  <c r="W28" i="4"/>
  <c r="G28" i="2"/>
  <c r="W28" i="1"/>
  <c r="S28" i="3"/>
  <c r="Q28" i="3"/>
  <c r="E28" i="3"/>
  <c r="Q28" i="7"/>
  <c r="E28" i="7"/>
  <c r="I28" i="8"/>
  <c r="E28" i="8"/>
  <c r="U28" i="9"/>
  <c r="U28" i="10"/>
  <c r="G28" i="10"/>
  <c r="AE27" i="14"/>
  <c r="AF29" i="6"/>
  <c r="O27" i="14"/>
  <c r="G27" i="14"/>
  <c r="I27" i="14" s="1"/>
  <c r="O29" i="6"/>
  <c r="G29" i="6"/>
  <c r="I29" i="6" s="1"/>
  <c r="E27" i="5"/>
  <c r="W27" i="4"/>
  <c r="Q27" i="4"/>
  <c r="E27" i="2"/>
  <c r="Q27" i="1"/>
  <c r="S27" i="3"/>
  <c r="Q27" i="3"/>
  <c r="E27" i="3"/>
  <c r="E27" i="7"/>
  <c r="Q27" i="8"/>
  <c r="Y27" i="10"/>
  <c r="U27" i="10"/>
  <c r="G27" i="10"/>
  <c r="AA42" i="9" l="1"/>
  <c r="AZ38" i="6"/>
  <c r="W42" i="3"/>
  <c r="Y42" i="3" s="1"/>
  <c r="AM42" i="2"/>
  <c r="AC42" i="9"/>
  <c r="AF42" i="10"/>
  <c r="AA42" i="8"/>
  <c r="AE27" i="15"/>
  <c r="O27" i="15"/>
  <c r="I27" i="15"/>
  <c r="AE26" i="14"/>
  <c r="O26" i="14"/>
  <c r="I26" i="14"/>
  <c r="AF28" i="6"/>
  <c r="O28" i="6"/>
  <c r="I28" i="6"/>
  <c r="E26" i="5"/>
  <c r="W26" i="4"/>
  <c r="Q26" i="4"/>
  <c r="E26" i="2"/>
  <c r="Q26" i="1"/>
  <c r="S26" i="3"/>
  <c r="Q26" i="3"/>
  <c r="E26" i="3"/>
  <c r="S26" i="7"/>
  <c r="O26" i="9"/>
  <c r="AA26" i="9" s="1"/>
  <c r="Y26" i="10"/>
  <c r="U26" i="10"/>
  <c r="G26" i="10"/>
  <c r="AF27" i="6"/>
  <c r="O27" i="6"/>
  <c r="I27" i="6"/>
  <c r="AE26" i="15"/>
  <c r="O26" i="15"/>
  <c r="I26" i="15"/>
  <c r="Y25" i="10"/>
  <c r="G25" i="10"/>
  <c r="AE24" i="14"/>
  <c r="O24" i="14"/>
  <c r="I24" i="14"/>
  <c r="W24" i="4"/>
  <c r="Q24" i="4"/>
  <c r="W24" i="1"/>
  <c r="Q24" i="1"/>
  <c r="S24" i="3"/>
  <c r="Q24" i="3"/>
  <c r="S24" i="7"/>
  <c r="Q24" i="7"/>
  <c r="AE23" i="14"/>
  <c r="O23" i="14"/>
  <c r="I23" i="14"/>
  <c r="AF25" i="6"/>
  <c r="O25" i="6"/>
  <c r="I25" i="6"/>
  <c r="G23" i="5"/>
  <c r="W23" i="4"/>
  <c r="Q23" i="4"/>
  <c r="G23" i="2"/>
  <c r="W23" i="1"/>
  <c r="Q23" i="1"/>
  <c r="S23" i="3"/>
  <c r="Q23" i="3"/>
  <c r="S23" i="7"/>
  <c r="E23" i="8"/>
  <c r="U23" i="9"/>
  <c r="M23" i="9"/>
  <c r="K23" i="9"/>
  <c r="U23" i="10"/>
  <c r="M23" i="10"/>
  <c r="G23" i="10"/>
  <c r="Y23" i="10"/>
  <c r="W22" i="4"/>
  <c r="Q22" i="3"/>
  <c r="E22" i="3"/>
  <c r="E22" i="7"/>
  <c r="E21" i="8"/>
  <c r="K22" i="9"/>
  <c r="U22" i="10"/>
  <c r="Y22" i="10"/>
  <c r="M22" i="10"/>
  <c r="G22" i="10"/>
  <c r="AL21" i="5"/>
  <c r="G21" i="5"/>
  <c r="W21" i="4"/>
  <c r="I21" i="4"/>
  <c r="G21" i="2"/>
  <c r="I21" i="1"/>
  <c r="S21" i="3"/>
  <c r="Q21" i="3"/>
  <c r="E21" i="3"/>
  <c r="S21" i="7"/>
  <c r="E21" i="7"/>
  <c r="U21" i="9"/>
  <c r="O21" i="9"/>
  <c r="K21" i="9"/>
  <c r="M21" i="10"/>
  <c r="U21" i="10"/>
  <c r="Y21" i="10"/>
  <c r="G21" i="10"/>
  <c r="AR42" i="5" l="1"/>
  <c r="AC42" i="8"/>
  <c r="AE20" i="14"/>
  <c r="O20" i="14"/>
  <c r="I20" i="14"/>
  <c r="U20" i="4"/>
  <c r="S20" i="4" s="1"/>
  <c r="AL20" i="5"/>
  <c r="W20" i="4"/>
  <c r="S20" i="3"/>
  <c r="Q20" i="3"/>
  <c r="W20" i="9"/>
  <c r="M20" i="9"/>
  <c r="K20" i="9"/>
  <c r="Y20" i="10"/>
  <c r="G20" i="10"/>
  <c r="AE19" i="14"/>
  <c r="AF21" i="6"/>
  <c r="O19" i="14"/>
  <c r="I19" i="14"/>
  <c r="O21" i="6"/>
  <c r="I21" i="6"/>
  <c r="W19" i="4"/>
  <c r="Q19" i="4"/>
  <c r="W19" i="1"/>
  <c r="Q19" i="1"/>
  <c r="S19" i="3"/>
  <c r="Q19" i="3"/>
  <c r="E19" i="3"/>
  <c r="S19" i="7"/>
  <c r="E19" i="7"/>
  <c r="K19" i="9"/>
  <c r="Y19" i="10"/>
  <c r="U19" i="10"/>
  <c r="G19" i="10"/>
  <c r="AE18" i="14"/>
  <c r="O18" i="14"/>
  <c r="I18" i="14"/>
  <c r="AF20" i="6"/>
  <c r="O20" i="6"/>
  <c r="I20" i="6"/>
  <c r="Q18" i="1" l="1"/>
  <c r="AY17" i="14"/>
  <c r="AE17" i="14"/>
  <c r="AF19" i="6"/>
  <c r="O17" i="14"/>
  <c r="I17" i="14"/>
  <c r="O19" i="6"/>
  <c r="I19" i="6"/>
  <c r="AL17" i="5"/>
  <c r="W17" i="4"/>
  <c r="Q17" i="4"/>
  <c r="Q17" i="1"/>
  <c r="S17" i="3"/>
  <c r="Q17" i="3"/>
  <c r="E17" i="3"/>
  <c r="E17" i="7"/>
  <c r="M17" i="9"/>
  <c r="K17" i="9"/>
  <c r="Y17" i="10"/>
  <c r="U17" i="10"/>
  <c r="M17" i="10"/>
  <c r="G17" i="10"/>
  <c r="AE16" i="14"/>
  <c r="O16" i="14"/>
  <c r="I16" i="14"/>
  <c r="AF18" i="6"/>
  <c r="O18" i="6"/>
  <c r="I18" i="6"/>
  <c r="AL16" i="5"/>
  <c r="W16" i="4"/>
  <c r="Q16" i="4"/>
  <c r="Q16" i="1"/>
  <c r="S16" i="3"/>
  <c r="Q16" i="3"/>
  <c r="S16" i="7"/>
  <c r="M16" i="9"/>
  <c r="K16" i="9"/>
  <c r="M16" i="10"/>
  <c r="Y16" i="10"/>
  <c r="U16" i="10"/>
  <c r="G16" i="10"/>
  <c r="AE15" i="14"/>
  <c r="AF17" i="6"/>
  <c r="M15" i="14"/>
  <c r="G15" i="14"/>
  <c r="E15" i="14"/>
  <c r="M17" i="6"/>
  <c r="G17" i="6"/>
  <c r="E17" i="6"/>
  <c r="G15" i="5"/>
  <c r="W15" i="4"/>
  <c r="Q15" i="4"/>
  <c r="I15" i="4"/>
  <c r="G15" i="2"/>
  <c r="Q15" i="1"/>
  <c r="Q15" i="3"/>
  <c r="E15" i="8"/>
  <c r="O15" i="9"/>
  <c r="M15" i="9"/>
  <c r="Y15" i="10"/>
  <c r="U15" i="10"/>
  <c r="G15" i="10"/>
  <c r="E15" i="10" s="1"/>
  <c r="AE15" i="15"/>
  <c r="AI15" i="15" s="1"/>
  <c r="AE14" i="14"/>
  <c r="O15" i="15"/>
  <c r="I15" i="15"/>
  <c r="O14" i="14"/>
  <c r="I14" i="14"/>
  <c r="G14" i="5"/>
  <c r="E14" i="5"/>
  <c r="Q14" i="4"/>
  <c r="G14" i="2"/>
  <c r="E14" i="2"/>
  <c r="Q14" i="1"/>
  <c r="Q13" i="1"/>
  <c r="S14" i="3"/>
  <c r="Q14" i="3"/>
  <c r="E14" i="3"/>
  <c r="E14" i="7"/>
  <c r="AE14" i="15"/>
  <c r="O14" i="15"/>
  <c r="I14" i="15"/>
  <c r="AE13" i="14"/>
  <c r="O13" i="14"/>
  <c r="I13" i="14"/>
  <c r="AF15" i="6"/>
  <c r="O15" i="6"/>
  <c r="I15" i="6"/>
  <c r="Q13" i="4"/>
  <c r="S13" i="3"/>
  <c r="Q13" i="3"/>
  <c r="S13" i="7"/>
  <c r="Y13" i="10"/>
  <c r="G13" i="10"/>
  <c r="E13" i="10"/>
  <c r="AE13" i="13"/>
  <c r="O13" i="13"/>
  <c r="I13" i="13"/>
  <c r="O12" i="14"/>
  <c r="I12" i="14"/>
  <c r="AE12" i="14"/>
  <c r="AF14" i="6"/>
  <c r="O14" i="6"/>
  <c r="I14" i="6"/>
  <c r="W12" i="4"/>
  <c r="Q12" i="4"/>
  <c r="Q12" i="1"/>
  <c r="S12" i="3"/>
  <c r="Q12" i="3"/>
  <c r="U12" i="9"/>
  <c r="M12" i="9"/>
  <c r="K12" i="9"/>
  <c r="U12" i="10"/>
  <c r="Y12" i="10"/>
  <c r="G12" i="10"/>
  <c r="AE11" i="14"/>
  <c r="O11" i="14"/>
  <c r="I11" i="14"/>
  <c r="AF13" i="6"/>
  <c r="S13" i="6"/>
  <c r="O13" i="6"/>
  <c r="I13" i="6"/>
  <c r="AL11" i="5"/>
  <c r="W11" i="4"/>
  <c r="Q11" i="4"/>
  <c r="Q11" i="1"/>
  <c r="S11" i="3"/>
  <c r="Q11" i="3"/>
  <c r="S11" i="7"/>
  <c r="M11" i="9"/>
  <c r="K11" i="9"/>
  <c r="I15" i="14" l="1"/>
  <c r="I17" i="6"/>
  <c r="M13" i="10"/>
  <c r="E11" i="10"/>
  <c r="Y11" i="10"/>
  <c r="AC11" i="10" s="1"/>
  <c r="G11" i="10"/>
  <c r="AE10" i="14"/>
  <c r="O10" i="14"/>
  <c r="I10" i="14"/>
  <c r="AF12" i="6"/>
  <c r="O12" i="6"/>
  <c r="I12" i="6"/>
  <c r="AL10" i="5"/>
  <c r="W10" i="4"/>
  <c r="G10" i="5"/>
  <c r="AG10" i="2"/>
  <c r="E10" i="8"/>
  <c r="AC10" i="10"/>
  <c r="G10" i="2"/>
  <c r="S10" i="1"/>
  <c r="Q10" i="3"/>
  <c r="E10" i="3"/>
  <c r="M11" i="10" l="1"/>
  <c r="AF11" i="10" s="1"/>
  <c r="K10" i="10"/>
  <c r="W10" i="8"/>
  <c r="U10" i="9" l="1"/>
  <c r="G10" i="10"/>
  <c r="M10" i="10" s="1"/>
  <c r="AF10" i="10" s="1"/>
  <c r="AC10" i="9" l="1"/>
  <c r="AA10" i="9"/>
  <c r="BM250" i="15"/>
  <c r="AI250" i="15"/>
  <c r="AS250" i="15" s="1"/>
  <c r="W250" i="15"/>
  <c r="BM249" i="15"/>
  <c r="AI249" i="15"/>
  <c r="AS249" i="15" s="1"/>
  <c r="W249" i="15"/>
  <c r="AY249" i="15"/>
  <c r="BM248" i="15"/>
  <c r="AI248" i="15"/>
  <c r="AS248" i="15" s="1"/>
  <c r="W248" i="15"/>
  <c r="BM247" i="15"/>
  <c r="AI247" i="15"/>
  <c r="AS247" i="15" s="1"/>
  <c r="W247" i="15"/>
  <c r="BM246" i="15"/>
  <c r="AI246" i="15"/>
  <c r="AS246" i="15" s="1"/>
  <c r="W246" i="15"/>
  <c r="BM245" i="15"/>
  <c r="AI245" i="15"/>
  <c r="AS245" i="15" s="1"/>
  <c r="W245" i="15"/>
  <c r="AY245" i="15"/>
  <c r="BM244" i="15"/>
  <c r="AI244" i="15"/>
  <c r="AS244" i="15" s="1"/>
  <c r="W244" i="15"/>
  <c r="BM243" i="15"/>
  <c r="AI243" i="15"/>
  <c r="AS243" i="15" s="1"/>
  <c r="W243" i="15"/>
  <c r="BM242" i="15"/>
  <c r="AI242" i="15"/>
  <c r="AS242" i="15" s="1"/>
  <c r="W242" i="15"/>
  <c r="BM241" i="15"/>
  <c r="AI241" i="15"/>
  <c r="AS241" i="15" s="1"/>
  <c r="W241" i="15"/>
  <c r="BM240" i="15"/>
  <c r="AI240" i="15"/>
  <c r="AS240" i="15" s="1"/>
  <c r="W240" i="15"/>
  <c r="BM239" i="15"/>
  <c r="AI239" i="15"/>
  <c r="AS239" i="15" s="1"/>
  <c r="W239" i="15"/>
  <c r="BM238" i="15"/>
  <c r="AI238" i="15"/>
  <c r="AS238" i="15" s="1"/>
  <c r="W238" i="15"/>
  <c r="BM237" i="15"/>
  <c r="AE237" i="15"/>
  <c r="AI237" i="15" s="1"/>
  <c r="AS237" i="15" s="1"/>
  <c r="W237" i="15"/>
  <c r="AY237" i="15"/>
  <c r="BM236" i="15"/>
  <c r="AI236" i="15"/>
  <c r="AS236" i="15" s="1"/>
  <c r="W236" i="15"/>
  <c r="BM235" i="15"/>
  <c r="AI235" i="15"/>
  <c r="AS235" i="15" s="1"/>
  <c r="W235" i="15"/>
  <c r="S272" i="12"/>
  <c r="S270" i="12"/>
  <c r="S269" i="12"/>
  <c r="S268" i="12"/>
  <c r="S267" i="12"/>
  <c r="S266" i="12"/>
  <c r="S265" i="12"/>
  <c r="S264" i="12"/>
  <c r="S262" i="12"/>
  <c r="S261" i="12"/>
  <c r="S260" i="12"/>
  <c r="S259" i="12"/>
  <c r="S258" i="12"/>
  <c r="S257" i="12"/>
  <c r="S256" i="12"/>
  <c r="K255" i="12"/>
  <c r="I255" i="12"/>
  <c r="S255" i="12" s="1"/>
  <c r="S254" i="12"/>
  <c r="S253" i="12"/>
  <c r="W253" i="12" s="1"/>
  <c r="S252" i="12"/>
  <c r="Q251" i="12"/>
  <c r="S251" i="12" s="1"/>
  <c r="AY239" i="15" l="1"/>
  <c r="AY242" i="15"/>
  <c r="S263" i="12"/>
  <c r="S271" i="12"/>
  <c r="AY236" i="15"/>
  <c r="AY240" i="15"/>
  <c r="AY246" i="15"/>
  <c r="AY250" i="15"/>
  <c r="AY235" i="15"/>
  <c r="AY247" i="15"/>
  <c r="AY248" i="15"/>
  <c r="AY241" i="15"/>
  <c r="AY244" i="15"/>
  <c r="AY243" i="15"/>
  <c r="AY238" i="15"/>
  <c r="AI237" i="13" l="1"/>
  <c r="AS237" i="13" s="1"/>
  <c r="W237" i="13"/>
  <c r="BM266" i="14"/>
  <c r="AI266" i="14"/>
  <c r="AS266" i="14" s="1"/>
  <c r="W266" i="14"/>
  <c r="BM265" i="14"/>
  <c r="AI265" i="14"/>
  <c r="AS265" i="14" s="1"/>
  <c r="W265" i="14"/>
  <c r="BM264" i="14"/>
  <c r="AI264" i="14"/>
  <c r="AS264" i="14" s="1"/>
  <c r="W264" i="14"/>
  <c r="BM263" i="14"/>
  <c r="AI263" i="14"/>
  <c r="AS263" i="14" s="1"/>
  <c r="W263" i="14"/>
  <c r="BM262" i="14"/>
  <c r="AI262" i="14"/>
  <c r="AS262" i="14" s="1"/>
  <c r="W262" i="14"/>
  <c r="BM261" i="14"/>
  <c r="AI261" i="14"/>
  <c r="AS261" i="14" s="1"/>
  <c r="W261" i="14"/>
  <c r="AI260" i="14"/>
  <c r="AS260" i="14" s="1"/>
  <c r="W260" i="14"/>
  <c r="BM259" i="14"/>
  <c r="AI259" i="14"/>
  <c r="AS259" i="14" s="1"/>
  <c r="W259" i="14"/>
  <c r="BM258" i="14"/>
  <c r="AI258" i="14"/>
  <c r="AS258" i="14" s="1"/>
  <c r="W258" i="14"/>
  <c r="BM257" i="14"/>
  <c r="AI257" i="14"/>
  <c r="AS257" i="14" s="1"/>
  <c r="W257" i="14"/>
  <c r="BM256" i="14"/>
  <c r="AI256" i="14"/>
  <c r="AS256" i="14" s="1"/>
  <c r="W256" i="14"/>
  <c r="BM255" i="14"/>
  <c r="AI255" i="14"/>
  <c r="AS255" i="14" s="1"/>
  <c r="W255" i="14"/>
  <c r="BM254" i="14"/>
  <c r="AI254" i="14"/>
  <c r="AS254" i="14" s="1"/>
  <c r="W254" i="14"/>
  <c r="AI253" i="14"/>
  <c r="W253" i="14"/>
  <c r="BM252" i="14"/>
  <c r="AI252" i="14"/>
  <c r="AS252" i="14" s="1"/>
  <c r="W252" i="14"/>
  <c r="BM251" i="14"/>
  <c r="AI251" i="14"/>
  <c r="AS251" i="14" s="1"/>
  <c r="W251" i="14"/>
  <c r="BK250" i="14"/>
  <c r="BI250" i="14"/>
  <c r="AE250" i="14"/>
  <c r="AI250" i="14" s="1"/>
  <c r="AS250" i="14" s="1"/>
  <c r="W250" i="14"/>
  <c r="BM249" i="14"/>
  <c r="AI249" i="14"/>
  <c r="AS249" i="14" s="1"/>
  <c r="W249" i="14"/>
  <c r="BM248" i="14"/>
  <c r="AI248" i="14"/>
  <c r="AS248" i="14" s="1"/>
  <c r="W248" i="14"/>
  <c r="AI247" i="14"/>
  <c r="AS247" i="14" s="1"/>
  <c r="W247" i="14"/>
  <c r="BM246" i="14"/>
  <c r="AI246" i="14"/>
  <c r="AS246" i="14" s="1"/>
  <c r="W246" i="14"/>
  <c r="BJ272" i="6"/>
  <c r="BN272" i="6" s="1"/>
  <c r="AJ272" i="6"/>
  <c r="AT272" i="6" s="1"/>
  <c r="W272" i="6"/>
  <c r="AZ272" i="6"/>
  <c r="BN271" i="6"/>
  <c r="AT271" i="6"/>
  <c r="W271" i="6"/>
  <c r="AZ271" i="6"/>
  <c r="BN270" i="6"/>
  <c r="AJ270" i="6"/>
  <c r="AT270" i="6" s="1"/>
  <c r="W270" i="6"/>
  <c r="BN269" i="6"/>
  <c r="AJ269" i="6"/>
  <c r="AT269" i="6" s="1"/>
  <c r="W269" i="6"/>
  <c r="AZ269" i="6"/>
  <c r="BL268" i="6"/>
  <c r="BJ268" i="6"/>
  <c r="BF268" i="6"/>
  <c r="AJ268" i="6"/>
  <c r="AT268" i="6" s="1"/>
  <c r="W268" i="6"/>
  <c r="BN267" i="6"/>
  <c r="AJ267" i="6"/>
  <c r="AT267" i="6" s="1"/>
  <c r="W267" i="6"/>
  <c r="AZ267" i="6"/>
  <c r="BN266" i="6"/>
  <c r="AJ266" i="6"/>
  <c r="AT266" i="6" s="1"/>
  <c r="W266" i="6"/>
  <c r="AZ266" i="6"/>
  <c r="BN265" i="6"/>
  <c r="AJ265" i="6"/>
  <c r="AT265" i="6" s="1"/>
  <c r="W265" i="6"/>
  <c r="BN264" i="6"/>
  <c r="AJ264" i="6"/>
  <c r="AT264" i="6" s="1"/>
  <c r="W264" i="6"/>
  <c r="AZ264" i="6"/>
  <c r="BN263" i="6"/>
  <c r="AJ263" i="6"/>
  <c r="AT263" i="6" s="1"/>
  <c r="W263" i="6"/>
  <c r="BN262" i="6"/>
  <c r="AJ262" i="6"/>
  <c r="AT262" i="6" s="1"/>
  <c r="W262" i="6"/>
  <c r="AZ262" i="6"/>
  <c r="BN261" i="6"/>
  <c r="AJ261" i="6"/>
  <c r="AT261" i="6" s="1"/>
  <c r="W261" i="6"/>
  <c r="AZ261" i="6"/>
  <c r="BN260" i="6"/>
  <c r="AJ260" i="6"/>
  <c r="AT260" i="6" s="1"/>
  <c r="W260" i="6"/>
  <c r="BN259" i="6"/>
  <c r="AJ259" i="6"/>
  <c r="AT259" i="6" s="1"/>
  <c r="W259" i="6"/>
  <c r="AJ258" i="6"/>
  <c r="W258" i="6"/>
  <c r="AJ257" i="6"/>
  <c r="AT257" i="6" s="1"/>
  <c r="W257" i="6"/>
  <c r="AJ256" i="6"/>
  <c r="AT256" i="6" s="1"/>
  <c r="W256" i="6"/>
  <c r="AZ256" i="6"/>
  <c r="BJ255" i="6"/>
  <c r="BN255" i="6" s="1"/>
  <c r="AF255" i="6"/>
  <c r="AJ255" i="6" s="1"/>
  <c r="AT255" i="6" s="1"/>
  <c r="W255" i="6"/>
  <c r="AZ255" i="6"/>
  <c r="BN254" i="6"/>
  <c r="AJ254" i="6"/>
  <c r="AT254" i="6" s="1"/>
  <c r="W254" i="6"/>
  <c r="AZ254" i="6"/>
  <c r="AJ253" i="6"/>
  <c r="AT253" i="6" s="1"/>
  <c r="W253" i="6"/>
  <c r="AZ253" i="6"/>
  <c r="BN252" i="6"/>
  <c r="AJ252" i="6"/>
  <c r="AT252" i="6" s="1"/>
  <c r="W252" i="6"/>
  <c r="BN251" i="6"/>
  <c r="AJ251" i="6"/>
  <c r="AT251" i="6" s="1"/>
  <c r="W251" i="6"/>
  <c r="AZ251" i="6"/>
  <c r="AH272" i="5"/>
  <c r="AH271" i="5"/>
  <c r="AH270" i="5"/>
  <c r="AH269" i="5"/>
  <c r="AH268" i="5"/>
  <c r="AH267" i="5"/>
  <c r="AH266" i="5"/>
  <c r="AH265" i="5"/>
  <c r="AH264" i="5"/>
  <c r="AH263" i="5"/>
  <c r="AH262" i="5"/>
  <c r="AH261" i="5"/>
  <c r="AH260" i="5"/>
  <c r="AH259" i="5"/>
  <c r="AH258" i="5"/>
  <c r="AH257" i="5"/>
  <c r="AH256" i="5"/>
  <c r="AH255" i="5"/>
  <c r="AH254" i="5"/>
  <c r="AH253" i="5"/>
  <c r="AH252" i="5"/>
  <c r="AL251" i="5"/>
  <c r="AD251" i="5"/>
  <c r="G251" i="5"/>
  <c r="S272" i="4"/>
  <c r="S271" i="4"/>
  <c r="S270" i="4"/>
  <c r="S269" i="4"/>
  <c r="S268" i="4"/>
  <c r="S267" i="4"/>
  <c r="S266" i="4"/>
  <c r="S265" i="4"/>
  <c r="S263" i="4"/>
  <c r="S262" i="4"/>
  <c r="S261" i="4"/>
  <c r="S260" i="4"/>
  <c r="S259" i="4"/>
  <c r="S257" i="4"/>
  <c r="S256" i="4"/>
  <c r="W255" i="4"/>
  <c r="Q255" i="4"/>
  <c r="S255" i="4" s="1"/>
  <c r="S254" i="4"/>
  <c r="S253" i="4"/>
  <c r="S252" i="4"/>
  <c r="W251" i="4"/>
  <c r="Q251" i="4"/>
  <c r="S251" i="4" s="1"/>
  <c r="AC272" i="2"/>
  <c r="AC271" i="2"/>
  <c r="AC270" i="2"/>
  <c r="AC269" i="2"/>
  <c r="AC268" i="2"/>
  <c r="AC267" i="2"/>
  <c r="AC266" i="2"/>
  <c r="AC265" i="2"/>
  <c r="AC264" i="2"/>
  <c r="AC263" i="2"/>
  <c r="AC262" i="2"/>
  <c r="AC261" i="2"/>
  <c r="AC260" i="2"/>
  <c r="AC259" i="2"/>
  <c r="AC258" i="2"/>
  <c r="AC257" i="2"/>
  <c r="AC256" i="2"/>
  <c r="AC255" i="2"/>
  <c r="AC254" i="2"/>
  <c r="AC253" i="2"/>
  <c r="AC252" i="2"/>
  <c r="AG251" i="2"/>
  <c r="G251" i="2"/>
  <c r="AC251" i="2" s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Q254" i="1"/>
  <c r="S254" i="1" s="1"/>
  <c r="S253" i="1"/>
  <c r="S252" i="1"/>
  <c r="S251" i="1"/>
  <c r="S250" i="1"/>
  <c r="W272" i="3"/>
  <c r="Y272" i="3" s="1"/>
  <c r="W271" i="3"/>
  <c r="Y271" i="3" s="1"/>
  <c r="W270" i="3"/>
  <c r="Y270" i="3" s="1"/>
  <c r="W269" i="3"/>
  <c r="Y269" i="3" s="1"/>
  <c r="W268" i="3"/>
  <c r="Y268" i="3" s="1"/>
  <c r="W267" i="3"/>
  <c r="Y267" i="3" s="1"/>
  <c r="W266" i="3"/>
  <c r="Y266" i="3" s="1"/>
  <c r="W264" i="3"/>
  <c r="Y264" i="3" s="1"/>
  <c r="W263" i="3"/>
  <c r="Y263" i="3" s="1"/>
  <c r="W262" i="3"/>
  <c r="Y262" i="3" s="1"/>
  <c r="W261" i="3"/>
  <c r="Y261" i="3" s="1"/>
  <c r="W260" i="3"/>
  <c r="Y260" i="3" s="1"/>
  <c r="W259" i="3"/>
  <c r="Y259" i="3" s="1"/>
  <c r="W258" i="3"/>
  <c r="Y258" i="3" s="1"/>
  <c r="W257" i="3"/>
  <c r="Y257" i="3" s="1"/>
  <c r="W256" i="3"/>
  <c r="Y256" i="3" s="1"/>
  <c r="Q255" i="3"/>
  <c r="W255" i="3" s="1"/>
  <c r="Y255" i="3" s="1"/>
  <c r="W254" i="3"/>
  <c r="Y254" i="3" s="1"/>
  <c r="W253" i="3"/>
  <c r="Y253" i="3" s="1"/>
  <c r="W251" i="3"/>
  <c r="Y251" i="3" s="1"/>
  <c r="W272" i="7"/>
  <c r="Z272" i="7" s="1"/>
  <c r="W271" i="7"/>
  <c r="Z271" i="7" s="1"/>
  <c r="W270" i="7"/>
  <c r="Z270" i="7" s="1"/>
  <c r="W269" i="7"/>
  <c r="Z269" i="7" s="1"/>
  <c r="W268" i="7"/>
  <c r="Z268" i="7" s="1"/>
  <c r="W267" i="7"/>
  <c r="Z267" i="7" s="1"/>
  <c r="W266" i="7"/>
  <c r="Z266" i="7" s="1"/>
  <c r="W265" i="7"/>
  <c r="Z265" i="7" s="1"/>
  <c r="W264" i="7"/>
  <c r="Z264" i="7" s="1"/>
  <c r="W263" i="7"/>
  <c r="Z263" i="7" s="1"/>
  <c r="W262" i="7"/>
  <c r="Z262" i="7" s="1"/>
  <c r="W261" i="7"/>
  <c r="Z261" i="7" s="1"/>
  <c r="W260" i="7"/>
  <c r="Z260" i="7" s="1"/>
  <c r="W259" i="7"/>
  <c r="Z259" i="7" s="1"/>
  <c r="W258" i="7"/>
  <c r="Z258" i="7" s="1"/>
  <c r="W257" i="7"/>
  <c r="Z257" i="7" s="1"/>
  <c r="W256" i="7"/>
  <c r="Z256" i="7" s="1"/>
  <c r="W255" i="7"/>
  <c r="Z255" i="7" s="1"/>
  <c r="W254" i="7"/>
  <c r="Z254" i="7" s="1"/>
  <c r="W253" i="7"/>
  <c r="Z253" i="7" s="1"/>
  <c r="W252" i="7"/>
  <c r="Z252" i="7" s="1"/>
  <c r="W251" i="7"/>
  <c r="Z251" i="7" s="1"/>
  <c r="W272" i="8"/>
  <c r="W271" i="8"/>
  <c r="W270" i="8"/>
  <c r="W269" i="8"/>
  <c r="W268" i="8"/>
  <c r="W266" i="8"/>
  <c r="W265" i="8"/>
  <c r="W264" i="8"/>
  <c r="W263" i="8"/>
  <c r="W262" i="8"/>
  <c r="W261" i="8"/>
  <c r="W260" i="8"/>
  <c r="W259" i="8"/>
  <c r="W258" i="8"/>
  <c r="W257" i="8"/>
  <c r="W256" i="8"/>
  <c r="W255" i="8"/>
  <c r="W254" i="8"/>
  <c r="W253" i="8"/>
  <c r="W252" i="8"/>
  <c r="W251" i="8"/>
  <c r="AC270" i="9"/>
  <c r="AC269" i="9"/>
  <c r="AA269" i="9"/>
  <c r="AC268" i="9"/>
  <c r="AA268" i="9"/>
  <c r="AC267" i="9"/>
  <c r="AC266" i="9"/>
  <c r="AC265" i="9"/>
  <c r="AA265" i="9"/>
  <c r="AC264" i="9"/>
  <c r="AC263" i="9"/>
  <c r="AA263" i="9"/>
  <c r="AC261" i="9"/>
  <c r="AA261" i="9"/>
  <c r="AA260" i="9"/>
  <c r="AC259" i="9"/>
  <c r="AC258" i="9"/>
  <c r="AC257" i="9"/>
  <c r="AC256" i="9"/>
  <c r="K255" i="9"/>
  <c r="AC255" i="9" s="1"/>
  <c r="AC254" i="9"/>
  <c r="AA254" i="9"/>
  <c r="AC253" i="9"/>
  <c r="AC252" i="9"/>
  <c r="AA251" i="9"/>
  <c r="AC272" i="10"/>
  <c r="O272" i="10"/>
  <c r="E272" i="10"/>
  <c r="AC271" i="10"/>
  <c r="O271" i="10"/>
  <c r="E271" i="10"/>
  <c r="AC270" i="10"/>
  <c r="O270" i="10"/>
  <c r="E270" i="10"/>
  <c r="AC269" i="10"/>
  <c r="O269" i="10"/>
  <c r="E269" i="10"/>
  <c r="AC268" i="10"/>
  <c r="O268" i="10"/>
  <c r="E268" i="10"/>
  <c r="AC267" i="10"/>
  <c r="O267" i="10"/>
  <c r="E267" i="10"/>
  <c r="AC266" i="10"/>
  <c r="O266" i="10"/>
  <c r="E266" i="10"/>
  <c r="AC265" i="10"/>
  <c r="O265" i="10"/>
  <c r="E265" i="10"/>
  <c r="AC264" i="10"/>
  <c r="O264" i="10"/>
  <c r="E264" i="10"/>
  <c r="AC263" i="10"/>
  <c r="O263" i="10"/>
  <c r="E263" i="10"/>
  <c r="AC262" i="10"/>
  <c r="O262" i="10"/>
  <c r="E262" i="10"/>
  <c r="AC261" i="10"/>
  <c r="O261" i="10"/>
  <c r="E261" i="10"/>
  <c r="AC260" i="10"/>
  <c r="O260" i="10"/>
  <c r="E260" i="10"/>
  <c r="AC259" i="10"/>
  <c r="O259" i="10"/>
  <c r="E259" i="10"/>
  <c r="AC258" i="10"/>
  <c r="O258" i="10"/>
  <c r="E258" i="10"/>
  <c r="AC257" i="10"/>
  <c r="O257" i="10"/>
  <c r="E257" i="10"/>
  <c r="AC256" i="10"/>
  <c r="O256" i="10"/>
  <c r="E256" i="10"/>
  <c r="Y255" i="10"/>
  <c r="AC255" i="10" s="1"/>
  <c r="O255" i="10"/>
  <c r="G255" i="10"/>
  <c r="E255" i="10" s="1"/>
  <c r="AC254" i="10"/>
  <c r="O254" i="10"/>
  <c r="E254" i="10"/>
  <c r="AC253" i="10"/>
  <c r="AF253" i="10" s="1"/>
  <c r="O253" i="10"/>
  <c r="E253" i="10"/>
  <c r="AC252" i="10"/>
  <c r="O252" i="10"/>
  <c r="E252" i="10"/>
  <c r="AC251" i="10"/>
  <c r="O251" i="10"/>
  <c r="E251" i="10"/>
  <c r="BM250" i="14" l="1"/>
  <c r="AH251" i="5"/>
  <c r="AC260" i="9"/>
  <c r="AC262" i="9"/>
  <c r="AC251" i="9"/>
  <c r="AA267" i="9"/>
  <c r="AA272" i="9"/>
  <c r="AC272" i="9"/>
  <c r="AA255" i="9"/>
  <c r="AA258" i="9"/>
  <c r="AC271" i="9"/>
  <c r="W267" i="8"/>
  <c r="BM237" i="13"/>
  <c r="BM247" i="14"/>
  <c r="BM253" i="14"/>
  <c r="BM260" i="14"/>
  <c r="S258" i="4"/>
  <c r="S264" i="4"/>
  <c r="AZ258" i="6"/>
  <c r="BN253" i="6"/>
  <c r="BN268" i="6"/>
  <c r="BN256" i="6"/>
  <c r="BN257" i="6"/>
  <c r="AT258" i="6"/>
  <c r="BN258" i="6"/>
  <c r="AZ270" i="6"/>
  <c r="AY237" i="13"/>
  <c r="AS253" i="14"/>
  <c r="AZ252" i="6"/>
  <c r="AZ257" i="6"/>
  <c r="AZ259" i="6"/>
  <c r="AR253" i="5"/>
  <c r="AM253" i="2"/>
  <c r="AA253" i="8"/>
  <c r="AC253" i="8" s="1"/>
  <c r="AZ268" i="6"/>
  <c r="AZ263" i="6"/>
  <c r="AZ265" i="6"/>
  <c r="AZ260" i="6"/>
  <c r="AA270" i="9"/>
  <c r="AA271" i="9"/>
  <c r="AA259" i="9"/>
  <c r="AA264" i="9"/>
  <c r="AA257" i="9"/>
  <c r="AA262" i="9"/>
  <c r="AA266" i="9"/>
  <c r="AA256" i="9"/>
  <c r="AA253" i="9"/>
  <c r="AA252" i="9"/>
  <c r="W232" i="3" l="1"/>
  <c r="Y232" i="3" s="1"/>
  <c r="K237" i="12" l="1"/>
  <c r="AE233" i="14"/>
  <c r="AL237" i="5"/>
  <c r="W237" i="4"/>
  <c r="Q237" i="4"/>
  <c r="Q236" i="1"/>
  <c r="Q237" i="3"/>
  <c r="E237" i="3"/>
  <c r="E237" i="7"/>
  <c r="K237" i="9"/>
  <c r="Y237" i="10"/>
  <c r="G237" i="10"/>
  <c r="BM224" i="15" l="1"/>
  <c r="BM225" i="15"/>
  <c r="BM226" i="15"/>
  <c r="BM227" i="15"/>
  <c r="BM228" i="15"/>
  <c r="S247" i="12" l="1"/>
  <c r="W247" i="12" s="1"/>
  <c r="BM242" i="14"/>
  <c r="AI242" i="14"/>
  <c r="AS242" i="14" s="1"/>
  <c r="W242" i="14"/>
  <c r="BN247" i="6"/>
  <c r="AJ247" i="6"/>
  <c r="AT247" i="6" s="1"/>
  <c r="W247" i="6"/>
  <c r="AH247" i="5"/>
  <c r="S247" i="4"/>
  <c r="AC247" i="2"/>
  <c r="S246" i="1"/>
  <c r="W247" i="3"/>
  <c r="W247" i="7"/>
  <c r="Z247" i="7" s="1"/>
  <c r="W247" i="8"/>
  <c r="AC247" i="9"/>
  <c r="AA247" i="9"/>
  <c r="AR247" i="5" l="1"/>
  <c r="Y247" i="3"/>
  <c r="AZ247" i="6"/>
  <c r="AM247" i="2"/>
  <c r="AC247" i="10"/>
  <c r="AA247" i="8" s="1"/>
  <c r="AC247" i="8" s="1"/>
  <c r="O247" i="10"/>
  <c r="E247" i="10"/>
  <c r="BG228" i="13"/>
  <c r="AF247" i="10" l="1"/>
  <c r="K221" i="12" l="1"/>
  <c r="AE203" i="13"/>
  <c r="BK203" i="13"/>
  <c r="BE203" i="13"/>
  <c r="BK216" i="14"/>
  <c r="BI216" i="14"/>
  <c r="BE216" i="14"/>
  <c r="AE216" i="14"/>
  <c r="AF222" i="6"/>
  <c r="BL222" i="6"/>
  <c r="BJ222" i="6"/>
  <c r="BF222" i="6"/>
  <c r="W221" i="4"/>
  <c r="Q221" i="4"/>
  <c r="Q220" i="1"/>
  <c r="Q221" i="3"/>
  <c r="E221" i="3"/>
  <c r="M221" i="9"/>
  <c r="K221" i="9"/>
  <c r="Y221" i="10"/>
  <c r="G221" i="10"/>
  <c r="E226" i="10"/>
  <c r="BN234" i="6"/>
  <c r="BN236" i="6"/>
  <c r="BN237" i="6"/>
  <c r="BN238" i="6"/>
  <c r="BN239" i="6"/>
  <c r="W220" i="4"/>
  <c r="Q220" i="4"/>
  <c r="Q219" i="1"/>
  <c r="Q220" i="3"/>
  <c r="E220" i="3"/>
  <c r="E220" i="7"/>
  <c r="Y220" i="10"/>
  <c r="G220" i="10"/>
  <c r="AE200" i="14"/>
  <c r="BE200" i="14"/>
  <c r="W204" i="8"/>
  <c r="W198" i="1"/>
  <c r="W189" i="7"/>
  <c r="Z189" i="7" s="1"/>
  <c r="AJ186" i="6"/>
  <c r="BN171" i="6" l="1"/>
  <c r="AI164" i="14"/>
  <c r="BN170" i="6"/>
  <c r="AC165" i="10"/>
  <c r="AA165" i="8" s="1"/>
  <c r="BM149" i="15"/>
  <c r="AI149" i="15"/>
  <c r="AS149" i="15" s="1"/>
  <c r="W149" i="15"/>
  <c r="K149" i="15"/>
  <c r="AY149" i="15" s="1"/>
  <c r="E149" i="15"/>
  <c r="S165" i="12"/>
  <c r="W165" i="12" s="1"/>
  <c r="E149" i="13"/>
  <c r="K149" i="13"/>
  <c r="W149" i="13"/>
  <c r="AI149" i="13"/>
  <c r="AS149" i="13" s="1"/>
  <c r="BM149" i="13"/>
  <c r="W162" i="14"/>
  <c r="AI162" i="14"/>
  <c r="AS162" i="14" s="1"/>
  <c r="BM162" i="14"/>
  <c r="AJ168" i="6"/>
  <c r="AT168" i="6" s="1"/>
  <c r="BN168" i="6"/>
  <c r="W168" i="6"/>
  <c r="AH165" i="5"/>
  <c r="S165" i="4"/>
  <c r="AC165" i="2"/>
  <c r="S164" i="1"/>
  <c r="W165" i="3"/>
  <c r="Y165" i="3" s="1"/>
  <c r="W165" i="7"/>
  <c r="Z165" i="7" s="1"/>
  <c r="W165" i="8"/>
  <c r="AC165" i="9"/>
  <c r="AA165" i="9"/>
  <c r="O165" i="10"/>
  <c r="E165" i="10"/>
  <c r="AY149" i="13" l="1"/>
  <c r="AZ168" i="6"/>
  <c r="AR165" i="5"/>
  <c r="Y165" i="7"/>
  <c r="AM165" i="2"/>
  <c r="AC165" i="8"/>
  <c r="AF165" i="10"/>
  <c r="AE129" i="15" l="1"/>
  <c r="BK129" i="15"/>
  <c r="AC143" i="10"/>
  <c r="O143" i="10"/>
  <c r="E143" i="10"/>
  <c r="AI115" i="15" l="1"/>
  <c r="AS115" i="15" s="1"/>
  <c r="S121" i="1" l="1"/>
  <c r="W122" i="7"/>
  <c r="BM108" i="15"/>
  <c r="AI108" i="15"/>
  <c r="AS108" i="15" s="1"/>
  <c r="W108" i="15"/>
  <c r="S122" i="12"/>
  <c r="W122" i="12" s="1"/>
  <c r="BM108" i="13"/>
  <c r="AI108" i="13"/>
  <c r="AS108" i="13" s="1"/>
  <c r="W108" i="13"/>
  <c r="K108" i="13"/>
  <c r="E108" i="13"/>
  <c r="BM110" i="14"/>
  <c r="AI110" i="14"/>
  <c r="AS110" i="14" s="1"/>
  <c r="W110" i="14"/>
  <c r="AJ114" i="6"/>
  <c r="AT114" i="6" s="1"/>
  <c r="W114" i="6"/>
  <c r="AH122" i="5"/>
  <c r="AH123" i="5"/>
  <c r="S122" i="4"/>
  <c r="AC122" i="2"/>
  <c r="W122" i="3"/>
  <c r="W122" i="8"/>
  <c r="AC122" i="9"/>
  <c r="AA122" i="9"/>
  <c r="AC122" i="10"/>
  <c r="O122" i="10"/>
  <c r="E122" i="10"/>
  <c r="AF113" i="6"/>
  <c r="BL113" i="6"/>
  <c r="BF113" i="6"/>
  <c r="Q121" i="4"/>
  <c r="Q120" i="1"/>
  <c r="Q121" i="3"/>
  <c r="Y121" i="10"/>
  <c r="G121" i="10"/>
  <c r="AE106" i="13"/>
  <c r="AF111" i="6"/>
  <c r="BL111" i="6"/>
  <c r="BJ111" i="6"/>
  <c r="BF111" i="6"/>
  <c r="G119" i="5"/>
  <c r="W119" i="4"/>
  <c r="Q119" i="4"/>
  <c r="Q118" i="1"/>
  <c r="Q119" i="3"/>
  <c r="E119" i="3"/>
  <c r="E119" i="8"/>
  <c r="U119" i="9"/>
  <c r="M119" i="9"/>
  <c r="K119" i="9"/>
  <c r="E114" i="12"/>
  <c r="W114" i="4"/>
  <c r="Q114" i="4"/>
  <c r="Q113" i="1"/>
  <c r="Q114" i="3"/>
  <c r="E114" i="3"/>
  <c r="Q114" i="7"/>
  <c r="M114" i="9"/>
  <c r="Y114" i="10"/>
  <c r="G114" i="10"/>
  <c r="AR122" i="5" l="1"/>
  <c r="Y122" i="3"/>
  <c r="Y122" i="7"/>
  <c r="Z122" i="7"/>
  <c r="BN114" i="6"/>
  <c r="AY108" i="13"/>
  <c r="AF122" i="10"/>
  <c r="AA122" i="8"/>
  <c r="AC122" i="8" s="1"/>
  <c r="AZ114" i="6"/>
  <c r="AY108" i="15"/>
  <c r="AM122" i="2"/>
  <c r="AI98" i="14"/>
  <c r="AS98" i="14" s="1"/>
  <c r="AH109" i="5"/>
  <c r="AC109" i="10"/>
  <c r="AF109" i="10" s="1"/>
  <c r="E109" i="10"/>
  <c r="O109" i="10"/>
  <c r="AC109" i="9"/>
  <c r="AA109" i="9"/>
  <c r="W109" i="8"/>
  <c r="W109" i="7"/>
  <c r="W109" i="3"/>
  <c r="Y109" i="3" s="1"/>
  <c r="S108" i="1"/>
  <c r="AC109" i="2"/>
  <c r="S109" i="4"/>
  <c r="W101" i="6"/>
  <c r="AJ101" i="6"/>
  <c r="AT101" i="6" s="1"/>
  <c r="BN101" i="6"/>
  <c r="W98" i="14"/>
  <c r="BM98" i="14"/>
  <c r="E96" i="13"/>
  <c r="K96" i="13"/>
  <c r="AY96" i="13" s="1"/>
  <c r="W96" i="13"/>
  <c r="AI96" i="13"/>
  <c r="AS96" i="13" s="1"/>
  <c r="BM96" i="13"/>
  <c r="K96" i="15"/>
  <c r="E96" i="15"/>
  <c r="W96" i="15"/>
  <c r="AI96" i="15"/>
  <c r="AS96" i="15" s="1"/>
  <c r="BM96" i="15"/>
  <c r="AI93" i="14"/>
  <c r="K100" i="12"/>
  <c r="AE89" i="14"/>
  <c r="AF92" i="6"/>
  <c r="BI89" i="14"/>
  <c r="BE89" i="14"/>
  <c r="BF92" i="6"/>
  <c r="W100" i="4"/>
  <c r="Q100" i="4"/>
  <c r="I100" i="4"/>
  <c r="Q99" i="1"/>
  <c r="Q100" i="3"/>
  <c r="E100" i="3"/>
  <c r="Q100" i="7"/>
  <c r="U100" i="9"/>
  <c r="O100" i="9"/>
  <c r="K100" i="9"/>
  <c r="Y100" i="10"/>
  <c r="G100" i="10"/>
  <c r="E100" i="10" s="1"/>
  <c r="E99" i="10"/>
  <c r="BM107" i="14"/>
  <c r="BM108" i="14"/>
  <c r="BM109" i="14"/>
  <c r="BM121" i="14"/>
  <c r="BM122" i="14"/>
  <c r="BM123" i="14"/>
  <c r="BM124" i="14"/>
  <c r="BM125" i="14"/>
  <c r="BM126" i="14"/>
  <c r="E98" i="10"/>
  <c r="AI79" i="14"/>
  <c r="AS79" i="14" s="1"/>
  <c r="W79" i="14"/>
  <c r="AC76" i="10"/>
  <c r="O76" i="10"/>
  <c r="E76" i="10"/>
  <c r="K75" i="12"/>
  <c r="AE74" i="14"/>
  <c r="AF77" i="6"/>
  <c r="BK74" i="14"/>
  <c r="BI74" i="14"/>
  <c r="BE74" i="14"/>
  <c r="BL77" i="6"/>
  <c r="BJ77" i="6"/>
  <c r="BF77" i="6"/>
  <c r="W75" i="4"/>
  <c r="Q75" i="4"/>
  <c r="Q75" i="1"/>
  <c r="U75" i="3"/>
  <c r="Q75" i="3"/>
  <c r="E75" i="3"/>
  <c r="E75" i="7"/>
  <c r="K75" i="9"/>
  <c r="Q69" i="12"/>
  <c r="E69" i="12"/>
  <c r="AE67" i="15"/>
  <c r="AE68" i="14"/>
  <c r="AF71" i="6"/>
  <c r="BK67" i="15"/>
  <c r="BK68" i="14"/>
  <c r="BI68" i="14"/>
  <c r="BE68" i="14"/>
  <c r="BL71" i="6"/>
  <c r="BJ71" i="6"/>
  <c r="BF71" i="6"/>
  <c r="G69" i="5"/>
  <c r="W69" i="4"/>
  <c r="Q69" i="4"/>
  <c r="I69" i="4"/>
  <c r="G69" i="2"/>
  <c r="W69" i="1"/>
  <c r="Q69" i="1"/>
  <c r="Q69" i="3"/>
  <c r="Q69" i="7"/>
  <c r="E69" i="8"/>
  <c r="U69" i="9"/>
  <c r="O69" i="9"/>
  <c r="M69" i="9"/>
  <c r="K69" i="9"/>
  <c r="Y69" i="10"/>
  <c r="G69" i="10"/>
  <c r="AY96" i="15" l="1"/>
  <c r="Y109" i="7"/>
  <c r="Z109" i="7"/>
  <c r="S109" i="12"/>
  <c r="W109" i="12" s="1"/>
  <c r="AZ101" i="6"/>
  <c r="AM109" i="2"/>
  <c r="AR109" i="5"/>
  <c r="AA109" i="8"/>
  <c r="AC109" i="8" s="1"/>
  <c r="W63" i="15" l="1"/>
  <c r="W60" i="8"/>
  <c r="AC60" i="10"/>
  <c r="AF60" i="10" s="1"/>
  <c r="O60" i="10"/>
  <c r="E60" i="10"/>
  <c r="W55" i="14"/>
  <c r="W56" i="14"/>
  <c r="W57" i="14"/>
  <c r="Q52" i="12"/>
  <c r="BK51" i="14"/>
  <c r="BE51" i="14"/>
  <c r="AE51" i="14"/>
  <c r="BL54" i="6"/>
  <c r="BH54" i="6"/>
  <c r="AF54" i="6"/>
  <c r="S54" i="6"/>
  <c r="G52" i="5"/>
  <c r="W52" i="4"/>
  <c r="G52" i="2"/>
  <c r="W52" i="1"/>
  <c r="Q52" i="3"/>
  <c r="E52" i="3" l="1"/>
  <c r="Q52" i="7"/>
  <c r="E52" i="7"/>
  <c r="E52" i="8"/>
  <c r="M52" i="9"/>
  <c r="K52" i="9"/>
  <c r="Y52" i="10"/>
  <c r="G52" i="10"/>
  <c r="S51" i="1"/>
  <c r="BK49" i="14"/>
  <c r="BI49" i="14"/>
  <c r="AE49" i="14"/>
  <c r="BL52" i="6"/>
  <c r="BJ52" i="6"/>
  <c r="AF52" i="6"/>
  <c r="W50" i="4"/>
  <c r="Q50" i="4"/>
  <c r="Q50" i="1"/>
  <c r="Q50" i="3"/>
  <c r="U50" i="9"/>
  <c r="K50" i="9"/>
  <c r="Y50" i="10"/>
  <c r="G50" i="10"/>
  <c r="AC46" i="9"/>
  <c r="W44" i="7"/>
  <c r="AC44" i="9"/>
  <c r="W44" i="3"/>
  <c r="Y44" i="3" s="1"/>
  <c r="S44" i="1"/>
  <c r="AC44" i="2"/>
  <c r="S44" i="4"/>
  <c r="AH44" i="5"/>
  <c r="AR44" i="5" s="1"/>
  <c r="AZ46" i="6"/>
  <c r="W46" i="6"/>
  <c r="AJ46" i="6"/>
  <c r="AT46" i="6" s="1"/>
  <c r="BN46" i="6"/>
  <c r="W43" i="14"/>
  <c r="AI43" i="14"/>
  <c r="AS43" i="14" s="1"/>
  <c r="BM43" i="14"/>
  <c r="E44" i="13"/>
  <c r="K44" i="13"/>
  <c r="W44" i="13"/>
  <c r="E45" i="13"/>
  <c r="K45" i="13"/>
  <c r="W45" i="13"/>
  <c r="E46" i="13"/>
  <c r="K46" i="13"/>
  <c r="W46" i="13"/>
  <c r="E47" i="13"/>
  <c r="K47" i="13"/>
  <c r="W47" i="13"/>
  <c r="AI44" i="13"/>
  <c r="AI45" i="13"/>
  <c r="AS45" i="13" s="1"/>
  <c r="AI46" i="13"/>
  <c r="AS46" i="13" s="1"/>
  <c r="AI47" i="13"/>
  <c r="AS47" i="13" s="1"/>
  <c r="AS44" i="13"/>
  <c r="BM44" i="13"/>
  <c r="BM45" i="13"/>
  <c r="BM46" i="13"/>
  <c r="BM47" i="13"/>
  <c r="S44" i="12"/>
  <c r="W44" i="12" s="1"/>
  <c r="E44" i="15"/>
  <c r="K44" i="15"/>
  <c r="W44" i="15"/>
  <c r="E45" i="15"/>
  <c r="K45" i="15"/>
  <c r="W45" i="15"/>
  <c r="W46" i="15"/>
  <c r="AI44" i="15"/>
  <c r="AS44" i="15" s="1"/>
  <c r="AI45" i="15"/>
  <c r="AS45" i="15" s="1"/>
  <c r="AI46" i="15"/>
  <c r="AS46" i="15" s="1"/>
  <c r="BM44" i="15"/>
  <c r="BM45" i="15"/>
  <c r="BM46" i="15"/>
  <c r="W44" i="8"/>
  <c r="AA44" i="9"/>
  <c r="E44" i="10"/>
  <c r="O44" i="10"/>
  <c r="AC44" i="10"/>
  <c r="AF44" i="10" s="1"/>
  <c r="AJ43" i="6"/>
  <c r="AY47" i="13" l="1"/>
  <c r="AY44" i="13"/>
  <c r="Y44" i="7"/>
  <c r="Z44" i="7"/>
  <c r="AY43" i="14"/>
  <c r="AY46" i="13"/>
  <c r="AM44" i="2"/>
  <c r="AY45" i="13"/>
  <c r="AY46" i="15"/>
  <c r="AY45" i="15"/>
  <c r="AY44" i="15"/>
  <c r="AA44" i="8"/>
  <c r="AC44" i="8" s="1"/>
  <c r="AI26" i="15" l="1"/>
  <c r="AS26" i="15" s="1"/>
  <c r="K25" i="14"/>
  <c r="W15" i="15"/>
  <c r="W26" i="15"/>
  <c r="AY26" i="15"/>
  <c r="BE24" i="14" l="1"/>
  <c r="AJ19" i="6"/>
  <c r="AI18" i="14"/>
  <c r="AS18" i="14" s="1"/>
  <c r="W18" i="14"/>
  <c r="AY18" i="14"/>
  <c r="AJ20" i="6"/>
  <c r="AT20" i="6" s="1"/>
  <c r="W20" i="6"/>
  <c r="AZ20" i="6"/>
  <c r="AH18" i="5"/>
  <c r="S18" i="4"/>
  <c r="AC18" i="2"/>
  <c r="S18" i="1"/>
  <c r="W18" i="3"/>
  <c r="W18" i="7"/>
  <c r="Z18" i="7" s="1"/>
  <c r="W18" i="8"/>
  <c r="AA18" i="9"/>
  <c r="AC18" i="9"/>
  <c r="AC18" i="10"/>
  <c r="O18" i="10"/>
  <c r="E18" i="10"/>
  <c r="S16" i="4"/>
  <c r="S15" i="4"/>
  <c r="Y18" i="3" l="1"/>
  <c r="AR18" i="5"/>
  <c r="BM18" i="14"/>
  <c r="AA18" i="8"/>
  <c r="AF18" i="10"/>
  <c r="BN20" i="6"/>
  <c r="AC32" i="2"/>
  <c r="E240" i="10" l="1"/>
  <c r="AJ233" i="6"/>
  <c r="E225" i="10"/>
  <c r="K203" i="13"/>
  <c r="O213" i="10"/>
  <c r="AI168" i="15" l="1"/>
  <c r="BN186" i="6"/>
  <c r="O181" i="10"/>
  <c r="E178" i="10"/>
  <c r="S176" i="12"/>
  <c r="E169" i="10"/>
  <c r="AI147" i="13"/>
  <c r="W160" i="14"/>
  <c r="E134" i="10"/>
  <c r="E157" i="10" l="1"/>
  <c r="AH155" i="5"/>
  <c r="W150" i="14"/>
  <c r="E153" i="10"/>
  <c r="W152" i="3"/>
  <c r="Y152" i="3" s="1"/>
  <c r="S146" i="4"/>
  <c r="E145" i="10"/>
  <c r="S145" i="12"/>
  <c r="AI63" i="13" l="1"/>
  <c r="E65" i="10" l="1"/>
  <c r="O65" i="10"/>
  <c r="AC65" i="10"/>
  <c r="AF65" i="10" s="1"/>
  <c r="W107" i="8" l="1"/>
  <c r="O106" i="10"/>
  <c r="AJ93" i="6"/>
  <c r="AH85" i="5"/>
  <c r="BM70" i="14"/>
  <c r="AI67" i="15"/>
  <c r="E71" i="6"/>
  <c r="O62" i="10"/>
  <c r="BN85" i="6"/>
  <c r="BN86" i="6"/>
  <c r="BN87" i="6"/>
  <c r="BN88" i="6"/>
  <c r="AH56" i="5"/>
  <c r="E49" i="14"/>
  <c r="AH47" i="5"/>
  <c r="BM32" i="15" l="1"/>
  <c r="BM33" i="15"/>
  <c r="BM34" i="15"/>
  <c r="BM35" i="15"/>
  <c r="BM36" i="15"/>
  <c r="BM37" i="15"/>
  <c r="BM38" i="15"/>
  <c r="AI38" i="15"/>
  <c r="AS38" i="15" s="1"/>
  <c r="BN38" i="15"/>
  <c r="E31" i="10"/>
  <c r="AY38" i="15" l="1"/>
  <c r="S250" i="12"/>
  <c r="S249" i="12"/>
  <c r="S248" i="12"/>
  <c r="S246" i="12"/>
  <c r="S245" i="12"/>
  <c r="S244" i="12"/>
  <c r="S243" i="12"/>
  <c r="S241" i="12"/>
  <c r="W241" i="12" s="1"/>
  <c r="S240" i="12"/>
  <c r="S239" i="12"/>
  <c r="S238" i="12"/>
  <c r="S237" i="12"/>
  <c r="S236" i="12"/>
  <c r="S235" i="12"/>
  <c r="S234" i="12"/>
  <c r="S233" i="12"/>
  <c r="S232" i="12"/>
  <c r="W232" i="12" s="1"/>
  <c r="S231" i="12"/>
  <c r="S230" i="12"/>
  <c r="S229" i="12"/>
  <c r="S228" i="12"/>
  <c r="S226" i="12"/>
  <c r="S225" i="12"/>
  <c r="S224" i="12"/>
  <c r="S223" i="12"/>
  <c r="S222" i="12"/>
  <c r="S221" i="12"/>
  <c r="S220" i="12"/>
  <c r="S219" i="12"/>
  <c r="S218" i="12"/>
  <c r="S217" i="12"/>
  <c r="S216" i="12"/>
  <c r="S215" i="12"/>
  <c r="S214" i="12"/>
  <c r="S213" i="12"/>
  <c r="S212" i="12"/>
  <c r="S211" i="12"/>
  <c r="S210" i="12"/>
  <c r="S209" i="12"/>
  <c r="S208" i="12"/>
  <c r="S207" i="12"/>
  <c r="S206" i="12"/>
  <c r="S205" i="12"/>
  <c r="S204" i="12"/>
  <c r="S202" i="12"/>
  <c r="S201" i="12"/>
  <c r="S200" i="12"/>
  <c r="W200" i="12" s="1"/>
  <c r="S199" i="12"/>
  <c r="W199" i="12" s="1"/>
  <c r="S198" i="12"/>
  <c r="W198" i="12" s="1"/>
  <c r="S197" i="12"/>
  <c r="W197" i="12" s="1"/>
  <c r="S196" i="12"/>
  <c r="W196" i="12" s="1"/>
  <c r="S195" i="12"/>
  <c r="S194" i="12"/>
  <c r="S193" i="12"/>
  <c r="S192" i="12"/>
  <c r="S191" i="12"/>
  <c r="S190" i="12"/>
  <c r="S189" i="12"/>
  <c r="S188" i="12"/>
  <c r="S187" i="12"/>
  <c r="S186" i="12"/>
  <c r="S185" i="12"/>
  <c r="S184" i="12"/>
  <c r="S183" i="12"/>
  <c r="S182" i="12"/>
  <c r="S181" i="12"/>
  <c r="S180" i="12"/>
  <c r="S179" i="12"/>
  <c r="S178" i="12"/>
  <c r="S177" i="12"/>
  <c r="S175" i="12"/>
  <c r="S174" i="12"/>
  <c r="S173" i="12"/>
  <c r="S172" i="12"/>
  <c r="S171" i="12"/>
  <c r="S170" i="12"/>
  <c r="S169" i="12"/>
  <c r="S167" i="12"/>
  <c r="S166" i="12"/>
  <c r="S163" i="12"/>
  <c r="S162" i="12"/>
  <c r="S160" i="12"/>
  <c r="S159" i="12"/>
  <c r="S158" i="12"/>
  <c r="S157" i="12"/>
  <c r="S156" i="12"/>
  <c r="S155" i="12"/>
  <c r="S154" i="12"/>
  <c r="S153" i="12"/>
  <c r="S152" i="12"/>
  <c r="S151" i="12"/>
  <c r="S150" i="12"/>
  <c r="S149" i="12"/>
  <c r="S148" i="12"/>
  <c r="S147" i="12"/>
  <c r="S146" i="12"/>
  <c r="S144" i="12"/>
  <c r="S143" i="12"/>
  <c r="W143" i="12" s="1"/>
  <c r="S141" i="12"/>
  <c r="S140" i="12"/>
  <c r="S139" i="12"/>
  <c r="S138" i="12"/>
  <c r="S137" i="12"/>
  <c r="S136" i="12"/>
  <c r="S135" i="12"/>
  <c r="S134" i="12"/>
  <c r="S133" i="12"/>
  <c r="S132" i="12"/>
  <c r="S129" i="12"/>
  <c r="S131" i="12" s="1"/>
  <c r="S128" i="12"/>
  <c r="S127" i="12"/>
  <c r="S126" i="12"/>
  <c r="S125" i="12"/>
  <c r="S124" i="12"/>
  <c r="S123" i="12"/>
  <c r="S121" i="12"/>
  <c r="S120" i="12"/>
  <c r="S119" i="12"/>
  <c r="S118" i="12"/>
  <c r="S117" i="12"/>
  <c r="S116" i="12"/>
  <c r="S115" i="12"/>
  <c r="S114" i="12"/>
  <c r="S113" i="12"/>
  <c r="S112" i="12"/>
  <c r="S111" i="12"/>
  <c r="S110" i="12"/>
  <c r="S108" i="12"/>
  <c r="S107" i="12"/>
  <c r="S106" i="12"/>
  <c r="S105" i="12"/>
  <c r="S104" i="12"/>
  <c r="S103" i="12"/>
  <c r="S102" i="12"/>
  <c r="S101" i="12"/>
  <c r="S100" i="12"/>
  <c r="S99" i="12"/>
  <c r="S98" i="12"/>
  <c r="S97" i="12"/>
  <c r="S86" i="12"/>
  <c r="S85" i="12"/>
  <c r="S84" i="12"/>
  <c r="W84" i="12" s="1"/>
  <c r="S83" i="12"/>
  <c r="S82" i="12"/>
  <c r="S81" i="12"/>
  <c r="S80" i="12"/>
  <c r="S79" i="12"/>
  <c r="S78" i="12"/>
  <c r="S77" i="12"/>
  <c r="S76" i="12"/>
  <c r="S74" i="12"/>
  <c r="S73" i="12"/>
  <c r="S72" i="12"/>
  <c r="W72" i="12" s="1"/>
  <c r="S71" i="12"/>
  <c r="S75" i="12" s="1"/>
  <c r="S69" i="12"/>
  <c r="S67" i="12"/>
  <c r="S66" i="12"/>
  <c r="S68" i="12" s="1"/>
  <c r="S65" i="12"/>
  <c r="S64" i="12"/>
  <c r="S63" i="12"/>
  <c r="S62" i="12"/>
  <c r="S61" i="12"/>
  <c r="S60" i="12"/>
  <c r="S58" i="12"/>
  <c r="S57" i="12"/>
  <c r="S56" i="12"/>
  <c r="S55" i="12"/>
  <c r="S54" i="12"/>
  <c r="S52" i="12"/>
  <c r="S51" i="12"/>
  <c r="S50" i="12"/>
  <c r="S49" i="12"/>
  <c r="S47" i="12"/>
  <c r="S45" i="12"/>
  <c r="S43" i="12"/>
  <c r="S41" i="12"/>
  <c r="S40" i="12"/>
  <c r="S39" i="12"/>
  <c r="S38" i="12"/>
  <c r="S37" i="12"/>
  <c r="S36" i="12"/>
  <c r="S35" i="12"/>
  <c r="S34" i="12"/>
  <c r="S33" i="12"/>
  <c r="S32" i="12"/>
  <c r="S31" i="12"/>
  <c r="W31" i="12" s="1"/>
  <c r="S30" i="12"/>
  <c r="S29" i="12"/>
  <c r="S28" i="12"/>
  <c r="S27" i="12"/>
  <c r="S26" i="12"/>
  <c r="S25" i="12"/>
  <c r="S24" i="12"/>
  <c r="S23" i="12"/>
  <c r="S22" i="12"/>
  <c r="S21" i="12"/>
  <c r="S20" i="12"/>
  <c r="S19" i="12"/>
  <c r="W19" i="12" s="1"/>
  <c r="S15" i="12"/>
  <c r="W15" i="12" s="1"/>
  <c r="S14" i="12"/>
  <c r="W14" i="12" s="1"/>
  <c r="S13" i="12"/>
  <c r="S12" i="12"/>
  <c r="AI234" i="15"/>
  <c r="AS234" i="15" s="1"/>
  <c r="AI233" i="15"/>
  <c r="AS233" i="15" s="1"/>
  <c r="AI232" i="15"/>
  <c r="AS232" i="15" s="1"/>
  <c r="AI231" i="15"/>
  <c r="AS231" i="15" s="1"/>
  <c r="AI230" i="15"/>
  <c r="AS230" i="15" s="1"/>
  <c r="AS229" i="15"/>
  <c r="AI228" i="15"/>
  <c r="AS228" i="15" s="1"/>
  <c r="AI227" i="15"/>
  <c r="AS227" i="15" s="1"/>
  <c r="AI226" i="15"/>
  <c r="AS226" i="15" s="1"/>
  <c r="AI225" i="15"/>
  <c r="AS225" i="15" s="1"/>
  <c r="AI224" i="15"/>
  <c r="AS224" i="15" s="1"/>
  <c r="AI223" i="15"/>
  <c r="AS223" i="15" s="1"/>
  <c r="AI222" i="15"/>
  <c r="AS222" i="15" s="1"/>
  <c r="AI221" i="15"/>
  <c r="AS221" i="15" s="1"/>
  <c r="AI220" i="15"/>
  <c r="AS220" i="15" s="1"/>
  <c r="AI219" i="15"/>
  <c r="AS219" i="15" s="1"/>
  <c r="AI218" i="15"/>
  <c r="AS218" i="15" s="1"/>
  <c r="AI217" i="15"/>
  <c r="AS217" i="15" s="1"/>
  <c r="AI216" i="15"/>
  <c r="AS216" i="15" s="1"/>
  <c r="AI215" i="15"/>
  <c r="AS215" i="15" s="1"/>
  <c r="AI214" i="15"/>
  <c r="AS214" i="15" s="1"/>
  <c r="AI213" i="15"/>
  <c r="AS213" i="15" s="1"/>
  <c r="AI212" i="15"/>
  <c r="AS212" i="15" s="1"/>
  <c r="AI211" i="15"/>
  <c r="AS211" i="15" s="1"/>
  <c r="AI210" i="15"/>
  <c r="AS210" i="15" s="1"/>
  <c r="AI209" i="15"/>
  <c r="AS209" i="15" s="1"/>
  <c r="AI208" i="15"/>
  <c r="AS208" i="15" s="1"/>
  <c r="AI207" i="15"/>
  <c r="AS207" i="15" s="1"/>
  <c r="AI206" i="15"/>
  <c r="AS206" i="15" s="1"/>
  <c r="AI205" i="15"/>
  <c r="AS205" i="15" s="1"/>
  <c r="AI204" i="15"/>
  <c r="AS204" i="15" s="1"/>
  <c r="AI203" i="15"/>
  <c r="AS203" i="15" s="1"/>
  <c r="AI202" i="15"/>
  <c r="AS202" i="15" s="1"/>
  <c r="AI201" i="15"/>
  <c r="AS201" i="15" s="1"/>
  <c r="AI200" i="15"/>
  <c r="AS200" i="15" s="1"/>
  <c r="AI199" i="15"/>
  <c r="AS199" i="15" s="1"/>
  <c r="AI198" i="15"/>
  <c r="AS198" i="15" s="1"/>
  <c r="AI197" i="15"/>
  <c r="AS197" i="15" s="1"/>
  <c r="AI196" i="15"/>
  <c r="AS196" i="15" s="1"/>
  <c r="AI195" i="15"/>
  <c r="AS195" i="15" s="1"/>
  <c r="AI194" i="15"/>
  <c r="AS194" i="15" s="1"/>
  <c r="AI193" i="15"/>
  <c r="AS193" i="15" s="1"/>
  <c r="AI192" i="15"/>
  <c r="AS192" i="15" s="1"/>
  <c r="AI191" i="15"/>
  <c r="AS191" i="15" s="1"/>
  <c r="AI190" i="15"/>
  <c r="AS190" i="15" s="1"/>
  <c r="AI189" i="15"/>
  <c r="AS189" i="15" s="1"/>
  <c r="AI188" i="15"/>
  <c r="AS188" i="15" s="1"/>
  <c r="AI187" i="15"/>
  <c r="AS187" i="15" s="1"/>
  <c r="AI186" i="15"/>
  <c r="AS186" i="15" s="1"/>
  <c r="AI185" i="15"/>
  <c r="AS185" i="15" s="1"/>
  <c r="AI184" i="15"/>
  <c r="AS184" i="15" s="1"/>
  <c r="AI183" i="15"/>
  <c r="AS183" i="15" s="1"/>
  <c r="AI182" i="15"/>
  <c r="AS182" i="15" s="1"/>
  <c r="AI181" i="15"/>
  <c r="AS181" i="15" s="1"/>
  <c r="AI180" i="15"/>
  <c r="AS180" i="15" s="1"/>
  <c r="AI179" i="15"/>
  <c r="AS179" i="15" s="1"/>
  <c r="AI178" i="15"/>
  <c r="AS178" i="15" s="1"/>
  <c r="AI177" i="15"/>
  <c r="AS177" i="15" s="1"/>
  <c r="AI176" i="15"/>
  <c r="AS176" i="15" s="1"/>
  <c r="AI175" i="15"/>
  <c r="AS175" i="15" s="1"/>
  <c r="AI174" i="15"/>
  <c r="AS174" i="15" s="1"/>
  <c r="AI173" i="15"/>
  <c r="AS173" i="15" s="1"/>
  <c r="AI172" i="15"/>
  <c r="AS172" i="15" s="1"/>
  <c r="AI171" i="15"/>
  <c r="AS171" i="15" s="1"/>
  <c r="AI170" i="15"/>
  <c r="AS170" i="15" s="1"/>
  <c r="AI169" i="15"/>
  <c r="AS169" i="15" s="1"/>
  <c r="AS168" i="15"/>
  <c r="AI167" i="15"/>
  <c r="AS167" i="15" s="1"/>
  <c r="AI166" i="15"/>
  <c r="AS166" i="15" s="1"/>
  <c r="AI165" i="15"/>
  <c r="AS165" i="15" s="1"/>
  <c r="AI164" i="15"/>
  <c r="AS164" i="15" s="1"/>
  <c r="AI163" i="15"/>
  <c r="AS163" i="15" s="1"/>
  <c r="AI162" i="15"/>
  <c r="AS162" i="15" s="1"/>
  <c r="AI161" i="15"/>
  <c r="AS161" i="15" s="1"/>
  <c r="AI160" i="15"/>
  <c r="AS160" i="15" s="1"/>
  <c r="AI159" i="15"/>
  <c r="AS159" i="15" s="1"/>
  <c r="AI158" i="15"/>
  <c r="AS158" i="15" s="1"/>
  <c r="AI157" i="15"/>
  <c r="AS157" i="15" s="1"/>
  <c r="AI156" i="15"/>
  <c r="AS156" i="15" s="1"/>
  <c r="AI155" i="15"/>
  <c r="AS155" i="15" s="1"/>
  <c r="AI154" i="15"/>
  <c r="AS154" i="15" s="1"/>
  <c r="AI153" i="15"/>
  <c r="AS153" i="15" s="1"/>
  <c r="AI152" i="15"/>
  <c r="AS152" i="15" s="1"/>
  <c r="AI151" i="15"/>
  <c r="AS151" i="15" s="1"/>
  <c r="AI150" i="15"/>
  <c r="AS150" i="15" s="1"/>
  <c r="AI148" i="15"/>
  <c r="AS148" i="15" s="1"/>
  <c r="AI147" i="15"/>
  <c r="AS147" i="15" s="1"/>
  <c r="AI146" i="15"/>
  <c r="AS146" i="15" s="1"/>
  <c r="AI145" i="15"/>
  <c r="AS145" i="15" s="1"/>
  <c r="AI144" i="15"/>
  <c r="AS144" i="15" s="1"/>
  <c r="AI143" i="15"/>
  <c r="AS143" i="15" s="1"/>
  <c r="AI142" i="15"/>
  <c r="AS142" i="15" s="1"/>
  <c r="AI141" i="15"/>
  <c r="AS141" i="15" s="1"/>
  <c r="AI140" i="15"/>
  <c r="AS140" i="15" s="1"/>
  <c r="AI139" i="15"/>
  <c r="AS139" i="15" s="1"/>
  <c r="AI138" i="15"/>
  <c r="AS138" i="15" s="1"/>
  <c r="AI137" i="15"/>
  <c r="AS137" i="15" s="1"/>
  <c r="AI136" i="15"/>
  <c r="AS136" i="15" s="1"/>
  <c r="AI135" i="15"/>
  <c r="AS135" i="15" s="1"/>
  <c r="AI134" i="15"/>
  <c r="AS134" i="15" s="1"/>
  <c r="AI133" i="15"/>
  <c r="AS133" i="15" s="1"/>
  <c r="AI132" i="15"/>
  <c r="AS132" i="15" s="1"/>
  <c r="AI131" i="15"/>
  <c r="AS131" i="15" s="1"/>
  <c r="AI130" i="15"/>
  <c r="AS130" i="15" s="1"/>
  <c r="AI129" i="15"/>
  <c r="AS129" i="15" s="1"/>
  <c r="AI128" i="15"/>
  <c r="AS128" i="15" s="1"/>
  <c r="AI127" i="15"/>
  <c r="AS127" i="15" s="1"/>
  <c r="AI126" i="15"/>
  <c r="AS126" i="15" s="1"/>
  <c r="AI125" i="15"/>
  <c r="AS125" i="15" s="1"/>
  <c r="AI124" i="15"/>
  <c r="AS124" i="15" s="1"/>
  <c r="AI123" i="15"/>
  <c r="AS123" i="15" s="1"/>
  <c r="AI122" i="15"/>
  <c r="AS122" i="15" s="1"/>
  <c r="AI121" i="15"/>
  <c r="AS121" i="15" s="1"/>
  <c r="AI120" i="15"/>
  <c r="AS120" i="15" s="1"/>
  <c r="AI119" i="15"/>
  <c r="AS119" i="15" s="1"/>
  <c r="AI118" i="15"/>
  <c r="AS118" i="15" s="1"/>
  <c r="AI117" i="15"/>
  <c r="AS117" i="15" s="1"/>
  <c r="AI116" i="15"/>
  <c r="AS116" i="15" s="1"/>
  <c r="AI114" i="15"/>
  <c r="AS114" i="15" s="1"/>
  <c r="AI113" i="15"/>
  <c r="AS113" i="15" s="1"/>
  <c r="AI112" i="15"/>
  <c r="AS112" i="15" s="1"/>
  <c r="AI111" i="15"/>
  <c r="AS111" i="15" s="1"/>
  <c r="AI110" i="15"/>
  <c r="AS110" i="15" s="1"/>
  <c r="AI109" i="15"/>
  <c r="AS109" i="15" s="1"/>
  <c r="AI107" i="15"/>
  <c r="AS107" i="15" s="1"/>
  <c r="AI106" i="15"/>
  <c r="AS106" i="15" s="1"/>
  <c r="AI105" i="15"/>
  <c r="AS105" i="15" s="1"/>
  <c r="AI104" i="15"/>
  <c r="AS104" i="15" s="1"/>
  <c r="AI103" i="15"/>
  <c r="AS103" i="15" s="1"/>
  <c r="AI102" i="15"/>
  <c r="AS102" i="15" s="1"/>
  <c r="AI101" i="15"/>
  <c r="AS101" i="15" s="1"/>
  <c r="AI100" i="15"/>
  <c r="AS100" i="15" s="1"/>
  <c r="AI99" i="15"/>
  <c r="AS99" i="15" s="1"/>
  <c r="AI98" i="15"/>
  <c r="AS98" i="15" s="1"/>
  <c r="AI97" i="15"/>
  <c r="AS97" i="15" s="1"/>
  <c r="AI95" i="15"/>
  <c r="AS95" i="15" s="1"/>
  <c r="AI94" i="15"/>
  <c r="AS94" i="15" s="1"/>
  <c r="AI93" i="15"/>
  <c r="AS93" i="15" s="1"/>
  <c r="AI92" i="15"/>
  <c r="AS92" i="15" s="1"/>
  <c r="AI91" i="15"/>
  <c r="AS91" i="15" s="1"/>
  <c r="AI90" i="15"/>
  <c r="AS90" i="15" s="1"/>
  <c r="AI89" i="15"/>
  <c r="AS89" i="15" s="1"/>
  <c r="AI88" i="15"/>
  <c r="AS88" i="15" s="1"/>
  <c r="AI87" i="15"/>
  <c r="AS87" i="15" s="1"/>
  <c r="AI86" i="15"/>
  <c r="AS86" i="15" s="1"/>
  <c r="AI85" i="15"/>
  <c r="AS85" i="15" s="1"/>
  <c r="AI84" i="15"/>
  <c r="AS84" i="15" s="1"/>
  <c r="AI83" i="15"/>
  <c r="AS83" i="15" s="1"/>
  <c r="AI82" i="15"/>
  <c r="AS82" i="15" s="1"/>
  <c r="AI81" i="15"/>
  <c r="AS81" i="15" s="1"/>
  <c r="AI80" i="15"/>
  <c r="AS80" i="15" s="1"/>
  <c r="AI79" i="15"/>
  <c r="AS79" i="15" s="1"/>
  <c r="AI78" i="15"/>
  <c r="AS78" i="15" s="1"/>
  <c r="AI77" i="15"/>
  <c r="AS77" i="15" s="1"/>
  <c r="AI76" i="15"/>
  <c r="AS76" i="15" s="1"/>
  <c r="AI75" i="15"/>
  <c r="AS75" i="15" s="1"/>
  <c r="AI74" i="15"/>
  <c r="AS74" i="15" s="1"/>
  <c r="AI73" i="15"/>
  <c r="AS73" i="15" s="1"/>
  <c r="AI72" i="15"/>
  <c r="AS72" i="15" s="1"/>
  <c r="AI71" i="15"/>
  <c r="AS71" i="15" s="1"/>
  <c r="AI70" i="15"/>
  <c r="AS70" i="15" s="1"/>
  <c r="AI69" i="15"/>
  <c r="AS69" i="15" s="1"/>
  <c r="AI68" i="15"/>
  <c r="AS68" i="15" s="1"/>
  <c r="AS67" i="15"/>
  <c r="AI66" i="15"/>
  <c r="AS66" i="15" s="1"/>
  <c r="AI65" i="15"/>
  <c r="AS65" i="15" s="1"/>
  <c r="AI64" i="15"/>
  <c r="AS64" i="15" s="1"/>
  <c r="AI63" i="15"/>
  <c r="AS63" i="15" s="1"/>
  <c r="AI62" i="15"/>
  <c r="AS62" i="15" s="1"/>
  <c r="K117" i="15"/>
  <c r="E117" i="15"/>
  <c r="K113" i="15"/>
  <c r="E113" i="15"/>
  <c r="K112" i="15"/>
  <c r="E112" i="15"/>
  <c r="K111" i="15"/>
  <c r="E111" i="15"/>
  <c r="K109" i="15"/>
  <c r="E109" i="15"/>
  <c r="K107" i="15"/>
  <c r="E107" i="15"/>
  <c r="K106" i="15"/>
  <c r="E106" i="15"/>
  <c r="K105" i="15"/>
  <c r="E105" i="15"/>
  <c r="K104" i="15"/>
  <c r="E104" i="15"/>
  <c r="K103" i="15"/>
  <c r="E103" i="15"/>
  <c r="K102" i="15"/>
  <c r="E102" i="15"/>
  <c r="K101" i="15"/>
  <c r="E101" i="15"/>
  <c r="K100" i="15"/>
  <c r="E100" i="15"/>
  <c r="K99" i="15"/>
  <c r="E99" i="15"/>
  <c r="K98" i="15"/>
  <c r="E98" i="15"/>
  <c r="K97" i="15"/>
  <c r="E97" i="15"/>
  <c r="K95" i="15"/>
  <c r="E95" i="15"/>
  <c r="K94" i="15"/>
  <c r="E94" i="15"/>
  <c r="K93" i="15"/>
  <c r="E93" i="15"/>
  <c r="K92" i="15"/>
  <c r="E92" i="15"/>
  <c r="K91" i="15"/>
  <c r="E91" i="15"/>
  <c r="K90" i="15"/>
  <c r="E90" i="15"/>
  <c r="K89" i="15"/>
  <c r="E89" i="15"/>
  <c r="K88" i="15"/>
  <c r="E88" i="15"/>
  <c r="K87" i="15"/>
  <c r="E87" i="15"/>
  <c r="K86" i="15"/>
  <c r="E86" i="15"/>
  <c r="K84" i="15"/>
  <c r="E84" i="15"/>
  <c r="K83" i="15"/>
  <c r="E83" i="15"/>
  <c r="K82" i="15"/>
  <c r="E82" i="15"/>
  <c r="K81" i="15"/>
  <c r="E81" i="15"/>
  <c r="K80" i="15"/>
  <c r="E80" i="15"/>
  <c r="K77" i="15"/>
  <c r="E77" i="15"/>
  <c r="K73" i="15"/>
  <c r="E73" i="15"/>
  <c r="K72" i="15"/>
  <c r="E72" i="15"/>
  <c r="K71" i="15"/>
  <c r="E71" i="15"/>
  <c r="K70" i="15"/>
  <c r="E70" i="15"/>
  <c r="K69" i="15"/>
  <c r="E69" i="15"/>
  <c r="K67" i="15"/>
  <c r="E67" i="15"/>
  <c r="K66" i="15"/>
  <c r="E66" i="15"/>
  <c r="AY65" i="15"/>
  <c r="K64" i="15"/>
  <c r="E64" i="15"/>
  <c r="K61" i="15"/>
  <c r="E61" i="15"/>
  <c r="K60" i="15"/>
  <c r="E60" i="15"/>
  <c r="K59" i="15"/>
  <c r="E59" i="15"/>
  <c r="K58" i="15"/>
  <c r="E58" i="15"/>
  <c r="K57" i="15"/>
  <c r="E57" i="15"/>
  <c r="K56" i="15"/>
  <c r="E56" i="15"/>
  <c r="K55" i="15"/>
  <c r="E55" i="15"/>
  <c r="K54" i="15"/>
  <c r="E54" i="15"/>
  <c r="K53" i="15"/>
  <c r="E53" i="15"/>
  <c r="K52" i="15"/>
  <c r="E52" i="15"/>
  <c r="K51" i="15"/>
  <c r="E51" i="15"/>
  <c r="K50" i="15"/>
  <c r="E50" i="15"/>
  <c r="K48" i="15"/>
  <c r="E48" i="15"/>
  <c r="K47" i="15"/>
  <c r="E47" i="15"/>
  <c r="K43" i="15"/>
  <c r="E43" i="15"/>
  <c r="K42" i="15"/>
  <c r="E42" i="15"/>
  <c r="K37" i="15"/>
  <c r="E37" i="15"/>
  <c r="K36" i="15"/>
  <c r="E36" i="15"/>
  <c r="K35" i="15"/>
  <c r="E35" i="15"/>
  <c r="K34" i="15"/>
  <c r="E34" i="15"/>
  <c r="K33" i="15"/>
  <c r="E33" i="15"/>
  <c r="K32" i="15"/>
  <c r="E32" i="15"/>
  <c r="K30" i="15"/>
  <c r="E30" i="15"/>
  <c r="K29" i="15"/>
  <c r="E29" i="15"/>
  <c r="K221" i="15"/>
  <c r="E221" i="15"/>
  <c r="K220" i="15"/>
  <c r="E220" i="15"/>
  <c r="K219" i="15"/>
  <c r="E219" i="15"/>
  <c r="K218" i="15"/>
  <c r="E218" i="15"/>
  <c r="K217" i="15"/>
  <c r="E217" i="15"/>
  <c r="K213" i="15"/>
  <c r="E213" i="15"/>
  <c r="K211" i="15"/>
  <c r="E211" i="15"/>
  <c r="K210" i="15"/>
  <c r="E210" i="15"/>
  <c r="K209" i="15"/>
  <c r="E209" i="15"/>
  <c r="K208" i="15"/>
  <c r="E208" i="15"/>
  <c r="K207" i="15"/>
  <c r="E207" i="15"/>
  <c r="K206" i="15"/>
  <c r="E206" i="15"/>
  <c r="K203" i="15"/>
  <c r="E203" i="15"/>
  <c r="K202" i="15"/>
  <c r="E202" i="15"/>
  <c r="K201" i="15"/>
  <c r="E201" i="15"/>
  <c r="K200" i="15"/>
  <c r="E200" i="15"/>
  <c r="K198" i="15"/>
  <c r="E198" i="15"/>
  <c r="K197" i="15"/>
  <c r="E197" i="15"/>
  <c r="K196" i="15"/>
  <c r="E196" i="15"/>
  <c r="K195" i="15"/>
  <c r="E195" i="15"/>
  <c r="K194" i="15"/>
  <c r="E194" i="15"/>
  <c r="K193" i="15"/>
  <c r="E193" i="15"/>
  <c r="K192" i="15"/>
  <c r="E192" i="15"/>
  <c r="K191" i="15"/>
  <c r="E191" i="15"/>
  <c r="K190" i="15"/>
  <c r="E190" i="15"/>
  <c r="K189" i="15"/>
  <c r="E189" i="15"/>
  <c r="K188" i="15"/>
  <c r="E188" i="15"/>
  <c r="K187" i="15"/>
  <c r="E187" i="15"/>
  <c r="K186" i="15"/>
  <c r="E186" i="15"/>
  <c r="K185" i="15"/>
  <c r="E185" i="15"/>
  <c r="K184" i="15"/>
  <c r="E184" i="15"/>
  <c r="K183" i="15"/>
  <c r="E183" i="15"/>
  <c r="K182" i="15"/>
  <c r="E182" i="15"/>
  <c r="K181" i="15"/>
  <c r="E181" i="15"/>
  <c r="K180" i="15"/>
  <c r="E180" i="15"/>
  <c r="K179" i="15"/>
  <c r="E179" i="15"/>
  <c r="K177" i="15"/>
  <c r="E177" i="15"/>
  <c r="K175" i="15"/>
  <c r="E175" i="15"/>
  <c r="K174" i="15"/>
  <c r="E174" i="15"/>
  <c r="K173" i="15"/>
  <c r="E173" i="15"/>
  <c r="K172" i="15"/>
  <c r="E172" i="15"/>
  <c r="K171" i="15"/>
  <c r="E171" i="15"/>
  <c r="K170" i="15"/>
  <c r="E170" i="15"/>
  <c r="K169" i="15"/>
  <c r="E169" i="15"/>
  <c r="K167" i="15"/>
  <c r="E167" i="15"/>
  <c r="K166" i="15"/>
  <c r="E166" i="15"/>
  <c r="K165" i="15"/>
  <c r="E165" i="15"/>
  <c r="K164" i="15"/>
  <c r="E164" i="15"/>
  <c r="K162" i="15"/>
  <c r="E162" i="15"/>
  <c r="K159" i="15"/>
  <c r="E159" i="15"/>
  <c r="K158" i="15"/>
  <c r="E158" i="15"/>
  <c r="K157" i="15"/>
  <c r="E157" i="15"/>
  <c r="K156" i="15"/>
  <c r="E156" i="15"/>
  <c r="K155" i="15"/>
  <c r="E155" i="15"/>
  <c r="K153" i="15"/>
  <c r="E153" i="15"/>
  <c r="K152" i="15"/>
  <c r="E152" i="15"/>
  <c r="K150" i="15"/>
  <c r="E150" i="15"/>
  <c r="K148" i="15"/>
  <c r="E148" i="15"/>
  <c r="K146" i="15"/>
  <c r="E146" i="15"/>
  <c r="K145" i="15"/>
  <c r="E145" i="15"/>
  <c r="K144" i="15"/>
  <c r="E144" i="15"/>
  <c r="K143" i="15"/>
  <c r="E143" i="15"/>
  <c r="K142" i="15"/>
  <c r="E142" i="15"/>
  <c r="K141" i="15"/>
  <c r="E141" i="15"/>
  <c r="K140" i="15"/>
  <c r="E140" i="15"/>
  <c r="K138" i="15"/>
  <c r="E138" i="15"/>
  <c r="K137" i="15"/>
  <c r="E137" i="15"/>
  <c r="K136" i="15"/>
  <c r="E136" i="15"/>
  <c r="K135" i="15"/>
  <c r="E135" i="15"/>
  <c r="K133" i="15"/>
  <c r="E133" i="15"/>
  <c r="K132" i="15"/>
  <c r="E132" i="15"/>
  <c r="K129" i="15"/>
  <c r="E129" i="15"/>
  <c r="K126" i="15"/>
  <c r="E126" i="15"/>
  <c r="AI236" i="13"/>
  <c r="AS236" i="13" s="1"/>
  <c r="AI235" i="13"/>
  <c r="AS235" i="13" s="1"/>
  <c r="AI234" i="13"/>
  <c r="AS234" i="13" s="1"/>
  <c r="AI233" i="13"/>
  <c r="AS233" i="13" s="1"/>
  <c r="AI232" i="13"/>
  <c r="AS232" i="13" s="1"/>
  <c r="AI231" i="13"/>
  <c r="AS231" i="13" s="1"/>
  <c r="AI230" i="13"/>
  <c r="AS230" i="13" s="1"/>
  <c r="AI229" i="13"/>
  <c r="AS229" i="13" s="1"/>
  <c r="AI228" i="13"/>
  <c r="AS228" i="13" s="1"/>
  <c r="AI227" i="13"/>
  <c r="AS227" i="13" s="1"/>
  <c r="AI226" i="13"/>
  <c r="AS226" i="13" s="1"/>
  <c r="AI225" i="13"/>
  <c r="AS225" i="13" s="1"/>
  <c r="AI224" i="13"/>
  <c r="AS224" i="13" s="1"/>
  <c r="AI223" i="13"/>
  <c r="AS223" i="13" s="1"/>
  <c r="AI222" i="13"/>
  <c r="AS222" i="13" s="1"/>
  <c r="AI221" i="13"/>
  <c r="AS221" i="13" s="1"/>
  <c r="AI220" i="13"/>
  <c r="AS220" i="13" s="1"/>
  <c r="AI219" i="13"/>
  <c r="AS219" i="13" s="1"/>
  <c r="AI218" i="13"/>
  <c r="AS218" i="13" s="1"/>
  <c r="AI217" i="13"/>
  <c r="AS217" i="13" s="1"/>
  <c r="AI216" i="13"/>
  <c r="AS216" i="13" s="1"/>
  <c r="AI215" i="13"/>
  <c r="AS215" i="13" s="1"/>
  <c r="AI214" i="13"/>
  <c r="AS214" i="13" s="1"/>
  <c r="AI213" i="13"/>
  <c r="AS213" i="13" s="1"/>
  <c r="AI212" i="13"/>
  <c r="AS212" i="13" s="1"/>
  <c r="AI211" i="13"/>
  <c r="AS211" i="13" s="1"/>
  <c r="AI210" i="13"/>
  <c r="AS210" i="13" s="1"/>
  <c r="AI209" i="13"/>
  <c r="AS209" i="13" s="1"/>
  <c r="AI208" i="13"/>
  <c r="AS208" i="13" s="1"/>
  <c r="AI207" i="13"/>
  <c r="AS207" i="13" s="1"/>
  <c r="AI206" i="13"/>
  <c r="AS206" i="13" s="1"/>
  <c r="AI205" i="13"/>
  <c r="AS205" i="13" s="1"/>
  <c r="AI204" i="13"/>
  <c r="AS204" i="13" s="1"/>
  <c r="AI203" i="13"/>
  <c r="AS203" i="13" s="1"/>
  <c r="AI202" i="13"/>
  <c r="AS202" i="13" s="1"/>
  <c r="AI201" i="13"/>
  <c r="AS201" i="13" s="1"/>
  <c r="AI200" i="13"/>
  <c r="AS200" i="13" s="1"/>
  <c r="AI199" i="13"/>
  <c r="AS199" i="13" s="1"/>
  <c r="AI198" i="13"/>
  <c r="AS198" i="13" s="1"/>
  <c r="AI197" i="13"/>
  <c r="AS197" i="13" s="1"/>
  <c r="AI196" i="13"/>
  <c r="AS196" i="13" s="1"/>
  <c r="AI195" i="13"/>
  <c r="AS195" i="13" s="1"/>
  <c r="AI194" i="13"/>
  <c r="AS194" i="13" s="1"/>
  <c r="AI193" i="13"/>
  <c r="AS193" i="13" s="1"/>
  <c r="AI192" i="13"/>
  <c r="AS192" i="13" s="1"/>
  <c r="AI191" i="13"/>
  <c r="AS191" i="13" s="1"/>
  <c r="AI190" i="13"/>
  <c r="AS190" i="13" s="1"/>
  <c r="AI189" i="13"/>
  <c r="AS189" i="13" s="1"/>
  <c r="AI188" i="13"/>
  <c r="AS188" i="13" s="1"/>
  <c r="AI187" i="13"/>
  <c r="AS187" i="13" s="1"/>
  <c r="AI186" i="13"/>
  <c r="AS186" i="13" s="1"/>
  <c r="AI185" i="13"/>
  <c r="AS185" i="13" s="1"/>
  <c r="AI184" i="13"/>
  <c r="AS184" i="13" s="1"/>
  <c r="AI183" i="13"/>
  <c r="AS183" i="13" s="1"/>
  <c r="AI182" i="13"/>
  <c r="AS182" i="13" s="1"/>
  <c r="AI181" i="13"/>
  <c r="AS181" i="13" s="1"/>
  <c r="AI180" i="13"/>
  <c r="AS180" i="13" s="1"/>
  <c r="AI179" i="13"/>
  <c r="AS179" i="13" s="1"/>
  <c r="AI178" i="13"/>
  <c r="AS178" i="13" s="1"/>
  <c r="AI177" i="13"/>
  <c r="AS177" i="13" s="1"/>
  <c r="AI176" i="13"/>
  <c r="AS176" i="13" s="1"/>
  <c r="AI175" i="13"/>
  <c r="AS175" i="13" s="1"/>
  <c r="AI174" i="13"/>
  <c r="AS174" i="13" s="1"/>
  <c r="AI173" i="13"/>
  <c r="AS173" i="13" s="1"/>
  <c r="AI172" i="13"/>
  <c r="AS172" i="13" s="1"/>
  <c r="AI171" i="13"/>
  <c r="AS171" i="13" s="1"/>
  <c r="AI170" i="13"/>
  <c r="AS170" i="13" s="1"/>
  <c r="AI169" i="13"/>
  <c r="AS169" i="13" s="1"/>
  <c r="AI168" i="13"/>
  <c r="AS168" i="13" s="1"/>
  <c r="AI167" i="13"/>
  <c r="AS167" i="13" s="1"/>
  <c r="AI166" i="13"/>
  <c r="AS166" i="13" s="1"/>
  <c r="AI165" i="13"/>
  <c r="AS165" i="13" s="1"/>
  <c r="AI164" i="13"/>
  <c r="AS164" i="13" s="1"/>
  <c r="AI163" i="13"/>
  <c r="AS163" i="13" s="1"/>
  <c r="AI162" i="13"/>
  <c r="AS162" i="13" s="1"/>
  <c r="AI161" i="13"/>
  <c r="AS161" i="13" s="1"/>
  <c r="AI160" i="13"/>
  <c r="AS160" i="13" s="1"/>
  <c r="AI159" i="13"/>
  <c r="AS159" i="13" s="1"/>
  <c r="AI158" i="13"/>
  <c r="AS158" i="13" s="1"/>
  <c r="AI157" i="13"/>
  <c r="AS157" i="13" s="1"/>
  <c r="AI156" i="13"/>
  <c r="AS156" i="13" s="1"/>
  <c r="AI155" i="13"/>
  <c r="AS155" i="13" s="1"/>
  <c r="AI154" i="13"/>
  <c r="AS154" i="13" s="1"/>
  <c r="AI153" i="13"/>
  <c r="AS153" i="13" s="1"/>
  <c r="AI152" i="13"/>
  <c r="AS152" i="13" s="1"/>
  <c r="AI151" i="13"/>
  <c r="AS151" i="13" s="1"/>
  <c r="AI150" i="13"/>
  <c r="AS150" i="13" s="1"/>
  <c r="AI148" i="13"/>
  <c r="AS148" i="13" s="1"/>
  <c r="AS147" i="13"/>
  <c r="AI146" i="13"/>
  <c r="AS146" i="13" s="1"/>
  <c r="AI145" i="13"/>
  <c r="AS145" i="13" s="1"/>
  <c r="AI144" i="13"/>
  <c r="AS144" i="13" s="1"/>
  <c r="AI143" i="13"/>
  <c r="AS143" i="13" s="1"/>
  <c r="AI142" i="13"/>
  <c r="AS142" i="13" s="1"/>
  <c r="AI141" i="13"/>
  <c r="AS141" i="13" s="1"/>
  <c r="AI140" i="13"/>
  <c r="AS140" i="13" s="1"/>
  <c r="AI139" i="13"/>
  <c r="AS139" i="13" s="1"/>
  <c r="AI138" i="13"/>
  <c r="AS138" i="13" s="1"/>
  <c r="AI137" i="13"/>
  <c r="AS137" i="13" s="1"/>
  <c r="AI136" i="13"/>
  <c r="AS136" i="13" s="1"/>
  <c r="AI135" i="13"/>
  <c r="AS135" i="13" s="1"/>
  <c r="AI134" i="13"/>
  <c r="AS134" i="13" s="1"/>
  <c r="AI133" i="13"/>
  <c r="AS133" i="13" s="1"/>
  <c r="AI132" i="13"/>
  <c r="AS132" i="13" s="1"/>
  <c r="AI131" i="13"/>
  <c r="AS131" i="13" s="1"/>
  <c r="AI130" i="13"/>
  <c r="AS130" i="13" s="1"/>
  <c r="AI129" i="13"/>
  <c r="AS129" i="13" s="1"/>
  <c r="AI128" i="13"/>
  <c r="AS128" i="13" s="1"/>
  <c r="AI127" i="13"/>
  <c r="AS127" i="13" s="1"/>
  <c r="AI126" i="13"/>
  <c r="AS126" i="13" s="1"/>
  <c r="AI125" i="13"/>
  <c r="AS125" i="13" s="1"/>
  <c r="AI124" i="13"/>
  <c r="AS124" i="13" s="1"/>
  <c r="AI123" i="13"/>
  <c r="AS123" i="13" s="1"/>
  <c r="AI122" i="13"/>
  <c r="AS122" i="13" s="1"/>
  <c r="AI121" i="13"/>
  <c r="AS121" i="13" s="1"/>
  <c r="AI120" i="13"/>
  <c r="AS120" i="13" s="1"/>
  <c r="AI119" i="13"/>
  <c r="AS119" i="13" s="1"/>
  <c r="AI118" i="13"/>
  <c r="AS118" i="13" s="1"/>
  <c r="AI117" i="13"/>
  <c r="AS117" i="13" s="1"/>
  <c r="AI116" i="13"/>
  <c r="AS116" i="13" s="1"/>
  <c r="AI115" i="13"/>
  <c r="AS115" i="13" s="1"/>
  <c r="AI114" i="13"/>
  <c r="AS114" i="13" s="1"/>
  <c r="AI113" i="13"/>
  <c r="AS113" i="13" s="1"/>
  <c r="AI112" i="13"/>
  <c r="AS112" i="13" s="1"/>
  <c r="AI111" i="13"/>
  <c r="AS111" i="13" s="1"/>
  <c r="AI110" i="13"/>
  <c r="AS110" i="13" s="1"/>
  <c r="AI109" i="13"/>
  <c r="AS109" i="13" s="1"/>
  <c r="AI107" i="13"/>
  <c r="AS107" i="13" s="1"/>
  <c r="AI106" i="13"/>
  <c r="AS106" i="13" s="1"/>
  <c r="AI105" i="13"/>
  <c r="AS105" i="13" s="1"/>
  <c r="AI104" i="13"/>
  <c r="AS104" i="13" s="1"/>
  <c r="AI103" i="13"/>
  <c r="AS103" i="13" s="1"/>
  <c r="AI102" i="13"/>
  <c r="AS102" i="13" s="1"/>
  <c r="AI101" i="13"/>
  <c r="AS101" i="13" s="1"/>
  <c r="AI100" i="13"/>
  <c r="AS100" i="13" s="1"/>
  <c r="AI99" i="13"/>
  <c r="AS99" i="13" s="1"/>
  <c r="AI98" i="13"/>
  <c r="AS98" i="13" s="1"/>
  <c r="AI97" i="13"/>
  <c r="AS97" i="13" s="1"/>
  <c r="AI95" i="13"/>
  <c r="AS95" i="13" s="1"/>
  <c r="AI94" i="13"/>
  <c r="AS94" i="13" s="1"/>
  <c r="AI93" i="13"/>
  <c r="AS93" i="13" s="1"/>
  <c r="AI92" i="13"/>
  <c r="AS92" i="13" s="1"/>
  <c r="AI91" i="13"/>
  <c r="AS91" i="13" s="1"/>
  <c r="AI90" i="13"/>
  <c r="AS90" i="13" s="1"/>
  <c r="AI89" i="13"/>
  <c r="AS89" i="13" s="1"/>
  <c r="AI88" i="13"/>
  <c r="AS88" i="13" s="1"/>
  <c r="AI87" i="13"/>
  <c r="AS87" i="13" s="1"/>
  <c r="AI86" i="13"/>
  <c r="AS86" i="13" s="1"/>
  <c r="AI85" i="13"/>
  <c r="AS85" i="13" s="1"/>
  <c r="AI84" i="13"/>
  <c r="AS84" i="13" s="1"/>
  <c r="AI83" i="13"/>
  <c r="AS83" i="13" s="1"/>
  <c r="AI82" i="13"/>
  <c r="AS82" i="13" s="1"/>
  <c r="AI81" i="13"/>
  <c r="AS81" i="13" s="1"/>
  <c r="AI80" i="13"/>
  <c r="AS80" i="13" s="1"/>
  <c r="AI79" i="13"/>
  <c r="AS79" i="13" s="1"/>
  <c r="AI78" i="13"/>
  <c r="AS78" i="13" s="1"/>
  <c r="AI77" i="13"/>
  <c r="AS77" i="13" s="1"/>
  <c r="AI76" i="13"/>
  <c r="AS76" i="13" s="1"/>
  <c r="AI75" i="13"/>
  <c r="AS75" i="13" s="1"/>
  <c r="AI74" i="13"/>
  <c r="AS74" i="13" s="1"/>
  <c r="AI73" i="13"/>
  <c r="AS73" i="13" s="1"/>
  <c r="AI72" i="13"/>
  <c r="AS72" i="13" s="1"/>
  <c r="AI71" i="13"/>
  <c r="AS71" i="13" s="1"/>
  <c r="AI70" i="13"/>
  <c r="AS70" i="13" s="1"/>
  <c r="AI69" i="13"/>
  <c r="AS69" i="13" s="1"/>
  <c r="AI68" i="13"/>
  <c r="AS68" i="13" s="1"/>
  <c r="AI67" i="13"/>
  <c r="AS67" i="13" s="1"/>
  <c r="AI66" i="13"/>
  <c r="AS66" i="13" s="1"/>
  <c r="AI65" i="13"/>
  <c r="AS65" i="13" s="1"/>
  <c r="AI64" i="13"/>
  <c r="AS64" i="13" s="1"/>
  <c r="AS63" i="13"/>
  <c r="AI62" i="13"/>
  <c r="AS62" i="13" s="1"/>
  <c r="AI61" i="13"/>
  <c r="AS61" i="13" s="1"/>
  <c r="AI60" i="13"/>
  <c r="AS60" i="13" s="1"/>
  <c r="AI59" i="13"/>
  <c r="AS59" i="13" s="1"/>
  <c r="AI58" i="13"/>
  <c r="AS58" i="13" s="1"/>
  <c r="AI57" i="13"/>
  <c r="AS57" i="13" s="1"/>
  <c r="AI56" i="13"/>
  <c r="AS56" i="13" s="1"/>
  <c r="AI55" i="13"/>
  <c r="AS55" i="13" s="1"/>
  <c r="AI54" i="13"/>
  <c r="AS54" i="13" s="1"/>
  <c r="AI53" i="13"/>
  <c r="AS53" i="13" s="1"/>
  <c r="AI52" i="13"/>
  <c r="AS52" i="13" s="1"/>
  <c r="AI51" i="13"/>
  <c r="AS51" i="13" s="1"/>
  <c r="AI50" i="13"/>
  <c r="AS50" i="13" s="1"/>
  <c r="AI49" i="13"/>
  <c r="AS49" i="13" s="1"/>
  <c r="AI48" i="13"/>
  <c r="AS48" i="13" s="1"/>
  <c r="AI43" i="13"/>
  <c r="AS43" i="13" s="1"/>
  <c r="AI42" i="13"/>
  <c r="AS42" i="13" s="1"/>
  <c r="AI41" i="13"/>
  <c r="AS41" i="13" s="1"/>
  <c r="AI40" i="13"/>
  <c r="AS40" i="13" s="1"/>
  <c r="W236" i="13"/>
  <c r="K236" i="13"/>
  <c r="E236" i="13"/>
  <c r="W235" i="13"/>
  <c r="K235" i="13"/>
  <c r="E235" i="13"/>
  <c r="W234" i="13"/>
  <c r="K234" i="13"/>
  <c r="E234" i="13"/>
  <c r="AY234" i="13" s="1"/>
  <c r="W233" i="13"/>
  <c r="K233" i="13"/>
  <c r="E233" i="13"/>
  <c r="W232" i="13"/>
  <c r="K232" i="13"/>
  <c r="E232" i="13"/>
  <c r="W231" i="13"/>
  <c r="K231" i="13"/>
  <c r="E231" i="13"/>
  <c r="W230" i="13"/>
  <c r="K230" i="13"/>
  <c r="E230" i="13"/>
  <c r="AY230" i="13" s="1"/>
  <c r="W229" i="13"/>
  <c r="W228" i="13"/>
  <c r="W227" i="13"/>
  <c r="K227" i="13"/>
  <c r="E227" i="13"/>
  <c r="W226" i="13"/>
  <c r="K226" i="13"/>
  <c r="E226" i="13"/>
  <c r="W225" i="13"/>
  <c r="K225" i="13"/>
  <c r="E225" i="13"/>
  <c r="W224" i="13"/>
  <c r="K224" i="13"/>
  <c r="E224" i="13"/>
  <c r="W223" i="13"/>
  <c r="K223" i="13"/>
  <c r="E223" i="13"/>
  <c r="W222" i="13"/>
  <c r="K222" i="13"/>
  <c r="E222" i="13"/>
  <c r="W221" i="13"/>
  <c r="K221" i="13"/>
  <c r="E221" i="13"/>
  <c r="W220" i="13"/>
  <c r="K220" i="13"/>
  <c r="E220" i="13"/>
  <c r="W219" i="13"/>
  <c r="K219" i="13"/>
  <c r="E219" i="13"/>
  <c r="W218" i="13"/>
  <c r="K218" i="13"/>
  <c r="E218" i="13"/>
  <c r="W217" i="13"/>
  <c r="K217" i="13"/>
  <c r="E217" i="13"/>
  <c r="W216" i="13"/>
  <c r="K216" i="13"/>
  <c r="E216" i="13"/>
  <c r="W215" i="13"/>
  <c r="K215" i="13"/>
  <c r="E215" i="13"/>
  <c r="W214" i="13"/>
  <c r="K214" i="13"/>
  <c r="E214" i="13"/>
  <c r="W213" i="13"/>
  <c r="K213" i="13"/>
  <c r="E213" i="13"/>
  <c r="W212" i="13"/>
  <c r="W211" i="13"/>
  <c r="K211" i="13"/>
  <c r="E211" i="13"/>
  <c r="W210" i="13"/>
  <c r="K210" i="13"/>
  <c r="E210" i="13"/>
  <c r="W209" i="13"/>
  <c r="K209" i="13"/>
  <c r="E209" i="13"/>
  <c r="W208" i="13"/>
  <c r="K208" i="13"/>
  <c r="E208" i="13"/>
  <c r="W207" i="13"/>
  <c r="K207" i="13"/>
  <c r="E207" i="13"/>
  <c r="W206" i="13"/>
  <c r="K206" i="13"/>
  <c r="E206" i="13"/>
  <c r="W205" i="13"/>
  <c r="K205" i="13"/>
  <c r="E205" i="13"/>
  <c r="W204" i="13"/>
  <c r="W203" i="13"/>
  <c r="E203" i="13"/>
  <c r="AY203" i="13" s="1"/>
  <c r="W202" i="13"/>
  <c r="K202" i="13"/>
  <c r="E202" i="13"/>
  <c r="W201" i="13"/>
  <c r="K201" i="13"/>
  <c r="E201" i="13"/>
  <c r="W200" i="13"/>
  <c r="K200" i="13"/>
  <c r="E200" i="13"/>
  <c r="W199" i="13"/>
  <c r="K199" i="13"/>
  <c r="E199" i="13"/>
  <c r="W198" i="13"/>
  <c r="K198" i="13"/>
  <c r="E198" i="13"/>
  <c r="W197" i="13"/>
  <c r="K197" i="13"/>
  <c r="E197" i="13"/>
  <c r="W196" i="13"/>
  <c r="K196" i="13"/>
  <c r="E196" i="13"/>
  <c r="W195" i="13"/>
  <c r="K195" i="13"/>
  <c r="E195" i="13"/>
  <c r="W194" i="13"/>
  <c r="W193" i="13"/>
  <c r="K193" i="13"/>
  <c r="E193" i="13"/>
  <c r="W192" i="13"/>
  <c r="K192" i="13"/>
  <c r="E192" i="13"/>
  <c r="W191" i="13"/>
  <c r="K191" i="13"/>
  <c r="E191" i="13"/>
  <c r="W190" i="13"/>
  <c r="K190" i="13"/>
  <c r="E190" i="13"/>
  <c r="W189" i="13"/>
  <c r="K189" i="13"/>
  <c r="E189" i="13"/>
  <c r="W188" i="13"/>
  <c r="K188" i="13"/>
  <c r="E188" i="13"/>
  <c r="W187" i="13"/>
  <c r="K187" i="13"/>
  <c r="E187" i="13"/>
  <c r="W186" i="13"/>
  <c r="K186" i="13"/>
  <c r="E186" i="13"/>
  <c r="W185" i="13"/>
  <c r="K185" i="13"/>
  <c r="E185" i="13"/>
  <c r="W184" i="13"/>
  <c r="K184" i="13"/>
  <c r="E184" i="13"/>
  <c r="W183" i="13"/>
  <c r="K183" i="13"/>
  <c r="E183" i="13"/>
  <c r="W182" i="13"/>
  <c r="K182" i="13"/>
  <c r="E182" i="13"/>
  <c r="W181" i="13"/>
  <c r="K181" i="13"/>
  <c r="E181" i="13"/>
  <c r="W180" i="13"/>
  <c r="K180" i="13"/>
  <c r="E180" i="13"/>
  <c r="W179" i="13"/>
  <c r="K179" i="13"/>
  <c r="E179" i="13"/>
  <c r="W178" i="13"/>
  <c r="K178" i="13"/>
  <c r="E178" i="13"/>
  <c r="W177" i="13"/>
  <c r="K177" i="13"/>
  <c r="E177" i="13"/>
  <c r="W176" i="13"/>
  <c r="W175" i="13"/>
  <c r="K175" i="13"/>
  <c r="E175" i="13"/>
  <c r="W174" i="13"/>
  <c r="K174" i="13"/>
  <c r="E174" i="13"/>
  <c r="W173" i="13"/>
  <c r="K173" i="13"/>
  <c r="E173" i="13"/>
  <c r="W172" i="13"/>
  <c r="K172" i="13"/>
  <c r="E172" i="13"/>
  <c r="W171" i="13"/>
  <c r="K171" i="13"/>
  <c r="E171" i="13"/>
  <c r="W170" i="13"/>
  <c r="K170" i="13"/>
  <c r="E170" i="13"/>
  <c r="W169" i="13"/>
  <c r="W168" i="13"/>
  <c r="K168" i="13"/>
  <c r="E168" i="13"/>
  <c r="W167" i="13"/>
  <c r="W166" i="13"/>
  <c r="K166" i="13"/>
  <c r="E166" i="13"/>
  <c r="W165" i="13"/>
  <c r="K165" i="13"/>
  <c r="E165" i="13"/>
  <c r="W164" i="13"/>
  <c r="K164" i="13"/>
  <c r="E164" i="13"/>
  <c r="W163" i="13"/>
  <c r="W162" i="13"/>
  <c r="K162" i="13"/>
  <c r="E162" i="13"/>
  <c r="W161" i="13"/>
  <c r="K161" i="13"/>
  <c r="E161" i="13"/>
  <c r="W160" i="13"/>
  <c r="K160" i="13"/>
  <c r="E160" i="13"/>
  <c r="W159" i="13"/>
  <c r="K159" i="13"/>
  <c r="E159" i="13"/>
  <c r="W158" i="13"/>
  <c r="K158" i="13"/>
  <c r="E158" i="13"/>
  <c r="W157" i="13"/>
  <c r="K157" i="13"/>
  <c r="E157" i="13"/>
  <c r="W156" i="13"/>
  <c r="K156" i="13"/>
  <c r="E156" i="13"/>
  <c r="W155" i="13"/>
  <c r="K155" i="13"/>
  <c r="E155" i="13"/>
  <c r="W154" i="13"/>
  <c r="K154" i="13"/>
  <c r="E154" i="13"/>
  <c r="W153" i="13"/>
  <c r="W152" i="13"/>
  <c r="K152" i="13"/>
  <c r="E152" i="13"/>
  <c r="W151" i="13"/>
  <c r="K151" i="13"/>
  <c r="E151" i="13"/>
  <c r="W150" i="13"/>
  <c r="K150" i="13"/>
  <c r="E150" i="13"/>
  <c r="W148" i="13"/>
  <c r="K148" i="13"/>
  <c r="E148" i="13"/>
  <c r="W147" i="13"/>
  <c r="W146" i="13"/>
  <c r="K146" i="13"/>
  <c r="E146" i="13"/>
  <c r="W145" i="13"/>
  <c r="K145" i="13"/>
  <c r="E145" i="13"/>
  <c r="W144" i="13"/>
  <c r="K144" i="13"/>
  <c r="E144" i="13"/>
  <c r="W143" i="13"/>
  <c r="K143" i="13"/>
  <c r="E143" i="13"/>
  <c r="W142" i="13"/>
  <c r="K142" i="13"/>
  <c r="E142" i="13"/>
  <c r="W141" i="13"/>
  <c r="K141" i="13"/>
  <c r="E141" i="13"/>
  <c r="W140" i="13"/>
  <c r="K140" i="13"/>
  <c r="E140" i="13"/>
  <c r="W139" i="13"/>
  <c r="K139" i="13"/>
  <c r="E139" i="13"/>
  <c r="W138" i="13"/>
  <c r="K138" i="13"/>
  <c r="E138" i="13"/>
  <c r="W137" i="13"/>
  <c r="K137" i="13"/>
  <c r="E137" i="13"/>
  <c r="W136" i="13"/>
  <c r="K136" i="13"/>
  <c r="E136" i="13"/>
  <c r="W135" i="13"/>
  <c r="K135" i="13"/>
  <c r="E135" i="13"/>
  <c r="W134" i="13"/>
  <c r="K134" i="13"/>
  <c r="E134" i="13"/>
  <c r="W133" i="13"/>
  <c r="K133" i="13"/>
  <c r="E133" i="13"/>
  <c r="W132" i="13"/>
  <c r="K132" i="13"/>
  <c r="E132" i="13"/>
  <c r="W131" i="13"/>
  <c r="K131" i="13"/>
  <c r="E131" i="13"/>
  <c r="W130" i="13"/>
  <c r="K130" i="13"/>
  <c r="E130" i="13"/>
  <c r="W129" i="13"/>
  <c r="K129" i="13"/>
  <c r="E129" i="13"/>
  <c r="W128" i="13"/>
  <c r="K128" i="13"/>
  <c r="E128" i="13"/>
  <c r="W127" i="13"/>
  <c r="K127" i="13"/>
  <c r="E127" i="13"/>
  <c r="W126" i="13"/>
  <c r="K126" i="13"/>
  <c r="E126" i="13"/>
  <c r="W125" i="13"/>
  <c r="K125" i="13"/>
  <c r="E125" i="13"/>
  <c r="W124" i="13"/>
  <c r="K124" i="13"/>
  <c r="E124" i="13"/>
  <c r="W123" i="13"/>
  <c r="K123" i="13"/>
  <c r="E123" i="13"/>
  <c r="W122" i="13"/>
  <c r="K122" i="13"/>
  <c r="E122" i="13"/>
  <c r="W121" i="13"/>
  <c r="K121" i="13"/>
  <c r="E121" i="13"/>
  <c r="W120" i="13"/>
  <c r="K120" i="13"/>
  <c r="E120" i="13"/>
  <c r="W119" i="13"/>
  <c r="K119" i="13"/>
  <c r="E119" i="13"/>
  <c r="W118" i="13"/>
  <c r="K118" i="13"/>
  <c r="E118" i="13"/>
  <c r="W117" i="13"/>
  <c r="K117" i="13"/>
  <c r="E117" i="13"/>
  <c r="W116" i="13"/>
  <c r="K116" i="13"/>
  <c r="E116" i="13"/>
  <c r="W115" i="13"/>
  <c r="W114" i="13"/>
  <c r="K114" i="13"/>
  <c r="E114" i="13"/>
  <c r="W113" i="13"/>
  <c r="K113" i="13"/>
  <c r="E113" i="13"/>
  <c r="W112" i="13"/>
  <c r="K112" i="13"/>
  <c r="E112" i="13"/>
  <c r="W111" i="13"/>
  <c r="K111" i="13"/>
  <c r="E111" i="13"/>
  <c r="W110" i="13"/>
  <c r="K110" i="13"/>
  <c r="E110" i="13"/>
  <c r="W109" i="13"/>
  <c r="W107" i="13"/>
  <c r="K107" i="13"/>
  <c r="E107" i="13"/>
  <c r="W106" i="13"/>
  <c r="K106" i="13"/>
  <c r="E106" i="13"/>
  <c r="W105" i="13"/>
  <c r="W104" i="13"/>
  <c r="K104" i="13"/>
  <c r="E104" i="13"/>
  <c r="W103" i="13"/>
  <c r="W102" i="13"/>
  <c r="K102" i="13"/>
  <c r="E102" i="13"/>
  <c r="W101" i="13"/>
  <c r="K101" i="13"/>
  <c r="E101" i="13"/>
  <c r="W100" i="13"/>
  <c r="K100" i="13"/>
  <c r="E100" i="13"/>
  <c r="W99" i="13"/>
  <c r="K99" i="13"/>
  <c r="E99" i="13"/>
  <c r="W98" i="13"/>
  <c r="K98" i="13"/>
  <c r="E98" i="13"/>
  <c r="W97" i="13"/>
  <c r="W95" i="13"/>
  <c r="K95" i="13"/>
  <c r="E95" i="13"/>
  <c r="W94" i="13"/>
  <c r="K94" i="13"/>
  <c r="E94" i="13"/>
  <c r="W93" i="13"/>
  <c r="K93" i="13"/>
  <c r="E93" i="13"/>
  <c r="W92" i="13"/>
  <c r="K92" i="13"/>
  <c r="E92" i="13"/>
  <c r="W91" i="13"/>
  <c r="K91" i="13"/>
  <c r="E91" i="13"/>
  <c r="W90" i="13"/>
  <c r="K90" i="13"/>
  <c r="E90" i="13"/>
  <c r="W89" i="13"/>
  <c r="K89" i="13"/>
  <c r="E89" i="13"/>
  <c r="W88" i="13"/>
  <c r="W87" i="13"/>
  <c r="K87" i="13"/>
  <c r="E87" i="13"/>
  <c r="W86" i="13"/>
  <c r="K86" i="13"/>
  <c r="E86" i="13"/>
  <c r="W85" i="13"/>
  <c r="K85" i="13"/>
  <c r="E85" i="13"/>
  <c r="W84" i="13"/>
  <c r="W83" i="13"/>
  <c r="K83" i="13"/>
  <c r="E83" i="13"/>
  <c r="W82" i="13"/>
  <c r="K82" i="13"/>
  <c r="E82" i="13"/>
  <c r="W81" i="13"/>
  <c r="K81" i="13"/>
  <c r="E81" i="13"/>
  <c r="W80" i="13"/>
  <c r="K80" i="13"/>
  <c r="E80" i="13"/>
  <c r="W79" i="13"/>
  <c r="K79" i="13"/>
  <c r="E79" i="13"/>
  <c r="W78" i="13"/>
  <c r="K78" i="13"/>
  <c r="E78" i="13"/>
  <c r="W77" i="13"/>
  <c r="K77" i="13"/>
  <c r="E77" i="13"/>
  <c r="W76" i="13"/>
  <c r="K76" i="13"/>
  <c r="E76" i="13"/>
  <c r="W75" i="13"/>
  <c r="K75" i="13"/>
  <c r="E75" i="13"/>
  <c r="W74" i="13"/>
  <c r="K74" i="13"/>
  <c r="E74" i="13"/>
  <c r="W73" i="13"/>
  <c r="K73" i="13"/>
  <c r="E73" i="13"/>
  <c r="W72" i="13"/>
  <c r="K72" i="13"/>
  <c r="E72" i="13"/>
  <c r="W71" i="13"/>
  <c r="K71" i="13"/>
  <c r="E71" i="13"/>
  <c r="W70" i="13"/>
  <c r="K70" i="13"/>
  <c r="E70" i="13"/>
  <c r="W69" i="13"/>
  <c r="W68" i="13"/>
  <c r="K68" i="13"/>
  <c r="E68" i="13"/>
  <c r="W67" i="13"/>
  <c r="K67" i="13"/>
  <c r="E67" i="13"/>
  <c r="W66" i="13"/>
  <c r="K66" i="13"/>
  <c r="E66" i="13"/>
  <c r="W65" i="13"/>
  <c r="K65" i="13"/>
  <c r="E65" i="13"/>
  <c r="W64" i="13"/>
  <c r="K64" i="13"/>
  <c r="E64" i="13"/>
  <c r="W63" i="13"/>
  <c r="W62" i="13"/>
  <c r="K62" i="13"/>
  <c r="E62" i="13"/>
  <c r="W61" i="13"/>
  <c r="K61" i="13"/>
  <c r="E61" i="13"/>
  <c r="W60" i="13"/>
  <c r="K60" i="13"/>
  <c r="E60" i="13"/>
  <c r="W59" i="13"/>
  <c r="W58" i="13"/>
  <c r="W57" i="13"/>
  <c r="W56" i="13"/>
  <c r="K56" i="13"/>
  <c r="E56" i="13"/>
  <c r="W55" i="13"/>
  <c r="W54" i="13"/>
  <c r="K54" i="13"/>
  <c r="E54" i="13"/>
  <c r="W53" i="13"/>
  <c r="K53" i="13"/>
  <c r="E53" i="13"/>
  <c r="W52" i="13"/>
  <c r="K52" i="13"/>
  <c r="E52" i="13"/>
  <c r="W51" i="13"/>
  <c r="K51" i="13"/>
  <c r="E51" i="13"/>
  <c r="W50" i="13"/>
  <c r="K50" i="13"/>
  <c r="E50" i="13"/>
  <c r="W49" i="13"/>
  <c r="K49" i="13"/>
  <c r="E49" i="13"/>
  <c r="W48" i="13"/>
  <c r="W43" i="13"/>
  <c r="K43" i="13"/>
  <c r="E43" i="13"/>
  <c r="W42" i="13"/>
  <c r="K42" i="13"/>
  <c r="E42" i="13"/>
  <c r="W41" i="13"/>
  <c r="K41" i="13"/>
  <c r="E41" i="13"/>
  <c r="W40" i="13"/>
  <c r="AI88" i="14"/>
  <c r="AI245" i="14"/>
  <c r="AI244" i="14"/>
  <c r="AI243" i="14"/>
  <c r="AI241" i="14"/>
  <c r="AI240" i="14"/>
  <c r="AI239" i="14"/>
  <c r="AI237" i="14"/>
  <c r="AI236" i="14"/>
  <c r="AI235" i="14"/>
  <c r="AI234" i="14"/>
  <c r="AI233" i="14"/>
  <c r="AI232" i="14"/>
  <c r="AI231" i="14"/>
  <c r="AI230" i="14"/>
  <c r="AI229" i="14"/>
  <c r="AI227" i="14"/>
  <c r="AI226" i="14"/>
  <c r="AI225" i="14"/>
  <c r="AI224" i="14"/>
  <c r="AI223" i="14"/>
  <c r="AI221" i="14"/>
  <c r="AI220" i="14"/>
  <c r="AI219" i="14"/>
  <c r="AI218" i="14"/>
  <c r="AI217" i="14"/>
  <c r="AI216" i="14"/>
  <c r="AI215" i="14"/>
  <c r="AI214" i="14"/>
  <c r="AI213" i="14"/>
  <c r="AI212" i="14"/>
  <c r="AI211" i="14"/>
  <c r="AI210" i="14"/>
  <c r="AI209" i="14"/>
  <c r="AI208" i="14"/>
  <c r="AI207" i="14"/>
  <c r="AI206" i="14"/>
  <c r="AI205" i="14"/>
  <c r="AI204" i="14"/>
  <c r="AI203" i="14"/>
  <c r="AI202" i="14"/>
  <c r="AI201" i="14"/>
  <c r="AI200" i="14"/>
  <c r="AI199" i="14"/>
  <c r="AI198" i="14"/>
  <c r="AI197" i="14"/>
  <c r="AI196" i="14"/>
  <c r="AI195" i="14"/>
  <c r="AS195" i="14" s="1"/>
  <c r="AI194" i="14"/>
  <c r="AI193" i="14"/>
  <c r="AI192" i="14"/>
  <c r="AI191" i="14"/>
  <c r="AI190" i="14"/>
  <c r="AI189" i="14"/>
  <c r="AI187" i="14"/>
  <c r="AI186" i="14"/>
  <c r="AI185" i="14"/>
  <c r="AI184" i="14"/>
  <c r="AI183" i="14"/>
  <c r="AI182" i="14"/>
  <c r="AI181" i="14"/>
  <c r="AI180" i="14"/>
  <c r="AI179" i="14"/>
  <c r="AS179" i="14" s="1"/>
  <c r="AI178" i="14"/>
  <c r="AI177" i="14"/>
  <c r="AI176" i="14"/>
  <c r="AI175" i="14"/>
  <c r="AI174" i="14"/>
  <c r="AI173" i="14"/>
  <c r="AI172" i="14"/>
  <c r="AI171" i="14"/>
  <c r="AI170" i="14"/>
  <c r="AI169" i="14"/>
  <c r="AI168" i="14"/>
  <c r="AI167" i="14"/>
  <c r="AI166" i="14"/>
  <c r="AI165" i="14"/>
  <c r="AI163" i="14"/>
  <c r="AI161" i="14"/>
  <c r="AI160" i="14"/>
  <c r="AI159" i="14"/>
  <c r="AI158" i="14"/>
  <c r="AI157" i="14"/>
  <c r="AI156" i="14"/>
  <c r="AI155" i="14"/>
  <c r="AI154" i="14"/>
  <c r="AI153" i="14"/>
  <c r="AI152" i="14"/>
  <c r="AI151" i="14"/>
  <c r="AI150" i="14"/>
  <c r="AI149" i="14"/>
  <c r="AI148" i="14"/>
  <c r="AI147" i="14"/>
  <c r="AI146" i="14"/>
  <c r="AI145" i="14"/>
  <c r="AI144" i="14"/>
  <c r="AI143" i="14"/>
  <c r="AI142" i="14"/>
  <c r="AI141" i="14"/>
  <c r="AI140" i="14"/>
  <c r="AI139" i="14"/>
  <c r="AI138" i="14"/>
  <c r="AI137" i="14"/>
  <c r="AI136" i="14"/>
  <c r="AI135" i="14"/>
  <c r="AI134" i="14"/>
  <c r="AI133" i="14"/>
  <c r="AI132" i="14"/>
  <c r="AI131" i="14"/>
  <c r="AI130" i="14"/>
  <c r="AI129" i="14"/>
  <c r="AI128" i="14"/>
  <c r="AI127" i="14"/>
  <c r="AI126" i="14"/>
  <c r="AI125" i="14"/>
  <c r="AI124" i="14"/>
  <c r="AI123" i="14"/>
  <c r="AI122" i="14"/>
  <c r="AI121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7" i="14"/>
  <c r="AI96" i="14"/>
  <c r="AI95" i="14"/>
  <c r="AI94" i="14"/>
  <c r="AI92" i="14"/>
  <c r="AI91" i="14"/>
  <c r="AI90" i="14"/>
  <c r="AI89" i="14"/>
  <c r="AI87" i="14"/>
  <c r="AI86" i="14"/>
  <c r="AI85" i="14"/>
  <c r="AI84" i="14"/>
  <c r="AI83" i="14"/>
  <c r="AI82" i="14"/>
  <c r="AI81" i="14"/>
  <c r="AI80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2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7" i="14"/>
  <c r="AI16" i="14"/>
  <c r="AI15" i="14"/>
  <c r="AI14" i="14"/>
  <c r="AI13" i="14"/>
  <c r="AI12" i="14"/>
  <c r="K85" i="14"/>
  <c r="E85" i="14"/>
  <c r="K84" i="14"/>
  <c r="E84" i="14"/>
  <c r="K82" i="14"/>
  <c r="E82" i="14"/>
  <c r="K74" i="14"/>
  <c r="E74" i="14"/>
  <c r="K68" i="14"/>
  <c r="E68" i="14"/>
  <c r="K66" i="14"/>
  <c r="E66" i="14"/>
  <c r="K63" i="14"/>
  <c r="E63" i="14"/>
  <c r="K55" i="14"/>
  <c r="E55" i="14"/>
  <c r="K52" i="14"/>
  <c r="E52" i="14"/>
  <c r="K51" i="14"/>
  <c r="E51" i="14"/>
  <c r="K50" i="14"/>
  <c r="E50" i="14"/>
  <c r="K49" i="14"/>
  <c r="K48" i="14"/>
  <c r="E48" i="14"/>
  <c r="K46" i="14"/>
  <c r="E46" i="14"/>
  <c r="K38" i="14"/>
  <c r="E38" i="14"/>
  <c r="K36" i="14"/>
  <c r="E36" i="14"/>
  <c r="K35" i="14"/>
  <c r="E35" i="14"/>
  <c r="K33" i="14"/>
  <c r="E33" i="14"/>
  <c r="K31" i="14"/>
  <c r="E31" i="14"/>
  <c r="E25" i="14"/>
  <c r="K22" i="14"/>
  <c r="E22" i="14"/>
  <c r="K21" i="14"/>
  <c r="E21" i="14"/>
  <c r="K15" i="14"/>
  <c r="AJ250" i="6"/>
  <c r="AT250" i="6" s="1"/>
  <c r="AJ249" i="6"/>
  <c r="AT249" i="6" s="1"/>
  <c r="AJ248" i="6"/>
  <c r="AT248" i="6" s="1"/>
  <c r="AJ246" i="6"/>
  <c r="AT246" i="6" s="1"/>
  <c r="AJ245" i="6"/>
  <c r="AT245" i="6" s="1"/>
  <c r="AJ244" i="6"/>
  <c r="AT244" i="6" s="1"/>
  <c r="AJ243" i="6"/>
  <c r="AT243" i="6" s="1"/>
  <c r="AJ242" i="6"/>
  <c r="AT242" i="6" s="1"/>
  <c r="AJ241" i="6"/>
  <c r="AT241" i="6" s="1"/>
  <c r="AJ240" i="6"/>
  <c r="AT240" i="6" s="1"/>
  <c r="AJ239" i="6"/>
  <c r="AT239" i="6" s="1"/>
  <c r="AJ238" i="6"/>
  <c r="AT238" i="6" s="1"/>
  <c r="AJ237" i="6"/>
  <c r="AT237" i="6" s="1"/>
  <c r="AJ236" i="6"/>
  <c r="AT236" i="6" s="1"/>
  <c r="AJ234" i="6"/>
  <c r="AT234" i="6" s="1"/>
  <c r="AT233" i="6"/>
  <c r="AJ232" i="6"/>
  <c r="AT232" i="6" s="1"/>
  <c r="AJ231" i="6"/>
  <c r="AT231" i="6" s="1"/>
  <c r="AJ230" i="6"/>
  <c r="AT230" i="6" s="1"/>
  <c r="AJ229" i="6"/>
  <c r="AT229" i="6" s="1"/>
  <c r="AJ228" i="6"/>
  <c r="AT228" i="6" s="1"/>
  <c r="AJ227" i="6"/>
  <c r="AT227" i="6" s="1"/>
  <c r="AJ226" i="6"/>
  <c r="AT226" i="6" s="1"/>
  <c r="AJ225" i="6"/>
  <c r="AT225" i="6" s="1"/>
  <c r="AJ224" i="6"/>
  <c r="AT224" i="6" s="1"/>
  <c r="AJ223" i="6"/>
  <c r="AT223" i="6" s="1"/>
  <c r="AJ222" i="6"/>
  <c r="AT222" i="6" s="1"/>
  <c r="AJ221" i="6"/>
  <c r="AT221" i="6" s="1"/>
  <c r="AJ220" i="6"/>
  <c r="AT220" i="6" s="1"/>
  <c r="AJ219" i="6"/>
  <c r="AT219" i="6" s="1"/>
  <c r="AJ218" i="6"/>
  <c r="AT218" i="6" s="1"/>
  <c r="AJ217" i="6"/>
  <c r="AT217" i="6" s="1"/>
  <c r="AJ216" i="6"/>
  <c r="AT216" i="6" s="1"/>
  <c r="AJ215" i="6"/>
  <c r="AT215" i="6" s="1"/>
  <c r="AJ214" i="6"/>
  <c r="AT214" i="6" s="1"/>
  <c r="AJ213" i="6"/>
  <c r="AT213" i="6" s="1"/>
  <c r="AJ212" i="6"/>
  <c r="AT212" i="6" s="1"/>
  <c r="AJ211" i="6"/>
  <c r="AT211" i="6" s="1"/>
  <c r="AJ210" i="6"/>
  <c r="AT210" i="6" s="1"/>
  <c r="AJ209" i="6"/>
  <c r="AT209" i="6" s="1"/>
  <c r="AJ208" i="6"/>
  <c r="AT208" i="6" s="1"/>
  <c r="AJ207" i="6"/>
  <c r="AT207" i="6" s="1"/>
  <c r="AJ205" i="6"/>
  <c r="AT205" i="6" s="1"/>
  <c r="AJ204" i="6"/>
  <c r="AT204" i="6" s="1"/>
  <c r="AT203" i="6"/>
  <c r="AJ202" i="6"/>
  <c r="AT202" i="6" s="1"/>
  <c r="AJ201" i="6"/>
  <c r="AT201" i="6" s="1"/>
  <c r="AJ200" i="6"/>
  <c r="AT200" i="6" s="1"/>
  <c r="AJ199" i="6"/>
  <c r="AT199" i="6" s="1"/>
  <c r="AJ198" i="6"/>
  <c r="AT198" i="6" s="1"/>
  <c r="AJ197" i="6"/>
  <c r="AT197" i="6" s="1"/>
  <c r="AJ196" i="6"/>
  <c r="AT196" i="6" s="1"/>
  <c r="AJ194" i="6"/>
  <c r="AT194" i="6" s="1"/>
  <c r="AJ193" i="6"/>
  <c r="AT193" i="6" s="1"/>
  <c r="AJ192" i="6"/>
  <c r="AT192" i="6" s="1"/>
  <c r="AJ191" i="6"/>
  <c r="AT191" i="6" s="1"/>
  <c r="AJ190" i="6"/>
  <c r="AT190" i="6" s="1"/>
  <c r="AJ189" i="6"/>
  <c r="AT189" i="6" s="1"/>
  <c r="AJ188" i="6"/>
  <c r="AT188" i="6" s="1"/>
  <c r="AJ187" i="6"/>
  <c r="AT187" i="6" s="1"/>
  <c r="AT186" i="6"/>
  <c r="AJ185" i="6"/>
  <c r="AT185" i="6" s="1"/>
  <c r="AJ184" i="6"/>
  <c r="AT184" i="6" s="1"/>
  <c r="AJ183" i="6"/>
  <c r="AT183" i="6" s="1"/>
  <c r="AJ182" i="6"/>
  <c r="AT182" i="6" s="1"/>
  <c r="AJ181" i="6"/>
  <c r="AT181" i="6" s="1"/>
  <c r="AJ180" i="6"/>
  <c r="AT180" i="6" s="1"/>
  <c r="AJ179" i="6"/>
  <c r="AT179" i="6" s="1"/>
  <c r="AJ178" i="6"/>
  <c r="AT178" i="6" s="1"/>
  <c r="AJ177" i="6"/>
  <c r="AT177" i="6" s="1"/>
  <c r="AJ176" i="6"/>
  <c r="AT176" i="6" s="1"/>
  <c r="AJ175" i="6"/>
  <c r="AT175" i="6" s="1"/>
  <c r="AJ174" i="6"/>
  <c r="AT174" i="6" s="1"/>
  <c r="AJ173" i="6"/>
  <c r="AT173" i="6" s="1"/>
  <c r="AJ172" i="6"/>
  <c r="AT172" i="6" s="1"/>
  <c r="AJ171" i="6"/>
  <c r="AT171" i="6" s="1"/>
  <c r="AJ170" i="6"/>
  <c r="AT170" i="6" s="1"/>
  <c r="AJ169" i="6"/>
  <c r="AT169" i="6" s="1"/>
  <c r="AT167" i="6"/>
  <c r="AJ166" i="6"/>
  <c r="AT166" i="6" s="1"/>
  <c r="AJ165" i="6"/>
  <c r="AT165" i="6" s="1"/>
  <c r="AJ164" i="6"/>
  <c r="AT164" i="6" s="1"/>
  <c r="AJ163" i="6"/>
  <c r="AT163" i="6" s="1"/>
  <c r="AJ162" i="6"/>
  <c r="AT162" i="6" s="1"/>
  <c r="AJ161" i="6"/>
  <c r="AT161" i="6" s="1"/>
  <c r="AJ160" i="6"/>
  <c r="AT160" i="6" s="1"/>
  <c r="AJ159" i="6"/>
  <c r="AT159" i="6" s="1"/>
  <c r="AJ158" i="6"/>
  <c r="AT158" i="6" s="1"/>
  <c r="AJ157" i="6"/>
  <c r="AT157" i="6" s="1"/>
  <c r="AJ156" i="6"/>
  <c r="AT156" i="6" s="1"/>
  <c r="AJ155" i="6"/>
  <c r="AT155" i="6" s="1"/>
  <c r="AJ154" i="6"/>
  <c r="AT154" i="6" s="1"/>
  <c r="AJ153" i="6"/>
  <c r="AT153" i="6" s="1"/>
  <c r="AJ152" i="6"/>
  <c r="AT152" i="6" s="1"/>
  <c r="AJ151" i="6"/>
  <c r="AT151" i="6" s="1"/>
  <c r="AJ150" i="6"/>
  <c r="AT150" i="6" s="1"/>
  <c r="AJ149" i="6"/>
  <c r="AT149" i="6" s="1"/>
  <c r="AJ148" i="6"/>
  <c r="AT148" i="6" s="1"/>
  <c r="AJ147" i="6"/>
  <c r="AT147" i="6" s="1"/>
  <c r="AJ146" i="6"/>
  <c r="AT146" i="6" s="1"/>
  <c r="AJ145" i="6"/>
  <c r="AT145" i="6" s="1"/>
  <c r="AJ144" i="6"/>
  <c r="AT144" i="6" s="1"/>
  <c r="AJ143" i="6"/>
  <c r="AT143" i="6" s="1"/>
  <c r="AJ142" i="6"/>
  <c r="AT142" i="6" s="1"/>
  <c r="AJ141" i="6"/>
  <c r="AT141" i="6" s="1"/>
  <c r="AJ140" i="6"/>
  <c r="AT140" i="6" s="1"/>
  <c r="AJ139" i="6"/>
  <c r="AT139" i="6" s="1"/>
  <c r="AJ138" i="6"/>
  <c r="AT138" i="6" s="1"/>
  <c r="AJ137" i="6"/>
  <c r="AT137" i="6" s="1"/>
  <c r="AJ136" i="6"/>
  <c r="AT136" i="6" s="1"/>
  <c r="AJ135" i="6"/>
  <c r="AT135" i="6" s="1"/>
  <c r="AJ134" i="6"/>
  <c r="AT134" i="6" s="1"/>
  <c r="AJ133" i="6"/>
  <c r="AT133" i="6" s="1"/>
  <c r="AJ132" i="6"/>
  <c r="AT132" i="6" s="1"/>
  <c r="AJ131" i="6"/>
  <c r="AT131" i="6" s="1"/>
  <c r="AJ130" i="6"/>
  <c r="AT130" i="6" s="1"/>
  <c r="AJ129" i="6"/>
  <c r="AT129" i="6" s="1"/>
  <c r="AJ128" i="6"/>
  <c r="AT128" i="6" s="1"/>
  <c r="AJ127" i="6"/>
  <c r="AT127" i="6" s="1"/>
  <c r="AJ113" i="6"/>
  <c r="AT113" i="6" s="1"/>
  <c r="AJ112" i="6"/>
  <c r="AT112" i="6" s="1"/>
  <c r="AJ111" i="6"/>
  <c r="AT111" i="6" s="1"/>
  <c r="AJ110" i="6"/>
  <c r="AT110" i="6" s="1"/>
  <c r="AJ109" i="6"/>
  <c r="AT109" i="6" s="1"/>
  <c r="AJ108" i="6"/>
  <c r="AT108" i="6" s="1"/>
  <c r="AJ107" i="6"/>
  <c r="AT107" i="6" s="1"/>
  <c r="AJ106" i="6"/>
  <c r="AT106" i="6" s="1"/>
  <c r="AJ105" i="6"/>
  <c r="AT105" i="6" s="1"/>
  <c r="AJ104" i="6"/>
  <c r="AT104" i="6" s="1"/>
  <c r="AJ103" i="6"/>
  <c r="AT103" i="6" s="1"/>
  <c r="AJ102" i="6"/>
  <c r="AT102" i="6" s="1"/>
  <c r="AJ100" i="6"/>
  <c r="AT100" i="6" s="1"/>
  <c r="AJ99" i="6"/>
  <c r="AT99" i="6" s="1"/>
  <c r="AJ98" i="6"/>
  <c r="AT98" i="6" s="1"/>
  <c r="AJ97" i="6"/>
  <c r="AT97" i="6" s="1"/>
  <c r="AJ96" i="6"/>
  <c r="AT96" i="6" s="1"/>
  <c r="AJ95" i="6"/>
  <c r="AT95" i="6" s="1"/>
  <c r="AJ94" i="6"/>
  <c r="AT94" i="6" s="1"/>
  <c r="AT93" i="6"/>
  <c r="AJ92" i="6"/>
  <c r="AT92" i="6" s="1"/>
  <c r="AJ90" i="6"/>
  <c r="AT90" i="6" s="1"/>
  <c r="AJ89" i="6"/>
  <c r="AT89" i="6" s="1"/>
  <c r="AJ88" i="6"/>
  <c r="AT88" i="6" s="1"/>
  <c r="AJ87" i="6"/>
  <c r="AT87" i="6" s="1"/>
  <c r="AJ86" i="6"/>
  <c r="AT86" i="6" s="1"/>
  <c r="AJ85" i="6"/>
  <c r="AT85" i="6" s="1"/>
  <c r="AJ84" i="6"/>
  <c r="AT84" i="6" s="1"/>
  <c r="AJ83" i="6"/>
  <c r="AT83" i="6" s="1"/>
  <c r="AJ82" i="6"/>
  <c r="AT82" i="6" s="1"/>
  <c r="AJ81" i="6"/>
  <c r="AT81" i="6" s="1"/>
  <c r="AJ80" i="6"/>
  <c r="AT80" i="6" s="1"/>
  <c r="AJ79" i="6"/>
  <c r="AT79" i="6" s="1"/>
  <c r="AJ78" i="6"/>
  <c r="AT78" i="6" s="1"/>
  <c r="AJ77" i="6"/>
  <c r="AT77" i="6" s="1"/>
  <c r="AJ76" i="6"/>
  <c r="AT76" i="6" s="1"/>
  <c r="AJ75" i="6"/>
  <c r="AT75" i="6" s="1"/>
  <c r="AJ74" i="6"/>
  <c r="AT74" i="6" s="1"/>
  <c r="AJ73" i="6"/>
  <c r="AT73" i="6" s="1"/>
  <c r="AJ72" i="6"/>
  <c r="AT72" i="6" s="1"/>
  <c r="AJ71" i="6"/>
  <c r="AT71" i="6" s="1"/>
  <c r="AJ70" i="6"/>
  <c r="AT70" i="6" s="1"/>
  <c r="AJ69" i="6"/>
  <c r="AT69" i="6" s="1"/>
  <c r="AJ68" i="6"/>
  <c r="AT68" i="6" s="1"/>
  <c r="AJ66" i="6"/>
  <c r="AT66" i="6" s="1"/>
  <c r="AJ65" i="6"/>
  <c r="AT65" i="6" s="1"/>
  <c r="AJ64" i="6"/>
  <c r="AT64" i="6" s="1"/>
  <c r="AJ63" i="6"/>
  <c r="AT63" i="6" s="1"/>
  <c r="AJ62" i="6"/>
  <c r="AT62" i="6" s="1"/>
  <c r="AJ61" i="6"/>
  <c r="AT61" i="6" s="1"/>
  <c r="AJ60" i="6"/>
  <c r="AT60" i="6" s="1"/>
  <c r="AJ59" i="6"/>
  <c r="AT59" i="6" s="1"/>
  <c r="AJ58" i="6"/>
  <c r="AT58" i="6" s="1"/>
  <c r="AJ57" i="6"/>
  <c r="AT57" i="6" s="1"/>
  <c r="AJ56" i="6"/>
  <c r="AT56" i="6" s="1"/>
  <c r="AJ55" i="6"/>
  <c r="AT55" i="6" s="1"/>
  <c r="AJ54" i="6"/>
  <c r="AT54" i="6" s="1"/>
  <c r="AJ53" i="6"/>
  <c r="AT53" i="6" s="1"/>
  <c r="AJ52" i="6"/>
  <c r="AT52" i="6" s="1"/>
  <c r="AJ51" i="6"/>
  <c r="AT51" i="6" s="1"/>
  <c r="AJ50" i="6"/>
  <c r="AT50" i="6" s="1"/>
  <c r="AJ49" i="6"/>
  <c r="AT49" i="6" s="1"/>
  <c r="AJ48" i="6"/>
  <c r="AT48" i="6" s="1"/>
  <c r="AJ47" i="6"/>
  <c r="AT47" i="6" s="1"/>
  <c r="AJ45" i="6"/>
  <c r="AT45" i="6" s="1"/>
  <c r="AT43" i="6"/>
  <c r="AJ42" i="6"/>
  <c r="AT42" i="6" s="1"/>
  <c r="AJ41" i="6"/>
  <c r="AT41" i="6" s="1"/>
  <c r="AJ40" i="6"/>
  <c r="AT40" i="6" s="1"/>
  <c r="AJ39" i="6"/>
  <c r="AT39" i="6" s="1"/>
  <c r="AJ37" i="6"/>
  <c r="AT37" i="6" s="1"/>
  <c r="AJ36" i="6"/>
  <c r="AT36" i="6" s="1"/>
  <c r="AJ35" i="6"/>
  <c r="AT35" i="6" s="1"/>
  <c r="AJ34" i="6"/>
  <c r="AT34" i="6" s="1"/>
  <c r="AJ33" i="6"/>
  <c r="AT33" i="6" s="1"/>
  <c r="AJ32" i="6"/>
  <c r="AT32" i="6" s="1"/>
  <c r="AJ31" i="6"/>
  <c r="AT31" i="6" s="1"/>
  <c r="AJ30" i="6"/>
  <c r="AT30" i="6" s="1"/>
  <c r="AJ29" i="6"/>
  <c r="AT29" i="6" s="1"/>
  <c r="AJ28" i="6"/>
  <c r="AT28" i="6" s="1"/>
  <c r="AJ27" i="6"/>
  <c r="AT27" i="6" s="1"/>
  <c r="AJ26" i="6"/>
  <c r="AT26" i="6" s="1"/>
  <c r="AJ25" i="6"/>
  <c r="AT25" i="6" s="1"/>
  <c r="AJ24" i="6"/>
  <c r="AT24" i="6" s="1"/>
  <c r="AJ23" i="6"/>
  <c r="AT23" i="6" s="1"/>
  <c r="AJ22" i="6"/>
  <c r="AT22" i="6" s="1"/>
  <c r="AJ21" i="6"/>
  <c r="AT21" i="6" s="1"/>
  <c r="AT19" i="6"/>
  <c r="AJ18" i="6"/>
  <c r="AT18" i="6" s="1"/>
  <c r="AJ17" i="6"/>
  <c r="AT17" i="6" s="1"/>
  <c r="AJ16" i="6"/>
  <c r="AT16" i="6" s="1"/>
  <c r="AJ15" i="6"/>
  <c r="AT15" i="6" s="1"/>
  <c r="AJ14" i="6"/>
  <c r="AT14" i="6" s="1"/>
  <c r="K88" i="6"/>
  <c r="E88" i="6"/>
  <c r="K86" i="6"/>
  <c r="E86" i="6"/>
  <c r="K85" i="6"/>
  <c r="E85" i="6"/>
  <c r="K78" i="6"/>
  <c r="E78" i="6"/>
  <c r="K77" i="6"/>
  <c r="E77" i="6"/>
  <c r="K71" i="6"/>
  <c r="K69" i="6"/>
  <c r="E69" i="6"/>
  <c r="K66" i="6"/>
  <c r="E66" i="6"/>
  <c r="K54" i="6"/>
  <c r="E54" i="6"/>
  <c r="K53" i="6"/>
  <c r="E53" i="6"/>
  <c r="K52" i="6"/>
  <c r="E52" i="6"/>
  <c r="K51" i="6"/>
  <c r="E51" i="6"/>
  <c r="K49" i="6"/>
  <c r="E49" i="6"/>
  <c r="K40" i="6"/>
  <c r="E40" i="6"/>
  <c r="K37" i="6"/>
  <c r="E37" i="6"/>
  <c r="K36" i="6"/>
  <c r="E36" i="6"/>
  <c r="K35" i="6"/>
  <c r="E35" i="6"/>
  <c r="K33" i="6"/>
  <c r="E33" i="6"/>
  <c r="AZ30" i="6"/>
  <c r="K26" i="6"/>
  <c r="E26" i="6"/>
  <c r="K24" i="6"/>
  <c r="E24" i="6"/>
  <c r="K23" i="6"/>
  <c r="E23" i="6"/>
  <c r="K22" i="6"/>
  <c r="E22" i="6"/>
  <c r="K17" i="6"/>
  <c r="K16" i="6"/>
  <c r="E16" i="6"/>
  <c r="AH209" i="5"/>
  <c r="AH146" i="5"/>
  <c r="AH149" i="5" s="1"/>
  <c r="AH72" i="5"/>
  <c r="AH250" i="5"/>
  <c r="AH249" i="5"/>
  <c r="AH248" i="5"/>
  <c r="AH246" i="5"/>
  <c r="AH245" i="5"/>
  <c r="AH244" i="5"/>
  <c r="AH243" i="5"/>
  <c r="AH241" i="5"/>
  <c r="AH240" i="5"/>
  <c r="AH239" i="5"/>
  <c r="AH238" i="5"/>
  <c r="AH237" i="5"/>
  <c r="AH236" i="5"/>
  <c r="AH235" i="5"/>
  <c r="AH234" i="5"/>
  <c r="AH233" i="5"/>
  <c r="AH232" i="5"/>
  <c r="AH231" i="5"/>
  <c r="AH230" i="5"/>
  <c r="AH229" i="5"/>
  <c r="AH228" i="5"/>
  <c r="AH226" i="5"/>
  <c r="AH225" i="5"/>
  <c r="AH224" i="5"/>
  <c r="AH223" i="5"/>
  <c r="AH222" i="5"/>
  <c r="AH221" i="5"/>
  <c r="AH220" i="5"/>
  <c r="AH219" i="5"/>
  <c r="AH218" i="5"/>
  <c r="AH217" i="5"/>
  <c r="AH216" i="5"/>
  <c r="AH215" i="5"/>
  <c r="AH214" i="5"/>
  <c r="AH213" i="5"/>
  <c r="AH212" i="5"/>
  <c r="AH211" i="5"/>
  <c r="AH210" i="5"/>
  <c r="AH208" i="5"/>
  <c r="AH207" i="5"/>
  <c r="AH206" i="5"/>
  <c r="AH205" i="5"/>
  <c r="AH204" i="5"/>
  <c r="AH203" i="5"/>
  <c r="AH202" i="5"/>
  <c r="AH201" i="5"/>
  <c r="AH200" i="5"/>
  <c r="AH199" i="5"/>
  <c r="AH198" i="5"/>
  <c r="AH197" i="5"/>
  <c r="AH196" i="5"/>
  <c r="AH195" i="5"/>
  <c r="AH194" i="5"/>
  <c r="AH193" i="5"/>
  <c r="AH192" i="5"/>
  <c r="AH191" i="5"/>
  <c r="AH190" i="5"/>
  <c r="AH189" i="5"/>
  <c r="AH188" i="5"/>
  <c r="AH187" i="5"/>
  <c r="AH186" i="5"/>
  <c r="AH185" i="5"/>
  <c r="AH184" i="5"/>
  <c r="AH183" i="5"/>
  <c r="AH182" i="5"/>
  <c r="AH181" i="5"/>
  <c r="AH180" i="5"/>
  <c r="AH179" i="5"/>
  <c r="AH178" i="5"/>
  <c r="AH177" i="5"/>
  <c r="AH176" i="5"/>
  <c r="AH175" i="5"/>
  <c r="AH174" i="5"/>
  <c r="AH173" i="5"/>
  <c r="AH172" i="5"/>
  <c r="AH171" i="5"/>
  <c r="AH170" i="5"/>
  <c r="AH169" i="5"/>
  <c r="AH167" i="5"/>
  <c r="AH166" i="5"/>
  <c r="AH164" i="5"/>
  <c r="AH163" i="5"/>
  <c r="AH162" i="5"/>
  <c r="AH161" i="5"/>
  <c r="AH159" i="5"/>
  <c r="AH158" i="5"/>
  <c r="AH157" i="5"/>
  <c r="AH156" i="5"/>
  <c r="AH160" i="5" s="1"/>
  <c r="AH154" i="5"/>
  <c r="AH153" i="5"/>
  <c r="AH152" i="5"/>
  <c r="AH151" i="5"/>
  <c r="AH150" i="5"/>
  <c r="AH148" i="5"/>
  <c r="AH147" i="5"/>
  <c r="AH145" i="5"/>
  <c r="AH144" i="5"/>
  <c r="AH143" i="5"/>
  <c r="AH142" i="5"/>
  <c r="AH141" i="5"/>
  <c r="AH140" i="5"/>
  <c r="AH139" i="5"/>
  <c r="AH138" i="5"/>
  <c r="AH137" i="5"/>
  <c r="AH136" i="5"/>
  <c r="AH135" i="5"/>
  <c r="AH134" i="5"/>
  <c r="AH133" i="5"/>
  <c r="AH132" i="5"/>
  <c r="AH131" i="5"/>
  <c r="AH130" i="5"/>
  <c r="AH129" i="5"/>
  <c r="AH128" i="5"/>
  <c r="AH127" i="5"/>
  <c r="AH126" i="5"/>
  <c r="AH125" i="5"/>
  <c r="AH124" i="5"/>
  <c r="AH121" i="5"/>
  <c r="AH120" i="5"/>
  <c r="AH119" i="5"/>
  <c r="AH118" i="5"/>
  <c r="AH117" i="5"/>
  <c r="AH116" i="5"/>
  <c r="AH115" i="5"/>
  <c r="AH114" i="5"/>
  <c r="AH113" i="5"/>
  <c r="AH112" i="5"/>
  <c r="AH111" i="5"/>
  <c r="AH108" i="5"/>
  <c r="AH107" i="5"/>
  <c r="AH106" i="5"/>
  <c r="AH105" i="5"/>
  <c r="AH104" i="5"/>
  <c r="AH103" i="5"/>
  <c r="AH110" i="5" s="1"/>
  <c r="AH102" i="5"/>
  <c r="AH101" i="5"/>
  <c r="AH100" i="5"/>
  <c r="AH99" i="5"/>
  <c r="AH98" i="5"/>
  <c r="AH97" i="5"/>
  <c r="AH86" i="5"/>
  <c r="AH84" i="5"/>
  <c r="AH83" i="5"/>
  <c r="AH82" i="5"/>
  <c r="AH81" i="5"/>
  <c r="AH80" i="5"/>
  <c r="AH79" i="5"/>
  <c r="AH78" i="5"/>
  <c r="AH77" i="5"/>
  <c r="AH76" i="5"/>
  <c r="AH75" i="5"/>
  <c r="AH74" i="5"/>
  <c r="AH73" i="5"/>
  <c r="AH71" i="5"/>
  <c r="AH70" i="5"/>
  <c r="AH69" i="5"/>
  <c r="AH68" i="5"/>
  <c r="AH67" i="5"/>
  <c r="AH66" i="5"/>
  <c r="AH65" i="5"/>
  <c r="AH64" i="5"/>
  <c r="AH63" i="5"/>
  <c r="AH62" i="5"/>
  <c r="AH61" i="5"/>
  <c r="AH60" i="5"/>
  <c r="AH59" i="5"/>
  <c r="AH58" i="5"/>
  <c r="AH57" i="5"/>
  <c r="AH55" i="5"/>
  <c r="AH54" i="5"/>
  <c r="AH53" i="5"/>
  <c r="AH52" i="5"/>
  <c r="AH51" i="5"/>
  <c r="AH50" i="5"/>
  <c r="AH49" i="5"/>
  <c r="AH48" i="5"/>
  <c r="AH46" i="5"/>
  <c r="AH45" i="5"/>
  <c r="AH43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5" i="5"/>
  <c r="AH24" i="5"/>
  <c r="AH23" i="5"/>
  <c r="AH22" i="5"/>
  <c r="AH21" i="5"/>
  <c r="AH20" i="5"/>
  <c r="AH19" i="5"/>
  <c r="AH17" i="5"/>
  <c r="AH16" i="5"/>
  <c r="AH15" i="5"/>
  <c r="AH14" i="5"/>
  <c r="AH13" i="5"/>
  <c r="AH12" i="5"/>
  <c r="S209" i="4"/>
  <c r="S143" i="4"/>
  <c r="S71" i="4"/>
  <c r="S10" i="4"/>
  <c r="S250" i="4"/>
  <c r="S249" i="4"/>
  <c r="S248" i="4"/>
  <c r="S246" i="4"/>
  <c r="S245" i="4"/>
  <c r="S244" i="4"/>
  <c r="S243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7" i="4"/>
  <c r="S166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5" i="4"/>
  <c r="S144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86" i="4"/>
  <c r="S85" i="4"/>
  <c r="S84" i="4"/>
  <c r="S83" i="4"/>
  <c r="S82" i="4"/>
  <c r="S81" i="4"/>
  <c r="S80" i="4"/>
  <c r="S79" i="4"/>
  <c r="S78" i="4"/>
  <c r="S77" i="4"/>
  <c r="S76" i="4"/>
  <c r="S75" i="4"/>
  <c r="S73" i="4"/>
  <c r="S72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3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19" i="4"/>
  <c r="S17" i="4"/>
  <c r="S14" i="4"/>
  <c r="S13" i="4"/>
  <c r="S12" i="4"/>
  <c r="AC209" i="2"/>
  <c r="AC143" i="2"/>
  <c r="AC71" i="2"/>
  <c r="AC70" i="2"/>
  <c r="AC69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3" i="2"/>
  <c r="AC41" i="2"/>
  <c r="AC40" i="2"/>
  <c r="AC39" i="2"/>
  <c r="AC38" i="2"/>
  <c r="AC37" i="2"/>
  <c r="AC36" i="2"/>
  <c r="AC35" i="2"/>
  <c r="AC34" i="2"/>
  <c r="AC33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7" i="2"/>
  <c r="AC16" i="2"/>
  <c r="AC15" i="2"/>
  <c r="AC14" i="2"/>
  <c r="AC13" i="2"/>
  <c r="AC12" i="2"/>
  <c r="AC11" i="2"/>
  <c r="AC142" i="2"/>
  <c r="AC141" i="2"/>
  <c r="AC140" i="2"/>
  <c r="AC139" i="2"/>
  <c r="AC145" i="2" s="1"/>
  <c r="AC138" i="2"/>
  <c r="AC137" i="2"/>
  <c r="AC136" i="2"/>
  <c r="AC135" i="2"/>
  <c r="AC134" i="2"/>
  <c r="AC133" i="2"/>
  <c r="AC132" i="2"/>
  <c r="AC131" i="2"/>
  <c r="AC130" i="2"/>
  <c r="AC129" i="2"/>
  <c r="AC128" i="2"/>
  <c r="AC127" i="2"/>
  <c r="AC126" i="2"/>
  <c r="AC125" i="2"/>
  <c r="AC124" i="2"/>
  <c r="AC123" i="2"/>
  <c r="AC121" i="2"/>
  <c r="AC120" i="2"/>
  <c r="AC119" i="2"/>
  <c r="AC118" i="2"/>
  <c r="AC117" i="2"/>
  <c r="AC116" i="2"/>
  <c r="AC115" i="2"/>
  <c r="AC114" i="2"/>
  <c r="AC113" i="2"/>
  <c r="AC112" i="2"/>
  <c r="AC111" i="2"/>
  <c r="AC110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208" i="2"/>
  <c r="AC207" i="2"/>
  <c r="AC206" i="2"/>
  <c r="AC205" i="2"/>
  <c r="AC204" i="2"/>
  <c r="AC203" i="2"/>
  <c r="AC202" i="2"/>
  <c r="AC201" i="2"/>
  <c r="AC200" i="2"/>
  <c r="AC199" i="2"/>
  <c r="AC198" i="2"/>
  <c r="AC197" i="2"/>
  <c r="AC196" i="2"/>
  <c r="AC195" i="2"/>
  <c r="AC194" i="2"/>
  <c r="AC193" i="2"/>
  <c r="AC192" i="2"/>
  <c r="AC191" i="2"/>
  <c r="AC190" i="2"/>
  <c r="AC189" i="2"/>
  <c r="AC188" i="2"/>
  <c r="AC187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AC174" i="2"/>
  <c r="AC173" i="2"/>
  <c r="AC172" i="2"/>
  <c r="AC171" i="2"/>
  <c r="AC170" i="2"/>
  <c r="AC169" i="2"/>
  <c r="AC167" i="2"/>
  <c r="AC166" i="2"/>
  <c r="AC164" i="2"/>
  <c r="AC163" i="2"/>
  <c r="AC162" i="2"/>
  <c r="AC161" i="2"/>
  <c r="AC160" i="2"/>
  <c r="AC159" i="2"/>
  <c r="AC158" i="2"/>
  <c r="AC157" i="2"/>
  <c r="AC155" i="2"/>
  <c r="AC154" i="2"/>
  <c r="AC153" i="2"/>
  <c r="AC152" i="2"/>
  <c r="AC151" i="2"/>
  <c r="AC156" i="2" s="1"/>
  <c r="AC150" i="2"/>
  <c r="AC149" i="2"/>
  <c r="AC148" i="2"/>
  <c r="AC147" i="2"/>
  <c r="AC146" i="2"/>
  <c r="AC144" i="2"/>
  <c r="AC250" i="2"/>
  <c r="AC249" i="2"/>
  <c r="AC248" i="2"/>
  <c r="AC246" i="2"/>
  <c r="AC245" i="2"/>
  <c r="AC244" i="2"/>
  <c r="AC243" i="2"/>
  <c r="AC241" i="2"/>
  <c r="AC240" i="2"/>
  <c r="AC239" i="2"/>
  <c r="AC238" i="2"/>
  <c r="AC237" i="2"/>
  <c r="AC236" i="2"/>
  <c r="AC235" i="2"/>
  <c r="AC234" i="2"/>
  <c r="AC233" i="2"/>
  <c r="AC232" i="2"/>
  <c r="AC231" i="2"/>
  <c r="AC230" i="2"/>
  <c r="AC229" i="2"/>
  <c r="AC228" i="2"/>
  <c r="AC226" i="2"/>
  <c r="AC225" i="2"/>
  <c r="AC224" i="2"/>
  <c r="AC223" i="2"/>
  <c r="AC222" i="2"/>
  <c r="AC221" i="2"/>
  <c r="AC220" i="2"/>
  <c r="AC219" i="2"/>
  <c r="AC218" i="2"/>
  <c r="AC216" i="2"/>
  <c r="AC217" i="2" s="1"/>
  <c r="AC215" i="2"/>
  <c r="AC214" i="2"/>
  <c r="AC213" i="2"/>
  <c r="AC212" i="2"/>
  <c r="AC211" i="2"/>
  <c r="AC210" i="2"/>
  <c r="S249" i="1"/>
  <c r="S248" i="1"/>
  <c r="S247" i="1"/>
  <c r="S245" i="1"/>
  <c r="S244" i="1"/>
  <c r="S243" i="1"/>
  <c r="S242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6" i="1"/>
  <c r="S165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7" i="1"/>
  <c r="S106" i="1"/>
  <c r="S105" i="1"/>
  <c r="S104" i="1"/>
  <c r="S103" i="1"/>
  <c r="S102" i="1"/>
  <c r="S101" i="1"/>
  <c r="S100" i="1"/>
  <c r="S99" i="1"/>
  <c r="S98" i="1"/>
  <c r="S97" i="1"/>
  <c r="S96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0" i="1"/>
  <c r="S49" i="1"/>
  <c r="S48" i="1"/>
  <c r="S47" i="1"/>
  <c r="S46" i="1"/>
  <c r="S45" i="1"/>
  <c r="S43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7" i="1"/>
  <c r="S16" i="1"/>
  <c r="S15" i="1"/>
  <c r="S14" i="1"/>
  <c r="S13" i="1"/>
  <c r="S12" i="1"/>
  <c r="S11" i="1"/>
  <c r="S67" i="1"/>
  <c r="S196" i="1"/>
  <c r="S137" i="1"/>
  <c r="S68" i="1"/>
  <c r="W70" i="3"/>
  <c r="Y70" i="3" s="1"/>
  <c r="W69" i="3"/>
  <c r="Y69" i="3" s="1"/>
  <c r="W68" i="3"/>
  <c r="Y68" i="3" s="1"/>
  <c r="W67" i="3"/>
  <c r="Y67" i="3" s="1"/>
  <c r="W66" i="3"/>
  <c r="Y66" i="3" s="1"/>
  <c r="W65" i="3"/>
  <c r="Y65" i="3" s="1"/>
  <c r="W64" i="3"/>
  <c r="Y64" i="3" s="1"/>
  <c r="W63" i="3"/>
  <c r="Y63" i="3" s="1"/>
  <c r="Y62" i="3"/>
  <c r="W61" i="3"/>
  <c r="Y61" i="3" s="1"/>
  <c r="W60" i="3"/>
  <c r="Y60" i="3" s="1"/>
  <c r="W59" i="3"/>
  <c r="Y59" i="3" s="1"/>
  <c r="W58" i="3"/>
  <c r="Y58" i="3" s="1"/>
  <c r="W57" i="3"/>
  <c r="Y57" i="3" s="1"/>
  <c r="W56" i="3"/>
  <c r="W55" i="3"/>
  <c r="Y55" i="3" s="1"/>
  <c r="W54" i="3"/>
  <c r="Y54" i="3" s="1"/>
  <c r="W53" i="3"/>
  <c r="Y53" i="3" s="1"/>
  <c r="W52" i="3"/>
  <c r="Y52" i="3" s="1"/>
  <c r="W51" i="3"/>
  <c r="Y51" i="3" s="1"/>
  <c r="W50" i="3"/>
  <c r="Y50" i="3" s="1"/>
  <c r="W49" i="3"/>
  <c r="Y49" i="3" s="1"/>
  <c r="W48" i="3"/>
  <c r="Y48" i="3" s="1"/>
  <c r="W47" i="3"/>
  <c r="Y47" i="3" s="1"/>
  <c r="W46" i="3"/>
  <c r="Y46" i="3" s="1"/>
  <c r="W45" i="3"/>
  <c r="W43" i="3"/>
  <c r="Y43" i="3" s="1"/>
  <c r="W41" i="3"/>
  <c r="Y41" i="3" s="1"/>
  <c r="W40" i="3"/>
  <c r="Y40" i="3" s="1"/>
  <c r="W39" i="3"/>
  <c r="Y39" i="3" s="1"/>
  <c r="W38" i="3"/>
  <c r="Y38" i="3" s="1"/>
  <c r="W37" i="3"/>
  <c r="Y37" i="3" s="1"/>
  <c r="W36" i="3"/>
  <c r="Y36" i="3" s="1"/>
  <c r="W35" i="3"/>
  <c r="Y35" i="3" s="1"/>
  <c r="W34" i="3"/>
  <c r="Y34" i="3" s="1"/>
  <c r="W33" i="3"/>
  <c r="Y33" i="3" s="1"/>
  <c r="W32" i="3"/>
  <c r="Y32" i="3" s="1"/>
  <c r="W31" i="3"/>
  <c r="Y31" i="3" s="1"/>
  <c r="W30" i="3"/>
  <c r="Y30" i="3" s="1"/>
  <c r="W29" i="3"/>
  <c r="Y29" i="3" s="1"/>
  <c r="W28" i="3"/>
  <c r="Y28" i="3" s="1"/>
  <c r="W27" i="3"/>
  <c r="Y27" i="3" s="1"/>
  <c r="W26" i="3"/>
  <c r="Y26" i="3" s="1"/>
  <c r="W25" i="3"/>
  <c r="Y25" i="3" s="1"/>
  <c r="W24" i="3"/>
  <c r="Y24" i="3" s="1"/>
  <c r="W23" i="3"/>
  <c r="Y23" i="3" s="1"/>
  <c r="W22" i="3"/>
  <c r="Y22" i="3" s="1"/>
  <c r="W21" i="3"/>
  <c r="Y21" i="3" s="1"/>
  <c r="W20" i="3"/>
  <c r="Y20" i="3" s="1"/>
  <c r="W19" i="3"/>
  <c r="Y19" i="3" s="1"/>
  <c r="W17" i="3"/>
  <c r="Y17" i="3" s="1"/>
  <c r="W16" i="3"/>
  <c r="Y16" i="3" s="1"/>
  <c r="W15" i="3"/>
  <c r="Y15" i="3" s="1"/>
  <c r="W14" i="3"/>
  <c r="Y14" i="3" s="1"/>
  <c r="W13" i="3"/>
  <c r="Y13" i="3" s="1"/>
  <c r="W12" i="3"/>
  <c r="Y12" i="3" s="1"/>
  <c r="W11" i="3"/>
  <c r="Y11" i="3" s="1"/>
  <c r="W142" i="3"/>
  <c r="Y142" i="3" s="1"/>
  <c r="W141" i="3"/>
  <c r="Y141" i="3" s="1"/>
  <c r="W140" i="3"/>
  <c r="Y140" i="3" s="1"/>
  <c r="W139" i="3"/>
  <c r="Y139" i="3" s="1"/>
  <c r="W138" i="3"/>
  <c r="Y138" i="3" s="1"/>
  <c r="W137" i="3"/>
  <c r="Y137" i="3" s="1"/>
  <c r="W136" i="3"/>
  <c r="Y136" i="3" s="1"/>
  <c r="W135" i="3"/>
  <c r="Y135" i="3" s="1"/>
  <c r="W134" i="3"/>
  <c r="Y134" i="3" s="1"/>
  <c r="W133" i="3"/>
  <c r="Y133" i="3" s="1"/>
  <c r="W132" i="3"/>
  <c r="Y132" i="3" s="1"/>
  <c r="W131" i="3"/>
  <c r="Y131" i="3" s="1"/>
  <c r="W130" i="3"/>
  <c r="Y130" i="3" s="1"/>
  <c r="W129" i="3"/>
  <c r="Y129" i="3" s="1"/>
  <c r="W128" i="3"/>
  <c r="Y128" i="3" s="1"/>
  <c r="W127" i="3"/>
  <c r="Y127" i="3" s="1"/>
  <c r="Y126" i="3"/>
  <c r="Y125" i="3"/>
  <c r="W124" i="3"/>
  <c r="Y124" i="3" s="1"/>
  <c r="W123" i="3"/>
  <c r="Y123" i="3" s="1"/>
  <c r="W121" i="3"/>
  <c r="Y121" i="3" s="1"/>
  <c r="W120" i="3"/>
  <c r="Y120" i="3" s="1"/>
  <c r="W119" i="3"/>
  <c r="Y119" i="3" s="1"/>
  <c r="W118" i="3"/>
  <c r="Y118" i="3" s="1"/>
  <c r="W117" i="3"/>
  <c r="Y117" i="3" s="1"/>
  <c r="W116" i="3"/>
  <c r="Y116" i="3" s="1"/>
  <c r="W115" i="3"/>
  <c r="Y115" i="3" s="1"/>
  <c r="W114" i="3"/>
  <c r="Y114" i="3" s="1"/>
  <c r="W113" i="3"/>
  <c r="Y113" i="3" s="1"/>
  <c r="W112" i="3"/>
  <c r="Y112" i="3" s="1"/>
  <c r="W111" i="3"/>
  <c r="Y111" i="3" s="1"/>
  <c r="W110" i="3"/>
  <c r="Y110" i="3" s="1"/>
  <c r="W108" i="3"/>
  <c r="Y108" i="3" s="1"/>
  <c r="W107" i="3"/>
  <c r="Y107" i="3" s="1"/>
  <c r="W106" i="3"/>
  <c r="Y106" i="3" s="1"/>
  <c r="W105" i="3"/>
  <c r="Y105" i="3" s="1"/>
  <c r="W104" i="3"/>
  <c r="Y104" i="3" s="1"/>
  <c r="W103" i="3"/>
  <c r="Y103" i="3" s="1"/>
  <c r="W102" i="3"/>
  <c r="Y102" i="3" s="1"/>
  <c r="W101" i="3"/>
  <c r="Y101" i="3" s="1"/>
  <c r="W100" i="3"/>
  <c r="Y100" i="3" s="1"/>
  <c r="W99" i="3"/>
  <c r="W98" i="3"/>
  <c r="W97" i="3"/>
  <c r="W86" i="3"/>
  <c r="Y86" i="3" s="1"/>
  <c r="W85" i="3"/>
  <c r="AR85" i="5" s="1"/>
  <c r="W84" i="3"/>
  <c r="Y84" i="3" s="1"/>
  <c r="W83" i="3"/>
  <c r="W82" i="3"/>
  <c r="W81" i="3"/>
  <c r="W80" i="3"/>
  <c r="W79" i="3"/>
  <c r="W78" i="3"/>
  <c r="W77" i="3"/>
  <c r="W76" i="3"/>
  <c r="W75" i="3"/>
  <c r="Y75" i="3" s="1"/>
  <c r="W74" i="3"/>
  <c r="W73" i="3"/>
  <c r="Y73" i="3" s="1"/>
  <c r="W72" i="3"/>
  <c r="Y72" i="3" s="1"/>
  <c r="W207" i="3"/>
  <c r="Y207" i="3" s="1"/>
  <c r="W206" i="3"/>
  <c r="Y206" i="3" s="1"/>
  <c r="W205" i="3"/>
  <c r="Y205" i="3" s="1"/>
  <c r="W204" i="3"/>
  <c r="Y204" i="3" s="1"/>
  <c r="W203" i="3"/>
  <c r="Y203" i="3" s="1"/>
  <c r="W202" i="3"/>
  <c r="Y202" i="3" s="1"/>
  <c r="W201" i="3"/>
  <c r="Y201" i="3" s="1"/>
  <c r="W200" i="3"/>
  <c r="Y200" i="3" s="1"/>
  <c r="W199" i="3"/>
  <c r="Y199" i="3" s="1"/>
  <c r="W198" i="3"/>
  <c r="Y198" i="3" s="1"/>
  <c r="W197" i="3"/>
  <c r="Y197" i="3" s="1"/>
  <c r="W196" i="3"/>
  <c r="Y196" i="3" s="1"/>
  <c r="W195" i="3"/>
  <c r="Y195" i="3" s="1"/>
  <c r="W194" i="3"/>
  <c r="Y194" i="3" s="1"/>
  <c r="W193" i="3"/>
  <c r="Y193" i="3" s="1"/>
  <c r="W192" i="3"/>
  <c r="Y192" i="3" s="1"/>
  <c r="W191" i="3"/>
  <c r="Y191" i="3" s="1"/>
  <c r="W190" i="3"/>
  <c r="Y190" i="3" s="1"/>
  <c r="W189" i="3"/>
  <c r="Y189" i="3" s="1"/>
  <c r="W188" i="3"/>
  <c r="Y188" i="3" s="1"/>
  <c r="W187" i="3"/>
  <c r="Y187" i="3" s="1"/>
  <c r="W186" i="3"/>
  <c r="Y186" i="3" s="1"/>
  <c r="W185" i="3"/>
  <c r="Y185" i="3" s="1"/>
  <c r="W184" i="3"/>
  <c r="Y184" i="3" s="1"/>
  <c r="W183" i="3"/>
  <c r="Y183" i="3" s="1"/>
  <c r="W182" i="3"/>
  <c r="Y182" i="3" s="1"/>
  <c r="W181" i="3"/>
  <c r="Y181" i="3" s="1"/>
  <c r="W180" i="3"/>
  <c r="Y180" i="3" s="1"/>
  <c r="W179" i="3"/>
  <c r="Y179" i="3" s="1"/>
  <c r="Y178" i="3"/>
  <c r="W177" i="3"/>
  <c r="Y177" i="3" s="1"/>
  <c r="W176" i="3"/>
  <c r="Y176" i="3" s="1"/>
  <c r="W175" i="3"/>
  <c r="Y175" i="3" s="1"/>
  <c r="W174" i="3"/>
  <c r="Y174" i="3" s="1"/>
  <c r="W173" i="3"/>
  <c r="Y173" i="3" s="1"/>
  <c r="W172" i="3"/>
  <c r="Y172" i="3" s="1"/>
  <c r="W171" i="3"/>
  <c r="Y171" i="3" s="1"/>
  <c r="W170" i="3"/>
  <c r="Y170" i="3" s="1"/>
  <c r="W169" i="3"/>
  <c r="Y169" i="3" s="1"/>
  <c r="W167" i="3"/>
  <c r="Y167" i="3" s="1"/>
  <c r="W166" i="3"/>
  <c r="Y166" i="3" s="1"/>
  <c r="W164" i="3"/>
  <c r="Y164" i="3" s="1"/>
  <c r="Y163" i="3"/>
  <c r="W162" i="3"/>
  <c r="Y162" i="3" s="1"/>
  <c r="W161" i="3"/>
  <c r="Y161" i="3" s="1"/>
  <c r="W160" i="3"/>
  <c r="Y160" i="3" s="1"/>
  <c r="W159" i="3"/>
  <c r="Y159" i="3" s="1"/>
  <c r="W158" i="3"/>
  <c r="Y158" i="3" s="1"/>
  <c r="W157" i="3"/>
  <c r="Y157" i="3" s="1"/>
  <c r="W156" i="3"/>
  <c r="Y156" i="3" s="1"/>
  <c r="W155" i="3"/>
  <c r="Y155" i="3" s="1"/>
  <c r="W154" i="3"/>
  <c r="Y154" i="3" s="1"/>
  <c r="W153" i="3"/>
  <c r="Y153" i="3" s="1"/>
  <c r="W151" i="3"/>
  <c r="Y151" i="3" s="1"/>
  <c r="W150" i="3"/>
  <c r="Y150" i="3" s="1"/>
  <c r="W149" i="3"/>
  <c r="Y149" i="3" s="1"/>
  <c r="W148" i="3"/>
  <c r="Y148" i="3" s="1"/>
  <c r="W147" i="3"/>
  <c r="Y147" i="3" s="1"/>
  <c r="W146" i="3"/>
  <c r="Y146" i="3" s="1"/>
  <c r="W145" i="3"/>
  <c r="Y145" i="3" s="1"/>
  <c r="W144" i="3"/>
  <c r="Y144" i="3" s="1"/>
  <c r="W250" i="3"/>
  <c r="Y250" i="3" s="1"/>
  <c r="W249" i="3"/>
  <c r="Y249" i="3" s="1"/>
  <c r="W248" i="3"/>
  <c r="Y248" i="3" s="1"/>
  <c r="W246" i="3"/>
  <c r="Y246" i="3" s="1"/>
  <c r="W245" i="3"/>
  <c r="Y245" i="3" s="1"/>
  <c r="W244" i="3"/>
  <c r="Y244" i="3" s="1"/>
  <c r="W243" i="3"/>
  <c r="Y243" i="3" s="1"/>
  <c r="W241" i="3"/>
  <c r="Y241" i="3" s="1"/>
  <c r="W240" i="3"/>
  <c r="Y240" i="3" s="1"/>
  <c r="W239" i="3"/>
  <c r="Y239" i="3" s="1"/>
  <c r="W238" i="3"/>
  <c r="Y238" i="3" s="1"/>
  <c r="W237" i="3"/>
  <c r="Y237" i="3" s="1"/>
  <c r="W236" i="3"/>
  <c r="Y236" i="3" s="1"/>
  <c r="W235" i="3"/>
  <c r="Y235" i="3" s="1"/>
  <c r="W234" i="3"/>
  <c r="Y234" i="3" s="1"/>
  <c r="W233" i="3"/>
  <c r="Y233" i="3" s="1"/>
  <c r="W231" i="3"/>
  <c r="Y231" i="3" s="1"/>
  <c r="W230" i="3"/>
  <c r="Y230" i="3" s="1"/>
  <c r="Y229" i="3"/>
  <c r="W228" i="3"/>
  <c r="Y228" i="3" s="1"/>
  <c r="W226" i="3"/>
  <c r="Y226" i="3" s="1"/>
  <c r="W225" i="3"/>
  <c r="Y225" i="3" s="1"/>
  <c r="W224" i="3"/>
  <c r="Y224" i="3" s="1"/>
  <c r="W223" i="3"/>
  <c r="Y223" i="3" s="1"/>
  <c r="W222" i="3"/>
  <c r="Y222" i="3" s="1"/>
  <c r="W221" i="3"/>
  <c r="Y221" i="3" s="1"/>
  <c r="W220" i="3"/>
  <c r="Y220" i="3" s="1"/>
  <c r="W219" i="3"/>
  <c r="Y219" i="3" s="1"/>
  <c r="W218" i="3"/>
  <c r="Y218" i="3" s="1"/>
  <c r="W217" i="3"/>
  <c r="Y217" i="3" s="1"/>
  <c r="W216" i="3"/>
  <c r="Y216" i="3" s="1"/>
  <c r="W215" i="3"/>
  <c r="Y215" i="3" s="1"/>
  <c r="W214" i="3"/>
  <c r="Y214" i="3" s="1"/>
  <c r="W213" i="3"/>
  <c r="Y213" i="3" s="1"/>
  <c r="W212" i="3"/>
  <c r="Y212" i="3" s="1"/>
  <c r="W211" i="3"/>
  <c r="Y211" i="3" s="1"/>
  <c r="W210" i="3"/>
  <c r="Y210" i="3" s="1"/>
  <c r="W209" i="3"/>
  <c r="W208" i="3"/>
  <c r="Y208" i="3" s="1"/>
  <c r="W143" i="3"/>
  <c r="Y143" i="3" s="1"/>
  <c r="W71" i="3"/>
  <c r="Y71" i="3" s="1"/>
  <c r="W10" i="3"/>
  <c r="Y10" i="3" s="1"/>
  <c r="W210" i="8"/>
  <c r="W146" i="8"/>
  <c r="W72" i="8"/>
  <c r="W250" i="8"/>
  <c r="W249" i="8"/>
  <c r="W246" i="8"/>
  <c r="W245" i="8"/>
  <c r="W244" i="8"/>
  <c r="W241" i="8"/>
  <c r="W240" i="8"/>
  <c r="W239" i="8"/>
  <c r="W238" i="8"/>
  <c r="W237" i="8"/>
  <c r="W236" i="8"/>
  <c r="W235" i="8"/>
  <c r="W234" i="8"/>
  <c r="W233" i="8"/>
  <c r="W232" i="8"/>
  <c r="W231" i="8"/>
  <c r="W230" i="8"/>
  <c r="W229" i="8"/>
  <c r="W228" i="8"/>
  <c r="W226" i="8"/>
  <c r="W225" i="8"/>
  <c r="W224" i="8"/>
  <c r="W223" i="8"/>
  <c r="W222" i="8"/>
  <c r="W221" i="8"/>
  <c r="W220" i="8"/>
  <c r="W219" i="8"/>
  <c r="W218" i="8"/>
  <c r="W217" i="8"/>
  <c r="W216" i="8"/>
  <c r="W215" i="8"/>
  <c r="W214" i="8"/>
  <c r="W213" i="8"/>
  <c r="W212" i="8"/>
  <c r="W211" i="8"/>
  <c r="W209" i="8"/>
  <c r="W208" i="8"/>
  <c r="W207" i="8"/>
  <c r="W206" i="8"/>
  <c r="W205" i="8"/>
  <c r="W203" i="8"/>
  <c r="W202" i="8"/>
  <c r="W201" i="8"/>
  <c r="W200" i="8"/>
  <c r="W199" i="8"/>
  <c r="W198" i="8"/>
  <c r="W197" i="8"/>
  <c r="W196" i="8"/>
  <c r="W195" i="8"/>
  <c r="W194" i="8"/>
  <c r="W193" i="8"/>
  <c r="W192" i="8"/>
  <c r="W191" i="8"/>
  <c r="W190" i="8"/>
  <c r="W189" i="8"/>
  <c r="W188" i="8"/>
  <c r="W186" i="8"/>
  <c r="W185" i="8"/>
  <c r="W184" i="8"/>
  <c r="W183" i="8"/>
  <c r="W182" i="8"/>
  <c r="W181" i="8"/>
  <c r="W180" i="8"/>
  <c r="W179" i="8"/>
  <c r="W178" i="8"/>
  <c r="W177" i="8"/>
  <c r="W176" i="8"/>
  <c r="W175" i="8"/>
  <c r="W174" i="8"/>
  <c r="W173" i="8"/>
  <c r="W172" i="8"/>
  <c r="W171" i="8"/>
  <c r="W170" i="8"/>
  <c r="W169" i="8"/>
  <c r="W167" i="8"/>
  <c r="W166" i="8"/>
  <c r="W164" i="8"/>
  <c r="W163" i="8"/>
  <c r="W162" i="8"/>
  <c r="W161" i="8"/>
  <c r="W159" i="8"/>
  <c r="W158" i="8"/>
  <c r="W157" i="8"/>
  <c r="W156" i="8"/>
  <c r="W155" i="8"/>
  <c r="W154" i="8"/>
  <c r="W153" i="8"/>
  <c r="W152" i="8"/>
  <c r="W151" i="8"/>
  <c r="W150" i="8"/>
  <c r="W149" i="8"/>
  <c r="W148" i="8"/>
  <c r="W147" i="8"/>
  <c r="W145" i="8"/>
  <c r="W144" i="8"/>
  <c r="W143" i="8"/>
  <c r="W142" i="8"/>
  <c r="W141" i="8"/>
  <c r="W140" i="8"/>
  <c r="W139" i="8"/>
  <c r="W138" i="8"/>
  <c r="W137" i="8"/>
  <c r="W136" i="8"/>
  <c r="W135" i="8"/>
  <c r="W134" i="8"/>
  <c r="W132" i="8"/>
  <c r="W131" i="8"/>
  <c r="W130" i="8"/>
  <c r="W129" i="8"/>
  <c r="W128" i="8"/>
  <c r="W127" i="8"/>
  <c r="W126" i="8"/>
  <c r="W125" i="8"/>
  <c r="W124" i="8"/>
  <c r="W123" i="8"/>
  <c r="W121" i="8"/>
  <c r="W120" i="8"/>
  <c r="W119" i="8"/>
  <c r="W118" i="8"/>
  <c r="W117" i="8"/>
  <c r="W116" i="8"/>
  <c r="W115" i="8"/>
  <c r="W114" i="8"/>
  <c r="W113" i="8"/>
  <c r="W112" i="8"/>
  <c r="W111" i="8"/>
  <c r="W110" i="8"/>
  <c r="W108" i="8"/>
  <c r="W106" i="8"/>
  <c r="W105" i="8"/>
  <c r="W104" i="8"/>
  <c r="W103" i="8"/>
  <c r="W102" i="8"/>
  <c r="W101" i="8"/>
  <c r="W100" i="8"/>
  <c r="W99" i="8"/>
  <c r="W98" i="8"/>
  <c r="W97" i="8"/>
  <c r="W86" i="8"/>
  <c r="W85" i="8"/>
  <c r="W84" i="8"/>
  <c r="W83" i="8"/>
  <c r="W82" i="8"/>
  <c r="W81" i="8"/>
  <c r="W80" i="8"/>
  <c r="W79" i="8"/>
  <c r="W78" i="8"/>
  <c r="W77" i="8"/>
  <c r="W76" i="8"/>
  <c r="W75" i="8"/>
  <c r="W73" i="8"/>
  <c r="W71" i="8"/>
  <c r="W70" i="8"/>
  <c r="W69" i="8"/>
  <c r="W68" i="8"/>
  <c r="W67" i="8"/>
  <c r="W65" i="8"/>
  <c r="W64" i="8"/>
  <c r="W63" i="8"/>
  <c r="W62" i="8"/>
  <c r="W61" i="8"/>
  <c r="W59" i="8"/>
  <c r="W58" i="8"/>
  <c r="W57" i="8"/>
  <c r="W56" i="8"/>
  <c r="W55" i="8"/>
  <c r="W54" i="8"/>
  <c r="W53" i="8"/>
  <c r="W52" i="8"/>
  <c r="W51" i="8"/>
  <c r="W50" i="8"/>
  <c r="W49" i="8"/>
  <c r="W48" i="8"/>
  <c r="W47" i="8"/>
  <c r="W46" i="8"/>
  <c r="W45" i="8"/>
  <c r="W43" i="8"/>
  <c r="W41" i="8"/>
  <c r="W40" i="8"/>
  <c r="W39" i="8"/>
  <c r="W38" i="8"/>
  <c r="W37" i="8"/>
  <c r="W36" i="8"/>
  <c r="W33" i="8"/>
  <c r="W32" i="8"/>
  <c r="W31" i="8"/>
  <c r="W30" i="8"/>
  <c r="W29" i="8"/>
  <c r="W28" i="8"/>
  <c r="W27" i="8"/>
  <c r="W26" i="8"/>
  <c r="W25" i="8"/>
  <c r="W24" i="8"/>
  <c r="W23" i="8"/>
  <c r="W22" i="8"/>
  <c r="W21" i="8"/>
  <c r="W20" i="8"/>
  <c r="W19" i="8"/>
  <c r="W17" i="8"/>
  <c r="W16" i="8"/>
  <c r="W15" i="8"/>
  <c r="W14" i="8"/>
  <c r="W13" i="8"/>
  <c r="W12" i="8"/>
  <c r="AC70" i="9"/>
  <c r="AA70" i="9"/>
  <c r="AC69" i="9"/>
  <c r="AA69" i="9"/>
  <c r="AC68" i="9"/>
  <c r="AA68" i="9"/>
  <c r="AC67" i="9"/>
  <c r="AA67" i="9"/>
  <c r="AC66" i="9"/>
  <c r="AA66" i="9"/>
  <c r="AC65" i="9"/>
  <c r="AA65" i="9"/>
  <c r="AC64" i="9"/>
  <c r="AA64" i="9"/>
  <c r="AC63" i="9"/>
  <c r="AA63" i="9"/>
  <c r="AC62" i="9"/>
  <c r="AA62" i="9"/>
  <c r="AC61" i="9"/>
  <c r="AA61" i="9"/>
  <c r="AC60" i="9"/>
  <c r="AA60" i="9"/>
  <c r="AC59" i="9"/>
  <c r="AA59" i="9"/>
  <c r="AC58" i="9"/>
  <c r="AA58" i="9"/>
  <c r="AC57" i="9"/>
  <c r="AA57" i="9"/>
  <c r="AC56" i="9"/>
  <c r="AA56" i="9"/>
  <c r="AC55" i="9"/>
  <c r="AA55" i="9"/>
  <c r="AC54" i="9"/>
  <c r="AA54" i="9"/>
  <c r="AC53" i="9"/>
  <c r="AA53" i="9"/>
  <c r="AC52" i="9"/>
  <c r="AA52" i="9"/>
  <c r="AC51" i="9"/>
  <c r="AA51" i="9"/>
  <c r="AC50" i="9"/>
  <c r="AA50" i="9"/>
  <c r="AC49" i="9"/>
  <c r="AA49" i="9"/>
  <c r="AC48" i="9"/>
  <c r="AA48" i="9"/>
  <c r="AC47" i="9"/>
  <c r="AA47" i="9"/>
  <c r="AA46" i="9"/>
  <c r="AC43" i="9"/>
  <c r="AA43" i="9"/>
  <c r="AC41" i="9"/>
  <c r="AA41" i="9"/>
  <c r="AC40" i="9"/>
  <c r="AA40" i="9"/>
  <c r="AC39" i="9"/>
  <c r="AA39" i="9"/>
  <c r="AA45" i="9" s="1"/>
  <c r="AC38" i="9"/>
  <c r="AA38" i="9"/>
  <c r="AC37" i="9"/>
  <c r="AA37" i="9"/>
  <c r="AC36" i="9"/>
  <c r="AA36" i="9"/>
  <c r="AC35" i="9"/>
  <c r="AA35" i="9"/>
  <c r="AC34" i="9"/>
  <c r="AA34" i="9"/>
  <c r="AC33" i="9"/>
  <c r="AA33" i="9"/>
  <c r="AC32" i="9"/>
  <c r="AA32" i="9"/>
  <c r="AC31" i="9"/>
  <c r="AA31" i="9"/>
  <c r="AC30" i="9"/>
  <c r="AA30" i="9"/>
  <c r="AC29" i="9"/>
  <c r="AA29" i="9"/>
  <c r="AC28" i="9"/>
  <c r="AA28" i="9"/>
  <c r="AC27" i="9"/>
  <c r="AA27" i="9"/>
  <c r="AC26" i="9"/>
  <c r="AC25" i="9"/>
  <c r="AA25" i="9"/>
  <c r="AA24" i="9"/>
  <c r="AC23" i="9"/>
  <c r="AA23" i="9"/>
  <c r="AC22" i="9"/>
  <c r="AA22" i="9"/>
  <c r="AC21" i="9"/>
  <c r="AA21" i="9"/>
  <c r="AC20" i="9"/>
  <c r="AA20" i="9"/>
  <c r="AC19" i="9"/>
  <c r="AA19" i="9"/>
  <c r="AC17" i="9"/>
  <c r="AA17" i="9"/>
  <c r="AC16" i="9"/>
  <c r="AA16" i="9"/>
  <c r="AC15" i="9"/>
  <c r="AA15" i="9"/>
  <c r="AC14" i="9"/>
  <c r="AA14" i="9"/>
  <c r="AC13" i="9"/>
  <c r="AA13" i="9"/>
  <c r="AC11" i="9"/>
  <c r="AA11" i="9"/>
  <c r="AC142" i="9"/>
  <c r="AA142" i="9"/>
  <c r="AC141" i="9"/>
  <c r="AA141" i="9"/>
  <c r="AC140" i="9"/>
  <c r="AA140" i="9"/>
  <c r="AC139" i="9"/>
  <c r="AA139" i="9"/>
  <c r="AC138" i="9"/>
  <c r="AA138" i="9"/>
  <c r="AC137" i="9"/>
  <c r="AA137" i="9"/>
  <c r="AC136" i="9"/>
  <c r="AA136" i="9"/>
  <c r="AC135" i="9"/>
  <c r="AA135" i="9"/>
  <c r="AC134" i="9"/>
  <c r="AA134" i="9"/>
  <c r="AC133" i="9"/>
  <c r="AA133" i="9"/>
  <c r="AC132" i="9"/>
  <c r="AA132" i="9"/>
  <c r="AC131" i="9"/>
  <c r="AA131" i="9"/>
  <c r="AC130" i="9"/>
  <c r="AA130" i="9"/>
  <c r="AC129" i="9"/>
  <c r="AA129" i="9"/>
  <c r="AC128" i="9"/>
  <c r="AA128" i="9"/>
  <c r="AC127" i="9"/>
  <c r="AA127" i="9"/>
  <c r="AC126" i="9"/>
  <c r="AA126" i="9"/>
  <c r="AC125" i="9"/>
  <c r="AA125" i="9"/>
  <c r="AC124" i="9"/>
  <c r="AA124" i="9"/>
  <c r="AC123" i="9"/>
  <c r="AA123" i="9"/>
  <c r="AC121" i="9"/>
  <c r="AA121" i="9"/>
  <c r="AC120" i="9"/>
  <c r="AA120" i="9"/>
  <c r="AC119" i="9"/>
  <c r="AA119" i="9"/>
  <c r="AC118" i="9"/>
  <c r="AA118" i="9"/>
  <c r="AC117" i="9"/>
  <c r="AA117" i="9"/>
  <c r="AC116" i="9"/>
  <c r="AA116" i="9"/>
  <c r="AC115" i="9"/>
  <c r="AA115" i="9"/>
  <c r="AC114" i="9"/>
  <c r="AA114" i="9"/>
  <c r="AC113" i="9"/>
  <c r="AA113" i="9"/>
  <c r="AC112" i="9"/>
  <c r="AA112" i="9"/>
  <c r="AC111" i="9"/>
  <c r="AA111" i="9"/>
  <c r="AC110" i="9"/>
  <c r="AA110" i="9"/>
  <c r="AC108" i="9"/>
  <c r="AA108" i="9"/>
  <c r="AC107" i="9"/>
  <c r="AA107" i="9"/>
  <c r="AC106" i="9"/>
  <c r="AA106" i="9"/>
  <c r="AC105" i="9"/>
  <c r="AA105" i="9"/>
  <c r="AC104" i="9"/>
  <c r="AA104" i="9"/>
  <c r="AC103" i="9"/>
  <c r="AA103" i="9"/>
  <c r="AC102" i="9"/>
  <c r="AA102" i="9"/>
  <c r="AC101" i="9"/>
  <c r="AA101" i="9"/>
  <c r="AC100" i="9"/>
  <c r="AA100" i="9"/>
  <c r="AC99" i="9"/>
  <c r="AA99" i="9"/>
  <c r="AC98" i="9"/>
  <c r="AA98" i="9"/>
  <c r="AC97" i="9"/>
  <c r="AA97" i="9"/>
  <c r="AC86" i="9"/>
  <c r="AA86" i="9"/>
  <c r="AC85" i="9"/>
  <c r="AA85" i="9"/>
  <c r="AC84" i="9"/>
  <c r="AA84" i="9"/>
  <c r="AC83" i="9"/>
  <c r="AA83" i="9"/>
  <c r="AC81" i="9"/>
  <c r="AA81" i="9"/>
  <c r="AC80" i="9"/>
  <c r="AA80" i="9"/>
  <c r="AC79" i="9"/>
  <c r="AA79" i="9"/>
  <c r="AC78" i="9"/>
  <c r="AA78" i="9"/>
  <c r="AC77" i="9"/>
  <c r="AA77" i="9"/>
  <c r="AC76" i="9"/>
  <c r="AA76" i="9"/>
  <c r="AC75" i="9"/>
  <c r="AA75" i="9"/>
  <c r="AC73" i="9"/>
  <c r="AA73" i="9"/>
  <c r="AC72" i="9"/>
  <c r="AA72" i="9"/>
  <c r="AC82" i="9" s="1"/>
  <c r="AC208" i="9"/>
  <c r="AA208" i="9"/>
  <c r="AC207" i="9"/>
  <c r="AA207" i="9"/>
  <c r="AC206" i="9"/>
  <c r="AA206" i="9"/>
  <c r="AC205" i="9"/>
  <c r="AA205" i="9"/>
  <c r="AC204" i="9"/>
  <c r="AA204" i="9"/>
  <c r="AC203" i="9"/>
  <c r="AA203" i="9"/>
  <c r="AC202" i="9"/>
  <c r="AA202" i="9"/>
  <c r="AC201" i="9"/>
  <c r="AA201" i="9"/>
  <c r="AC200" i="9"/>
  <c r="AA200" i="9"/>
  <c r="AC199" i="9"/>
  <c r="AA199" i="9"/>
  <c r="AC198" i="9"/>
  <c r="AA198" i="9"/>
  <c r="AC197" i="9"/>
  <c r="AA197" i="9"/>
  <c r="AC196" i="9"/>
  <c r="AA196" i="9"/>
  <c r="AC195" i="9"/>
  <c r="AA195" i="9"/>
  <c r="AC194" i="9"/>
  <c r="AA194" i="9"/>
  <c r="AC193" i="9"/>
  <c r="AA193" i="9"/>
  <c r="AC192" i="9"/>
  <c r="AA192" i="9"/>
  <c r="AC191" i="9"/>
  <c r="AA191" i="9"/>
  <c r="AC190" i="9"/>
  <c r="AA190" i="9"/>
  <c r="AC189" i="9"/>
  <c r="AA189" i="9"/>
  <c r="AC188" i="9"/>
  <c r="AA188" i="9"/>
  <c r="AC187" i="9"/>
  <c r="AA187" i="9"/>
  <c r="AC186" i="9"/>
  <c r="AA186" i="9"/>
  <c r="AC185" i="9"/>
  <c r="AA185" i="9"/>
  <c r="AC184" i="9"/>
  <c r="AA184" i="9"/>
  <c r="AC183" i="9"/>
  <c r="AA183" i="9"/>
  <c r="AC182" i="9"/>
  <c r="AA182" i="9"/>
  <c r="AC181" i="9"/>
  <c r="AA181" i="9"/>
  <c r="AC180" i="9"/>
  <c r="AA180" i="9"/>
  <c r="AC179" i="9"/>
  <c r="AA179" i="9"/>
  <c r="AC178" i="9"/>
  <c r="AA178" i="9"/>
  <c r="AC177" i="9"/>
  <c r="AA177" i="9"/>
  <c r="AC176" i="9"/>
  <c r="AA176" i="9"/>
  <c r="AC175" i="9"/>
  <c r="AA175" i="9"/>
  <c r="AC174" i="9"/>
  <c r="AA174" i="9"/>
  <c r="AC173" i="9"/>
  <c r="AA173" i="9"/>
  <c r="AC172" i="9"/>
  <c r="AA172" i="9"/>
  <c r="AC171" i="9"/>
  <c r="AA171" i="9"/>
  <c r="AC170" i="9"/>
  <c r="AA170" i="9"/>
  <c r="AC169" i="9"/>
  <c r="AA169" i="9"/>
  <c r="AC167" i="9"/>
  <c r="AA167" i="9"/>
  <c r="AC166" i="9"/>
  <c r="AA166" i="9"/>
  <c r="AC164" i="9"/>
  <c r="AA164" i="9"/>
  <c r="AC163" i="9"/>
  <c r="AA163" i="9"/>
  <c r="AC162" i="9"/>
  <c r="AA162" i="9"/>
  <c r="AC160" i="9"/>
  <c r="AA160" i="9"/>
  <c r="AC159" i="9"/>
  <c r="AA159" i="9"/>
  <c r="AC158" i="9"/>
  <c r="AA158" i="9"/>
  <c r="AC157" i="9"/>
  <c r="AA157" i="9"/>
  <c r="AC156" i="9"/>
  <c r="AA156" i="9"/>
  <c r="AC155" i="9"/>
  <c r="AA155" i="9"/>
  <c r="AC154" i="9"/>
  <c r="AA154" i="9"/>
  <c r="AC153" i="9"/>
  <c r="AA153" i="9"/>
  <c r="AC152" i="9"/>
  <c r="AA152" i="9"/>
  <c r="AC151" i="9"/>
  <c r="AA151" i="9"/>
  <c r="AC150" i="9"/>
  <c r="AA150" i="9"/>
  <c r="AC149" i="9"/>
  <c r="AA149" i="9"/>
  <c r="AC147" i="9"/>
  <c r="AA147" i="9"/>
  <c r="AC146" i="9"/>
  <c r="AA146" i="9"/>
  <c r="AC145" i="9"/>
  <c r="AA145" i="9"/>
  <c r="AC144" i="9"/>
  <c r="AA144" i="9"/>
  <c r="AC250" i="9"/>
  <c r="AA250" i="9"/>
  <c r="AC249" i="9"/>
  <c r="AA249" i="9"/>
  <c r="AC248" i="9"/>
  <c r="AA248" i="9"/>
  <c r="AC246" i="9"/>
  <c r="AA246" i="9"/>
  <c r="AC245" i="9"/>
  <c r="AA245" i="9"/>
  <c r="AC244" i="9"/>
  <c r="AA244" i="9"/>
  <c r="AC243" i="9"/>
  <c r="AA243" i="9"/>
  <c r="AC241" i="9"/>
  <c r="AA241" i="9"/>
  <c r="AC240" i="9"/>
  <c r="AA240" i="9"/>
  <c r="AC239" i="9"/>
  <c r="AA239" i="9"/>
  <c r="AC238" i="9"/>
  <c r="AA238" i="9"/>
  <c r="AC237" i="9"/>
  <c r="AA237" i="9"/>
  <c r="AC236" i="9"/>
  <c r="AA236" i="9"/>
  <c r="AC235" i="9"/>
  <c r="AA235" i="9"/>
  <c r="AC234" i="9"/>
  <c r="AA234" i="9"/>
  <c r="AC233" i="9"/>
  <c r="AA233" i="9"/>
  <c r="AC232" i="9"/>
  <c r="AA232" i="9"/>
  <c r="AC231" i="9"/>
  <c r="AA231" i="9"/>
  <c r="AC230" i="9"/>
  <c r="AA230" i="9"/>
  <c r="AC229" i="9"/>
  <c r="AA229" i="9"/>
  <c r="AC228" i="9"/>
  <c r="AA228" i="9"/>
  <c r="AC226" i="9"/>
  <c r="AA226" i="9"/>
  <c r="AC225" i="9"/>
  <c r="AA225" i="9"/>
  <c r="AC224" i="9"/>
  <c r="AA224" i="9"/>
  <c r="AC223" i="9"/>
  <c r="AA223" i="9"/>
  <c r="AC222" i="9"/>
  <c r="AA222" i="9"/>
  <c r="AC221" i="9"/>
  <c r="AA221" i="9"/>
  <c r="AC220" i="9"/>
  <c r="AA220" i="9"/>
  <c r="AC219" i="9"/>
  <c r="AA219" i="9"/>
  <c r="AC218" i="9"/>
  <c r="AA218" i="9"/>
  <c r="AC217" i="9"/>
  <c r="AA217" i="9"/>
  <c r="AC216" i="9"/>
  <c r="AA216" i="9"/>
  <c r="AC215" i="9"/>
  <c r="AA215" i="9"/>
  <c r="AC214" i="9"/>
  <c r="AA214" i="9"/>
  <c r="AC213" i="9"/>
  <c r="AA213" i="9"/>
  <c r="AC212" i="9"/>
  <c r="AA212" i="9"/>
  <c r="AC211" i="9"/>
  <c r="AA211" i="9"/>
  <c r="AC209" i="10"/>
  <c r="O209" i="10"/>
  <c r="E209" i="10"/>
  <c r="AC144" i="10"/>
  <c r="AF144" i="10" s="1"/>
  <c r="O144" i="10"/>
  <c r="E144" i="10"/>
  <c r="AC71" i="10"/>
  <c r="O71" i="10"/>
  <c r="E71" i="10"/>
  <c r="AC250" i="10"/>
  <c r="O250" i="10"/>
  <c r="E250" i="10"/>
  <c r="AC249" i="10"/>
  <c r="O249" i="10"/>
  <c r="E249" i="10"/>
  <c r="AC248" i="10"/>
  <c r="O248" i="10"/>
  <c r="E248" i="10"/>
  <c r="AC246" i="10"/>
  <c r="O246" i="10"/>
  <c r="E246" i="10"/>
  <c r="AC245" i="10"/>
  <c r="O245" i="10"/>
  <c r="E245" i="10"/>
  <c r="AC244" i="10"/>
  <c r="O244" i="10"/>
  <c r="E244" i="10"/>
  <c r="O241" i="10"/>
  <c r="E241" i="10"/>
  <c r="AC240" i="10"/>
  <c r="O240" i="10"/>
  <c r="AC239" i="10"/>
  <c r="O239" i="10"/>
  <c r="E239" i="10"/>
  <c r="AC238" i="10"/>
  <c r="O238" i="10"/>
  <c r="E238" i="10"/>
  <c r="AC237" i="10"/>
  <c r="O237" i="10"/>
  <c r="E237" i="10"/>
  <c r="AC236" i="10"/>
  <c r="O236" i="10"/>
  <c r="E236" i="10"/>
  <c r="AC235" i="10"/>
  <c r="O235" i="10"/>
  <c r="E235" i="10"/>
  <c r="AC234" i="10"/>
  <c r="O234" i="10"/>
  <c r="E234" i="10"/>
  <c r="AC233" i="10"/>
  <c r="O233" i="10"/>
  <c r="E233" i="10"/>
  <c r="AC232" i="10"/>
  <c r="O232" i="10"/>
  <c r="E232" i="10"/>
  <c r="AC231" i="10"/>
  <c r="O231" i="10"/>
  <c r="E231" i="10"/>
  <c r="AC230" i="10"/>
  <c r="O230" i="10"/>
  <c r="E230" i="10"/>
  <c r="AC229" i="10"/>
  <c r="O229" i="10"/>
  <c r="E229" i="10"/>
  <c r="AC228" i="10"/>
  <c r="O228" i="10"/>
  <c r="E228" i="10"/>
  <c r="AC226" i="10"/>
  <c r="O226" i="10"/>
  <c r="AC225" i="10"/>
  <c r="O225" i="10"/>
  <c r="AC224" i="10"/>
  <c r="O224" i="10"/>
  <c r="E224" i="10"/>
  <c r="AC223" i="10"/>
  <c r="O223" i="10"/>
  <c r="E223" i="10"/>
  <c r="AC222" i="10"/>
  <c r="O222" i="10"/>
  <c r="E222" i="10"/>
  <c r="AC221" i="10"/>
  <c r="O221" i="10"/>
  <c r="E221" i="10"/>
  <c r="AC220" i="10"/>
  <c r="O220" i="10"/>
  <c r="E220" i="10"/>
  <c r="AC219" i="10"/>
  <c r="O219" i="10"/>
  <c r="E219" i="10"/>
  <c r="AC218" i="10"/>
  <c r="O218" i="10"/>
  <c r="E218" i="10"/>
  <c r="AC217" i="10"/>
  <c r="O217" i="10"/>
  <c r="E217" i="10"/>
  <c r="AC216" i="10"/>
  <c r="O216" i="10"/>
  <c r="E216" i="10"/>
  <c r="AC215" i="10"/>
  <c r="O215" i="10"/>
  <c r="E215" i="10"/>
  <c r="AC214" i="10"/>
  <c r="O214" i="10"/>
  <c r="E214" i="10"/>
  <c r="AC213" i="10"/>
  <c r="E213" i="10"/>
  <c r="AC212" i="10"/>
  <c r="O212" i="10"/>
  <c r="E212" i="10"/>
  <c r="AC211" i="10"/>
  <c r="O211" i="10"/>
  <c r="E211" i="10"/>
  <c r="AC210" i="10"/>
  <c r="O210" i="10"/>
  <c r="E210" i="10"/>
  <c r="AC208" i="10"/>
  <c r="O208" i="10"/>
  <c r="E208" i="10"/>
  <c r="AC207" i="10"/>
  <c r="O207" i="10"/>
  <c r="E207" i="10"/>
  <c r="AC206" i="10"/>
  <c r="O206" i="10"/>
  <c r="E206" i="10"/>
  <c r="AC205" i="10"/>
  <c r="O205" i="10"/>
  <c r="E205" i="10"/>
  <c r="AC204" i="10"/>
  <c r="O204" i="10"/>
  <c r="E204" i="10"/>
  <c r="AC203" i="10"/>
  <c r="O203" i="10"/>
  <c r="E203" i="10"/>
  <c r="AC202" i="10"/>
  <c r="O202" i="10"/>
  <c r="E202" i="10"/>
  <c r="AC201" i="10"/>
  <c r="O201" i="10"/>
  <c r="E201" i="10"/>
  <c r="AC200" i="10"/>
  <c r="O200" i="10"/>
  <c r="E200" i="10"/>
  <c r="AC199" i="10"/>
  <c r="O199" i="10"/>
  <c r="E199" i="10"/>
  <c r="AC198" i="10"/>
  <c r="O198" i="10"/>
  <c r="E198" i="10"/>
  <c r="AC197" i="10"/>
  <c r="O197" i="10"/>
  <c r="E197" i="10"/>
  <c r="AC196" i="10"/>
  <c r="O196" i="10"/>
  <c r="E196" i="10"/>
  <c r="AC195" i="10"/>
  <c r="O195" i="10"/>
  <c r="E195" i="10"/>
  <c r="AC194" i="10"/>
  <c r="O194" i="10"/>
  <c r="E194" i="10"/>
  <c r="AC193" i="10"/>
  <c r="O193" i="10"/>
  <c r="E193" i="10"/>
  <c r="AC192" i="10"/>
  <c r="O192" i="10"/>
  <c r="E192" i="10"/>
  <c r="AC191" i="10"/>
  <c r="AF191" i="10" s="1"/>
  <c r="O191" i="10"/>
  <c r="E191" i="10"/>
  <c r="AC190" i="10"/>
  <c r="O190" i="10"/>
  <c r="E190" i="10"/>
  <c r="AC189" i="10"/>
  <c r="O189" i="10"/>
  <c r="E189" i="10"/>
  <c r="AC188" i="10"/>
  <c r="O188" i="10"/>
  <c r="E188" i="10"/>
  <c r="AC186" i="10"/>
  <c r="O186" i="10"/>
  <c r="E186" i="10"/>
  <c r="AC185" i="10"/>
  <c r="O185" i="10"/>
  <c r="E185" i="10"/>
  <c r="AC184" i="10"/>
  <c r="O184" i="10"/>
  <c r="E184" i="10"/>
  <c r="AC183" i="10"/>
  <c r="O183" i="10"/>
  <c r="E183" i="10"/>
  <c r="AC182" i="10"/>
  <c r="O182" i="10"/>
  <c r="E182" i="10"/>
  <c r="AC181" i="10"/>
  <c r="E181" i="10"/>
  <c r="AC180" i="10"/>
  <c r="O180" i="10"/>
  <c r="E180" i="10"/>
  <c r="AC179" i="10"/>
  <c r="O179" i="10"/>
  <c r="E179" i="10"/>
  <c r="AC178" i="10"/>
  <c r="O178" i="10"/>
  <c r="AC177" i="10"/>
  <c r="O177" i="10"/>
  <c r="E177" i="10"/>
  <c r="AC176" i="10"/>
  <c r="O176" i="10"/>
  <c r="E176" i="10"/>
  <c r="AC175" i="10"/>
  <c r="O175" i="10"/>
  <c r="E175" i="10"/>
  <c r="AC174" i="10"/>
  <c r="O174" i="10"/>
  <c r="E174" i="10"/>
  <c r="AC173" i="10"/>
  <c r="O173" i="10"/>
  <c r="E173" i="10"/>
  <c r="AC172" i="10"/>
  <c r="O172" i="10"/>
  <c r="E172" i="10"/>
  <c r="AC171" i="10"/>
  <c r="AF171" i="10" s="1"/>
  <c r="O171" i="10"/>
  <c r="E171" i="10"/>
  <c r="AC170" i="10"/>
  <c r="O170" i="10"/>
  <c r="E170" i="10"/>
  <c r="AC169" i="10"/>
  <c r="O169" i="10"/>
  <c r="AC167" i="10"/>
  <c r="O167" i="10"/>
  <c r="E167" i="10"/>
  <c r="AC166" i="10"/>
  <c r="O166" i="10"/>
  <c r="E166" i="10"/>
  <c r="AC164" i="10"/>
  <c r="O164" i="10"/>
  <c r="E164" i="10"/>
  <c r="AC163" i="10"/>
  <c r="O163" i="10"/>
  <c r="E163" i="10"/>
  <c r="AC162" i="10"/>
  <c r="O162" i="10"/>
  <c r="E162" i="10"/>
  <c r="AC161" i="10"/>
  <c r="AA161" i="8" s="1"/>
  <c r="O161" i="10"/>
  <c r="E161" i="10"/>
  <c r="AC160" i="10"/>
  <c r="O160" i="10"/>
  <c r="AC159" i="10"/>
  <c r="O159" i="10"/>
  <c r="E159" i="10"/>
  <c r="AC158" i="10"/>
  <c r="O158" i="10"/>
  <c r="E158" i="10"/>
  <c r="AC157" i="10"/>
  <c r="O157" i="10"/>
  <c r="AC156" i="10"/>
  <c r="O156" i="10"/>
  <c r="E156" i="10"/>
  <c r="AC155" i="10"/>
  <c r="O155" i="10"/>
  <c r="E155" i="10"/>
  <c r="AC154" i="10"/>
  <c r="O154" i="10"/>
  <c r="E154" i="10"/>
  <c r="AC153" i="10"/>
  <c r="O153" i="10"/>
  <c r="AC152" i="10"/>
  <c r="E152" i="10"/>
  <c r="AC151" i="10"/>
  <c r="O151" i="10"/>
  <c r="E151" i="10"/>
  <c r="AC150" i="10"/>
  <c r="O150" i="10"/>
  <c r="E150" i="10"/>
  <c r="AC149" i="10"/>
  <c r="O149" i="10"/>
  <c r="E149" i="10"/>
  <c r="AC148" i="10"/>
  <c r="O148" i="10"/>
  <c r="E148" i="10"/>
  <c r="AC147" i="10"/>
  <c r="O147" i="10"/>
  <c r="E147" i="10"/>
  <c r="AC146" i="10"/>
  <c r="O146" i="10"/>
  <c r="E146" i="10"/>
  <c r="AC145" i="10"/>
  <c r="O145" i="10"/>
  <c r="AC142" i="10"/>
  <c r="O142" i="10"/>
  <c r="E142" i="10"/>
  <c r="AC141" i="10"/>
  <c r="O141" i="10"/>
  <c r="E141" i="10"/>
  <c r="AC140" i="10"/>
  <c r="O140" i="10"/>
  <c r="E140" i="10"/>
  <c r="AC139" i="10"/>
  <c r="O139" i="10"/>
  <c r="E139" i="10"/>
  <c r="AC138" i="10"/>
  <c r="O138" i="10"/>
  <c r="E138" i="10"/>
  <c r="AC137" i="10"/>
  <c r="O137" i="10"/>
  <c r="E137" i="10"/>
  <c r="AC136" i="10"/>
  <c r="O136" i="10"/>
  <c r="E136" i="10"/>
  <c r="AC135" i="10"/>
  <c r="O135" i="10"/>
  <c r="E135" i="10"/>
  <c r="AC134" i="10"/>
  <c r="O134" i="10"/>
  <c r="AC132" i="10"/>
  <c r="E132" i="10"/>
  <c r="AC131" i="10"/>
  <c r="O131" i="10"/>
  <c r="E131" i="10"/>
  <c r="AC130" i="10"/>
  <c r="O130" i="10"/>
  <c r="E130" i="10"/>
  <c r="AC129" i="10"/>
  <c r="AF129" i="10" s="1"/>
  <c r="O129" i="10"/>
  <c r="E129" i="10"/>
  <c r="AC128" i="10"/>
  <c r="O128" i="10"/>
  <c r="E128" i="10"/>
  <c r="AC127" i="10"/>
  <c r="O127" i="10"/>
  <c r="E127" i="10"/>
  <c r="AC126" i="10"/>
  <c r="O126" i="10"/>
  <c r="E126" i="10"/>
  <c r="AC125" i="10"/>
  <c r="O125" i="10"/>
  <c r="E125" i="10"/>
  <c r="AC124" i="10"/>
  <c r="O124" i="10"/>
  <c r="E124" i="10"/>
  <c r="AC123" i="10"/>
  <c r="O123" i="10"/>
  <c r="E123" i="10"/>
  <c r="AC121" i="10"/>
  <c r="O121" i="10"/>
  <c r="E121" i="10"/>
  <c r="AC120" i="10"/>
  <c r="O120" i="10"/>
  <c r="E120" i="10"/>
  <c r="AC119" i="10"/>
  <c r="O119" i="10"/>
  <c r="E119" i="10"/>
  <c r="AC118" i="10"/>
  <c r="O118" i="10"/>
  <c r="E118" i="10"/>
  <c r="AC117" i="10"/>
  <c r="O117" i="10"/>
  <c r="E117" i="10"/>
  <c r="AC116" i="10"/>
  <c r="O116" i="10"/>
  <c r="E116" i="10"/>
  <c r="AC115" i="10"/>
  <c r="E115" i="10"/>
  <c r="AC114" i="10"/>
  <c r="O114" i="10"/>
  <c r="E114" i="10"/>
  <c r="AC113" i="10"/>
  <c r="O113" i="10"/>
  <c r="E113" i="10"/>
  <c r="AC112" i="10"/>
  <c r="O112" i="10"/>
  <c r="E112" i="10"/>
  <c r="AC111" i="10"/>
  <c r="O111" i="10"/>
  <c r="E111" i="10"/>
  <c r="AC110" i="10"/>
  <c r="O110" i="10"/>
  <c r="E110" i="10"/>
  <c r="AC108" i="10"/>
  <c r="O108" i="10"/>
  <c r="E108" i="10"/>
  <c r="AC107" i="10"/>
  <c r="O107" i="10"/>
  <c r="E107" i="10"/>
  <c r="AC106" i="10"/>
  <c r="E106" i="10"/>
  <c r="AC105" i="10"/>
  <c r="O105" i="10"/>
  <c r="E105" i="10"/>
  <c r="AC104" i="10"/>
  <c r="O104" i="10"/>
  <c r="E104" i="10"/>
  <c r="AC103" i="10"/>
  <c r="E103" i="10"/>
  <c r="AC102" i="10"/>
  <c r="O102" i="10"/>
  <c r="E102" i="10"/>
  <c r="AC101" i="10"/>
  <c r="O101" i="10"/>
  <c r="E101" i="10"/>
  <c r="AC100" i="10"/>
  <c r="O100" i="10"/>
  <c r="AC99" i="10"/>
  <c r="AC98" i="10"/>
  <c r="O98" i="10"/>
  <c r="AC97" i="10"/>
  <c r="O97" i="10"/>
  <c r="E97" i="10"/>
  <c r="AC86" i="10"/>
  <c r="O86" i="10"/>
  <c r="E86" i="10"/>
  <c r="AC85" i="10"/>
  <c r="O85" i="10"/>
  <c r="E85" i="10"/>
  <c r="AC84" i="10"/>
  <c r="O84" i="10"/>
  <c r="E84" i="10"/>
  <c r="AC83" i="10"/>
  <c r="O83" i="10"/>
  <c r="E83" i="10"/>
  <c r="AC82" i="10"/>
  <c r="O82" i="10"/>
  <c r="E82" i="10"/>
  <c r="AC81" i="10"/>
  <c r="O81" i="10"/>
  <c r="E81" i="10"/>
  <c r="AC80" i="10"/>
  <c r="O80" i="10"/>
  <c r="E80" i="10"/>
  <c r="AC79" i="10"/>
  <c r="O79" i="10"/>
  <c r="E79" i="10"/>
  <c r="AC78" i="10"/>
  <c r="O78" i="10"/>
  <c r="E78" i="10"/>
  <c r="AC77" i="10"/>
  <c r="O77" i="10"/>
  <c r="E77" i="10"/>
  <c r="AC75" i="10"/>
  <c r="O75" i="10"/>
  <c r="E75" i="10"/>
  <c r="AC74" i="10"/>
  <c r="O74" i="10"/>
  <c r="E74" i="10"/>
  <c r="AC73" i="10"/>
  <c r="O73" i="10"/>
  <c r="E73" i="10"/>
  <c r="AC72" i="10"/>
  <c r="O72" i="10"/>
  <c r="E72" i="10"/>
  <c r="AC70" i="10"/>
  <c r="O70" i="10"/>
  <c r="E70" i="10"/>
  <c r="AC69" i="10"/>
  <c r="O69" i="10"/>
  <c r="E69" i="10"/>
  <c r="AC68" i="10"/>
  <c r="O68" i="10"/>
  <c r="E68" i="10"/>
  <c r="AC67" i="10"/>
  <c r="O67" i="10"/>
  <c r="E67" i="10"/>
  <c r="AC64" i="10"/>
  <c r="AF64" i="10" s="1"/>
  <c r="O64" i="10"/>
  <c r="E64" i="10"/>
  <c r="AC63" i="10"/>
  <c r="AF63" i="10" s="1"/>
  <c r="O63" i="10"/>
  <c r="E63" i="10"/>
  <c r="AC62" i="10"/>
  <c r="AF62" i="10" s="1"/>
  <c r="E62" i="10"/>
  <c r="AC61" i="10"/>
  <c r="AF61" i="10" s="1"/>
  <c r="O61" i="10"/>
  <c r="E61" i="10"/>
  <c r="AC59" i="10"/>
  <c r="AF59" i="10" s="1"/>
  <c r="O59" i="10"/>
  <c r="E59" i="10"/>
  <c r="AC58" i="10"/>
  <c r="AF58" i="10" s="1"/>
  <c r="O58" i="10"/>
  <c r="E58" i="10"/>
  <c r="AC57" i="10"/>
  <c r="AF57" i="10" s="1"/>
  <c r="O57" i="10"/>
  <c r="E57" i="10"/>
  <c r="AC56" i="10"/>
  <c r="AF56" i="10" s="1"/>
  <c r="O56" i="10"/>
  <c r="E56" i="10"/>
  <c r="AC55" i="10"/>
  <c r="AF55" i="10" s="1"/>
  <c r="O55" i="10"/>
  <c r="E55" i="10"/>
  <c r="AC54" i="10"/>
  <c r="AF54" i="10" s="1"/>
  <c r="O54" i="10"/>
  <c r="E54" i="10"/>
  <c r="AC53" i="10"/>
  <c r="AF53" i="10" s="1"/>
  <c r="AC52" i="10"/>
  <c r="AF52" i="10" s="1"/>
  <c r="O52" i="10"/>
  <c r="E52" i="10"/>
  <c r="AC51" i="10"/>
  <c r="AF51" i="10" s="1"/>
  <c r="O51" i="10"/>
  <c r="E51" i="10"/>
  <c r="AC50" i="10"/>
  <c r="AF50" i="10" s="1"/>
  <c r="O50" i="10"/>
  <c r="E50" i="10"/>
  <c r="AC49" i="10"/>
  <c r="AF49" i="10" s="1"/>
  <c r="O49" i="10"/>
  <c r="E49" i="10"/>
  <c r="AC48" i="10"/>
  <c r="O48" i="10"/>
  <c r="E48" i="10"/>
  <c r="AC47" i="10"/>
  <c r="AF47" i="10" s="1"/>
  <c r="O47" i="10"/>
  <c r="E47" i="10"/>
  <c r="AC46" i="10"/>
  <c r="AF46" i="10" s="1"/>
  <c r="AC45" i="10"/>
  <c r="AF45" i="10" s="1"/>
  <c r="O45" i="10"/>
  <c r="E45" i="10"/>
  <c r="AC43" i="10"/>
  <c r="AF43" i="10" s="1"/>
  <c r="O43" i="10"/>
  <c r="E43" i="10"/>
  <c r="AC41" i="10"/>
  <c r="AF41" i="10" s="1"/>
  <c r="O41" i="10"/>
  <c r="E41" i="10"/>
  <c r="AC40" i="10"/>
  <c r="AF40" i="10" s="1"/>
  <c r="O40" i="10"/>
  <c r="E40" i="10"/>
  <c r="AC39" i="10"/>
  <c r="AF39" i="10" s="1"/>
  <c r="O39" i="10"/>
  <c r="E39" i="10"/>
  <c r="AC38" i="10"/>
  <c r="AF38" i="10" s="1"/>
  <c r="O38" i="10"/>
  <c r="E38" i="10"/>
  <c r="AC37" i="10"/>
  <c r="AF37" i="10" s="1"/>
  <c r="O37" i="10"/>
  <c r="E37" i="10"/>
  <c r="AC36" i="10"/>
  <c r="AF36" i="10" s="1"/>
  <c r="O36" i="10"/>
  <c r="E36" i="10"/>
  <c r="AC35" i="10"/>
  <c r="AF35" i="10" s="1"/>
  <c r="O35" i="10"/>
  <c r="E35" i="10"/>
  <c r="AC34" i="10"/>
  <c r="AF34" i="10" s="1"/>
  <c r="O34" i="10"/>
  <c r="E34" i="10"/>
  <c r="AC33" i="10"/>
  <c r="AF33" i="10" s="1"/>
  <c r="O33" i="10"/>
  <c r="E33" i="10"/>
  <c r="AC32" i="10"/>
  <c r="AF32" i="10" s="1"/>
  <c r="O32" i="10"/>
  <c r="E32" i="10"/>
  <c r="AC31" i="10"/>
  <c r="AF31" i="10" s="1"/>
  <c r="O31" i="10"/>
  <c r="AC30" i="10"/>
  <c r="AF30" i="10" s="1"/>
  <c r="E30" i="10"/>
  <c r="AC29" i="10"/>
  <c r="AF29" i="10" s="1"/>
  <c r="O29" i="10"/>
  <c r="E29" i="10"/>
  <c r="AC28" i="10"/>
  <c r="AF28" i="10" s="1"/>
  <c r="O28" i="10"/>
  <c r="E28" i="10"/>
  <c r="AC27" i="10"/>
  <c r="AF27" i="10" s="1"/>
  <c r="O27" i="10"/>
  <c r="E27" i="10"/>
  <c r="AC26" i="10"/>
  <c r="AF26" i="10" s="1"/>
  <c r="O26" i="10"/>
  <c r="E26" i="10"/>
  <c r="AC25" i="10"/>
  <c r="AF25" i="10" s="1"/>
  <c r="O25" i="10"/>
  <c r="E25" i="10"/>
  <c r="AC24" i="10"/>
  <c r="AF24" i="10" s="1"/>
  <c r="O24" i="10"/>
  <c r="E24" i="10"/>
  <c r="AC23" i="10"/>
  <c r="AF23" i="10" s="1"/>
  <c r="O23" i="10"/>
  <c r="E23" i="10"/>
  <c r="AC22" i="10"/>
  <c r="AF22" i="10" s="1"/>
  <c r="O22" i="10"/>
  <c r="E22" i="10"/>
  <c r="AC21" i="10"/>
  <c r="AF21" i="10" s="1"/>
  <c r="O21" i="10"/>
  <c r="E21" i="10"/>
  <c r="AC20" i="10"/>
  <c r="AF20" i="10" s="1"/>
  <c r="O20" i="10"/>
  <c r="E20" i="10"/>
  <c r="AC19" i="10"/>
  <c r="AF19" i="10" s="1"/>
  <c r="O19" i="10"/>
  <c r="E19" i="10"/>
  <c r="AC17" i="10"/>
  <c r="AF17" i="10" s="1"/>
  <c r="O17" i="10"/>
  <c r="E17" i="10"/>
  <c r="AC16" i="10"/>
  <c r="AF16" i="10" s="1"/>
  <c r="O16" i="10"/>
  <c r="E16" i="10"/>
  <c r="AC15" i="10"/>
  <c r="AF15" i="10" s="1"/>
  <c r="O15" i="10"/>
  <c r="AC14" i="10"/>
  <c r="O14" i="10"/>
  <c r="AC13" i="10"/>
  <c r="AF13" i="10" s="1"/>
  <c r="O13" i="10"/>
  <c r="AC12" i="10"/>
  <c r="O12" i="10"/>
  <c r="Y76" i="3" l="1"/>
  <c r="AR76" i="5"/>
  <c r="Y80" i="3"/>
  <c r="AR80" i="5"/>
  <c r="Y77" i="3"/>
  <c r="AR77" i="5"/>
  <c r="Y79" i="3"/>
  <c r="AR79" i="5"/>
  <c r="Y74" i="3"/>
  <c r="AR74" i="5"/>
  <c r="Y78" i="3"/>
  <c r="AR78" i="5"/>
  <c r="AR209" i="5"/>
  <c r="Y209" i="3"/>
  <c r="AR99" i="5"/>
  <c r="Y99" i="3"/>
  <c r="AR98" i="5"/>
  <c r="Y98" i="3"/>
  <c r="AR97" i="5"/>
  <c r="Y97" i="3"/>
  <c r="Y85" i="3"/>
  <c r="Y83" i="3"/>
  <c r="AR83" i="5"/>
  <c r="AR82" i="5"/>
  <c r="Y82" i="3"/>
  <c r="Y81" i="3"/>
  <c r="AR81" i="5"/>
  <c r="AR56" i="5"/>
  <c r="Y56" i="3"/>
  <c r="AR45" i="5"/>
  <c r="Y45" i="3"/>
  <c r="AA48" i="8"/>
  <c r="AC48" i="8" s="1"/>
  <c r="AF48" i="10"/>
  <c r="AY62" i="13"/>
  <c r="AY66" i="13"/>
  <c r="AY70" i="13"/>
  <c r="AY74" i="13"/>
  <c r="AY78" i="13"/>
  <c r="AY82" i="13"/>
  <c r="AY86" i="13"/>
  <c r="AY90" i="13"/>
  <c r="AY99" i="13"/>
  <c r="AY111" i="13"/>
  <c r="AY119" i="13"/>
  <c r="AY123" i="13"/>
  <c r="AY127" i="13"/>
  <c r="AY131" i="13"/>
  <c r="AY135" i="13"/>
  <c r="AY139" i="13"/>
  <c r="AY143" i="13"/>
  <c r="AY156" i="13"/>
  <c r="AY160" i="13"/>
  <c r="AY164" i="13"/>
  <c r="AY168" i="13"/>
  <c r="AY180" i="13"/>
  <c r="AY184" i="13"/>
  <c r="AY52" i="13"/>
  <c r="AY56" i="13"/>
  <c r="AY60" i="13"/>
  <c r="AY64" i="13"/>
  <c r="AY68" i="13"/>
  <c r="AY72" i="13"/>
  <c r="AY76" i="13"/>
  <c r="AY80" i="13"/>
  <c r="AY84" i="13"/>
  <c r="AY92" i="13"/>
  <c r="AY101" i="13"/>
  <c r="AY113" i="13"/>
  <c r="AY117" i="13"/>
  <c r="AY121" i="13"/>
  <c r="AY125" i="13"/>
  <c r="AY129" i="13"/>
  <c r="AY133" i="13"/>
  <c r="AY137" i="13"/>
  <c r="AY141" i="13"/>
  <c r="AY145" i="13"/>
  <c r="AY150" i="13"/>
  <c r="AY154" i="13"/>
  <c r="AY158" i="13"/>
  <c r="AY162" i="13"/>
  <c r="AY166" i="13"/>
  <c r="AY178" i="13"/>
  <c r="AY182" i="13"/>
  <c r="AY186" i="13"/>
  <c r="AR186" i="5"/>
  <c r="AR86" i="5"/>
  <c r="AY232" i="13"/>
  <c r="AY117" i="15"/>
  <c r="S53" i="12"/>
  <c r="W46" i="12"/>
  <c r="AR13" i="5"/>
  <c r="AY190" i="13"/>
  <c r="AY198" i="13"/>
  <c r="AY202" i="13"/>
  <c r="AY205" i="13"/>
  <c r="AY209" i="13"/>
  <c r="AY213" i="13"/>
  <c r="AY217" i="13"/>
  <c r="AR132" i="5"/>
  <c r="AA14" i="8"/>
  <c r="AC14" i="8" s="1"/>
  <c r="AY188" i="13"/>
  <c r="AY192" i="13"/>
  <c r="AY196" i="13"/>
  <c r="AY200" i="13"/>
  <c r="AY207" i="13"/>
  <c r="AY215" i="13"/>
  <c r="AY211" i="13"/>
  <c r="AY170" i="13"/>
  <c r="AY172" i="13"/>
  <c r="AY174" i="13"/>
  <c r="AY152" i="13"/>
  <c r="AY111" i="15"/>
  <c r="AY107" i="13"/>
  <c r="AY94" i="13"/>
  <c r="AA82" i="9"/>
  <c r="AY64" i="15"/>
  <c r="AY41" i="13"/>
  <c r="AY43" i="13"/>
  <c r="AY219" i="13"/>
  <c r="AY221" i="13"/>
  <c r="AY223" i="13"/>
  <c r="AY225" i="13"/>
  <c r="AY227" i="13"/>
  <c r="AC45" i="9"/>
  <c r="AY126" i="15"/>
  <c r="AY127" i="15"/>
  <c r="AY132" i="15"/>
  <c r="AY133" i="15"/>
  <c r="AY135" i="15"/>
  <c r="AY136" i="15"/>
  <c r="AY137" i="15"/>
  <c r="AY138" i="15"/>
  <c r="AY140" i="15"/>
  <c r="AY141" i="15"/>
  <c r="AY142" i="15"/>
  <c r="AY143" i="15"/>
  <c r="AY144" i="15"/>
  <c r="AY145" i="15"/>
  <c r="AY146" i="15"/>
  <c r="AY148" i="15"/>
  <c r="AY150" i="15"/>
  <c r="AY152" i="15"/>
  <c r="AY153" i="15"/>
  <c r="AY155" i="15"/>
  <c r="AY156" i="15"/>
  <c r="AY157" i="15"/>
  <c r="AY158" i="15"/>
  <c r="AY159" i="15"/>
  <c r="AY162" i="15"/>
  <c r="AY164" i="15"/>
  <c r="AY165" i="15"/>
  <c r="AY166" i="15"/>
  <c r="AY167" i="15"/>
  <c r="AY169" i="15"/>
  <c r="AY170" i="15"/>
  <c r="AY171" i="15"/>
  <c r="AY172" i="15"/>
  <c r="AY173" i="15"/>
  <c r="AY174" i="15"/>
  <c r="AY175" i="15"/>
  <c r="AY179" i="15"/>
  <c r="AY180" i="15"/>
  <c r="AY181" i="15"/>
  <c r="AY183" i="15"/>
  <c r="AY184" i="15"/>
  <c r="AY185" i="15"/>
  <c r="AY186" i="15"/>
  <c r="AY187" i="15"/>
  <c r="AY188" i="15"/>
  <c r="AY189" i="15"/>
  <c r="AY190" i="15"/>
  <c r="AY191" i="15"/>
  <c r="AY192" i="15"/>
  <c r="AY193" i="15"/>
  <c r="AY194" i="15"/>
  <c r="AY195" i="15"/>
  <c r="AY196" i="15"/>
  <c r="AY197" i="15"/>
  <c r="AY198" i="15"/>
  <c r="AY200" i="15"/>
  <c r="AY201" i="15"/>
  <c r="AY202" i="15"/>
  <c r="AY203" i="15"/>
  <c r="AY206" i="15"/>
  <c r="AY207" i="15"/>
  <c r="AY208" i="15"/>
  <c r="AY209" i="15"/>
  <c r="AY210" i="15"/>
  <c r="AY211" i="15"/>
  <c r="AY213" i="15"/>
  <c r="AY216" i="15"/>
  <c r="AY217" i="15"/>
  <c r="AY218" i="15"/>
  <c r="AY219" i="15"/>
  <c r="AY220" i="15"/>
  <c r="AY221" i="15"/>
  <c r="AY224" i="15"/>
  <c r="AY225" i="15"/>
  <c r="AY226" i="15"/>
  <c r="AY227" i="15"/>
  <c r="AY231" i="15"/>
  <c r="AY232" i="15"/>
  <c r="AY233" i="15"/>
  <c r="AY234" i="15"/>
  <c r="AY66" i="15"/>
  <c r="AY68" i="15"/>
  <c r="AY69" i="15"/>
  <c r="AY70" i="15"/>
  <c r="AY71" i="15"/>
  <c r="AY72" i="15"/>
  <c r="AY73" i="15"/>
  <c r="AY77" i="15"/>
  <c r="AY80" i="15"/>
  <c r="AY81" i="15"/>
  <c r="AY82" i="15"/>
  <c r="AY83" i="15"/>
  <c r="AY84" i="15"/>
  <c r="AY86" i="15"/>
  <c r="AY87" i="15"/>
  <c r="AY88" i="15"/>
  <c r="AY89" i="15"/>
  <c r="AY90" i="15"/>
  <c r="AY91" i="15"/>
  <c r="AY92" i="15"/>
  <c r="AY93" i="15"/>
  <c r="AY94" i="15"/>
  <c r="AY95" i="15"/>
  <c r="AY97" i="15"/>
  <c r="AY98" i="15"/>
  <c r="AY99" i="15"/>
  <c r="AY100" i="15"/>
  <c r="AY101" i="15"/>
  <c r="AY102" i="15"/>
  <c r="AY103" i="15"/>
  <c r="AY104" i="15"/>
  <c r="AY105" i="15"/>
  <c r="AY106" i="15"/>
  <c r="AY107" i="15"/>
  <c r="AY112" i="15"/>
  <c r="AY113" i="15"/>
  <c r="AY114" i="15"/>
  <c r="AY42" i="13"/>
  <c r="AY49" i="13"/>
  <c r="AY61" i="13"/>
  <c r="AY71" i="13"/>
  <c r="AY73" i="13"/>
  <c r="AY75" i="13"/>
  <c r="AY77" i="13"/>
  <c r="AY79" i="13"/>
  <c r="AY81" i="13"/>
  <c r="AY83" i="13"/>
  <c r="AY85" i="13"/>
  <c r="AY87" i="13"/>
  <c r="AY89" i="13"/>
  <c r="AY91" i="13"/>
  <c r="AY93" i="13"/>
  <c r="AY95" i="13"/>
  <c r="AY98" i="13"/>
  <c r="AY100" i="13"/>
  <c r="AY102" i="13"/>
  <c r="AY104" i="13"/>
  <c r="AY106" i="13"/>
  <c r="AY110" i="13"/>
  <c r="AY112" i="13"/>
  <c r="AY114" i="13"/>
  <c r="AY116" i="13"/>
  <c r="AY118" i="13"/>
  <c r="AY120" i="13"/>
  <c r="AY122" i="13"/>
  <c r="AY124" i="13"/>
  <c r="AY126" i="13"/>
  <c r="AY128" i="13"/>
  <c r="AY130" i="13"/>
  <c r="AY132" i="13"/>
  <c r="AY134" i="13"/>
  <c r="AY136" i="13"/>
  <c r="AY138" i="13"/>
  <c r="AY140" i="13"/>
  <c r="AY142" i="13"/>
  <c r="AY144" i="13"/>
  <c r="AY146" i="13"/>
  <c r="AY148" i="13"/>
  <c r="AY151" i="13"/>
  <c r="AY155" i="13"/>
  <c r="AY157" i="13"/>
  <c r="AY159" i="13"/>
  <c r="AY161" i="13"/>
  <c r="AY165" i="13"/>
  <c r="AY171" i="13"/>
  <c r="AY173" i="13"/>
  <c r="AY175" i="13"/>
  <c r="AY177" i="13"/>
  <c r="AY179" i="13"/>
  <c r="AY181" i="13"/>
  <c r="AY183" i="13"/>
  <c r="AY185" i="13"/>
  <c r="AY187" i="13"/>
  <c r="AY189" i="13"/>
  <c r="AY191" i="13"/>
  <c r="AY193" i="13"/>
  <c r="AY195" i="13"/>
  <c r="AY197" i="13"/>
  <c r="AY199" i="13"/>
  <c r="AY201" i="13"/>
  <c r="AY206" i="13"/>
  <c r="AY208" i="13"/>
  <c r="AY210" i="13"/>
  <c r="AY214" i="13"/>
  <c r="AY216" i="13"/>
  <c r="AY218" i="13"/>
  <c r="AY220" i="13"/>
  <c r="AY222" i="13"/>
  <c r="AY224" i="13"/>
  <c r="AY226" i="13"/>
  <c r="AY236" i="13"/>
  <c r="AY231" i="13"/>
  <c r="AY233" i="13"/>
  <c r="AY235" i="13"/>
  <c r="AC12" i="9"/>
  <c r="AY222" i="15"/>
  <c r="AY65" i="13"/>
  <c r="AY67" i="13"/>
  <c r="AY75" i="15"/>
  <c r="AY228" i="15"/>
  <c r="AY228" i="13"/>
  <c r="AY74" i="15"/>
  <c r="AY62" i="15"/>
  <c r="AY161" i="15"/>
  <c r="AY177" i="15"/>
  <c r="AY153" i="13"/>
  <c r="AY78" i="15"/>
  <c r="AY230" i="15"/>
  <c r="AY229" i="15"/>
  <c r="AY229" i="13"/>
  <c r="AY223" i="15"/>
  <c r="AY215" i="15"/>
  <c r="AY214" i="15"/>
  <c r="AY212" i="15"/>
  <c r="AY212" i="13"/>
  <c r="AY205" i="15"/>
  <c r="AY204" i="15"/>
  <c r="AY204" i="13"/>
  <c r="AY199" i="15"/>
  <c r="AY194" i="13"/>
  <c r="AY182" i="15"/>
  <c r="AY178" i="15"/>
  <c r="AY176" i="15"/>
  <c r="AY176" i="13"/>
  <c r="AY169" i="13"/>
  <c r="AY168" i="15"/>
  <c r="AY167" i="13"/>
  <c r="AY163" i="15"/>
  <c r="AY163" i="13"/>
  <c r="AY160" i="15"/>
  <c r="AY154" i="15"/>
  <c r="AY151" i="15"/>
  <c r="AY147" i="15"/>
  <c r="AY147" i="13"/>
  <c r="AY139" i="15"/>
  <c r="AY134" i="15"/>
  <c r="AY131" i="15"/>
  <c r="AY130" i="15"/>
  <c r="AY129" i="15"/>
  <c r="AY128" i="15"/>
  <c r="AY125" i="15"/>
  <c r="AY118" i="15"/>
  <c r="AY63" i="15"/>
  <c r="AY63" i="13"/>
  <c r="AY116" i="15"/>
  <c r="AY115" i="15"/>
  <c r="AY115" i="13"/>
  <c r="AY110" i="15"/>
  <c r="AY109" i="15"/>
  <c r="AY109" i="13"/>
  <c r="AY105" i="13"/>
  <c r="AY103" i="13"/>
  <c r="AY97" i="13"/>
  <c r="AY88" i="13"/>
  <c r="AY85" i="15"/>
  <c r="AY79" i="15"/>
  <c r="AY76" i="15"/>
  <c r="AY69" i="13"/>
  <c r="AY67" i="15"/>
  <c r="AY58" i="13"/>
  <c r="AY59" i="13"/>
  <c r="AY48" i="13"/>
  <c r="AY57" i="13"/>
  <c r="AY55" i="13"/>
  <c r="AY50" i="13"/>
  <c r="AY51" i="13"/>
  <c r="AY53" i="13"/>
  <c r="AY54" i="13"/>
  <c r="AY40" i="13"/>
  <c r="AA12" i="9"/>
  <c r="BM231" i="15"/>
  <c r="BM232" i="15"/>
  <c r="BM233" i="15"/>
  <c r="BM234" i="15"/>
  <c r="BN248" i="6"/>
  <c r="W248" i="6"/>
  <c r="AZ248" i="6"/>
  <c r="W246" i="6"/>
  <c r="BM243" i="14"/>
  <c r="BM241" i="14"/>
  <c r="AS243" i="14"/>
  <c r="AS241" i="14"/>
  <c r="W243" i="14"/>
  <c r="W241" i="14"/>
  <c r="AZ246" i="6" l="1"/>
  <c r="BN246" i="6"/>
  <c r="AS125" i="14" l="1"/>
  <c r="W125" i="14"/>
  <c r="AF85" i="10" l="1"/>
  <c r="AA231" i="8"/>
  <c r="AA230" i="8"/>
  <c r="AA229" i="8"/>
  <c r="AA228" i="8"/>
  <c r="AA226" i="8"/>
  <c r="AA225" i="8"/>
  <c r="AA224" i="8"/>
  <c r="AA223" i="8"/>
  <c r="AA222" i="8"/>
  <c r="AA221" i="8"/>
  <c r="AA220" i="8"/>
  <c r="AA219" i="8"/>
  <c r="AA218" i="8"/>
  <c r="AA217" i="8"/>
  <c r="AA216" i="8"/>
  <c r="AA215" i="8"/>
  <c r="AA214" i="8"/>
  <c r="AA213" i="8"/>
  <c r="AA212" i="8"/>
  <c r="AA211" i="8"/>
  <c r="AA210" i="8"/>
  <c r="AA208" i="8"/>
  <c r="AA207" i="8"/>
  <c r="AA206" i="8"/>
  <c r="AA205" i="8"/>
  <c r="AA204" i="8"/>
  <c r="AC204" i="8" s="1"/>
  <c r="AA203" i="8"/>
  <c r="AA202" i="8"/>
  <c r="AA201" i="8"/>
  <c r="AA200" i="8"/>
  <c r="AA199" i="8"/>
  <c r="AA198" i="8"/>
  <c r="AA197" i="8"/>
  <c r="AA196" i="8"/>
  <c r="AA195" i="8"/>
  <c r="AA194" i="8"/>
  <c r="AA193" i="8"/>
  <c r="AA192" i="8"/>
  <c r="AA191" i="8"/>
  <c r="AA190" i="8"/>
  <c r="AA189" i="8"/>
  <c r="AA188" i="8"/>
  <c r="AA186" i="8"/>
  <c r="AA185" i="8"/>
  <c r="AA184" i="8"/>
  <c r="AA183" i="8"/>
  <c r="AA182" i="8"/>
  <c r="AA181" i="8"/>
  <c r="AA180" i="8"/>
  <c r="AA179" i="8"/>
  <c r="AA178" i="8"/>
  <c r="AA177" i="8"/>
  <c r="AA176" i="8"/>
  <c r="AA175" i="8"/>
  <c r="AA174" i="8"/>
  <c r="AA173" i="8"/>
  <c r="AA172" i="8"/>
  <c r="AA171" i="8"/>
  <c r="AA170" i="8"/>
  <c r="AA169" i="8"/>
  <c r="AA167" i="8"/>
  <c r="AA166" i="8"/>
  <c r="AA164" i="8"/>
  <c r="AA163" i="8"/>
  <c r="AA162" i="8"/>
  <c r="AC161" i="8"/>
  <c r="AA160" i="8"/>
  <c r="AA159" i="8"/>
  <c r="AA158" i="8"/>
  <c r="AA157" i="8"/>
  <c r="AC157" i="8" s="1"/>
  <c r="AF126" i="10"/>
  <c r="AA121" i="8"/>
  <c r="AF115" i="10"/>
  <c r="AR210" i="5"/>
  <c r="W199" i="6"/>
  <c r="W198" i="6"/>
  <c r="W197" i="6"/>
  <c r="W196" i="6"/>
  <c r="W195" i="6"/>
  <c r="AZ195" i="6"/>
  <c r="W194" i="6"/>
  <c r="W193" i="6"/>
  <c r="W192" i="6"/>
  <c r="W191" i="6"/>
  <c r="W190" i="6"/>
  <c r="W189" i="6"/>
  <c r="W188" i="6"/>
  <c r="W187" i="6"/>
  <c r="W186" i="6"/>
  <c r="W185" i="6"/>
  <c r="W184" i="6"/>
  <c r="W183" i="6"/>
  <c r="W182" i="6"/>
  <c r="W181" i="6"/>
  <c r="AZ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W167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W150" i="6"/>
  <c r="W149" i="6"/>
  <c r="W148" i="6"/>
  <c r="W147" i="6"/>
  <c r="W146" i="6"/>
  <c r="W145" i="6"/>
  <c r="W144" i="6"/>
  <c r="W143" i="6"/>
  <c r="W142" i="6"/>
  <c r="W141" i="6"/>
  <c r="W140" i="6"/>
  <c r="W139" i="6"/>
  <c r="W138" i="6"/>
  <c r="W137" i="6"/>
  <c r="W136" i="6"/>
  <c r="W135" i="6"/>
  <c r="W134" i="6"/>
  <c r="W133" i="6"/>
  <c r="W132" i="6"/>
  <c r="W131" i="6"/>
  <c r="W130" i="6"/>
  <c r="W129" i="6"/>
  <c r="W128" i="6"/>
  <c r="W127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0" i="6"/>
  <c r="W99" i="6"/>
  <c r="W250" i="6"/>
  <c r="W249" i="6"/>
  <c r="W245" i="6"/>
  <c r="W244" i="6"/>
  <c r="W243" i="6"/>
  <c r="W242" i="6"/>
  <c r="W241" i="6"/>
  <c r="W240" i="6"/>
  <c r="W239" i="6"/>
  <c r="W238" i="6"/>
  <c r="W237" i="6"/>
  <c r="W236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W210" i="6"/>
  <c r="W209" i="6"/>
  <c r="W208" i="6"/>
  <c r="W207" i="6"/>
  <c r="AZ207" i="6"/>
  <c r="AZ199" i="6"/>
  <c r="AZ198" i="6"/>
  <c r="AZ197" i="6"/>
  <c r="AZ196" i="6"/>
  <c r="AJ195" i="6"/>
  <c r="AT195" i="6" s="1"/>
  <c r="AZ194" i="6"/>
  <c r="AZ193" i="6"/>
  <c r="AZ192" i="6"/>
  <c r="AZ191" i="6"/>
  <c r="AZ190" i="6"/>
  <c r="AZ189" i="6"/>
  <c r="AZ188" i="6"/>
  <c r="AZ187" i="6"/>
  <c r="AZ185" i="6"/>
  <c r="AZ184" i="6"/>
  <c r="AZ183" i="6"/>
  <c r="AZ182" i="6"/>
  <c r="AZ180" i="6"/>
  <c r="AZ179" i="6"/>
  <c r="AZ178" i="6"/>
  <c r="AZ177" i="6"/>
  <c r="AZ176" i="6"/>
  <c r="AZ175" i="6"/>
  <c r="AZ174" i="6"/>
  <c r="AZ173" i="6"/>
  <c r="AZ172" i="6"/>
  <c r="AZ171" i="6"/>
  <c r="AZ170" i="6"/>
  <c r="AZ169" i="6"/>
  <c r="AZ167" i="6"/>
  <c r="AZ166" i="6"/>
  <c r="AZ165" i="6"/>
  <c r="AZ164" i="6"/>
  <c r="AZ163" i="6"/>
  <c r="AZ162" i="6"/>
  <c r="AZ161" i="6"/>
  <c r="AZ160" i="6"/>
  <c r="AZ159" i="6"/>
  <c r="AZ158" i="6"/>
  <c r="AZ157" i="6"/>
  <c r="AZ156" i="6"/>
  <c r="AZ155" i="6"/>
  <c r="AZ154" i="6"/>
  <c r="AZ153" i="6"/>
  <c r="AZ152" i="6"/>
  <c r="AZ151" i="6"/>
  <c r="AZ150" i="6"/>
  <c r="AZ149" i="6"/>
  <c r="AZ148" i="6"/>
  <c r="AZ147" i="6"/>
  <c r="AZ146" i="6"/>
  <c r="AZ145" i="6"/>
  <c r="AZ144" i="6"/>
  <c r="AZ143" i="6"/>
  <c r="AZ142" i="6"/>
  <c r="AZ141" i="6"/>
  <c r="AZ139" i="6"/>
  <c r="AZ138" i="6"/>
  <c r="AZ137" i="6"/>
  <c r="AZ136" i="6"/>
  <c r="AZ135" i="6"/>
  <c r="AZ134" i="6"/>
  <c r="AZ133" i="6"/>
  <c r="AZ132" i="6"/>
  <c r="AZ131" i="6"/>
  <c r="AZ130" i="6"/>
  <c r="AZ129" i="6"/>
  <c r="AZ127" i="6"/>
  <c r="AZ113" i="6"/>
  <c r="AZ112" i="6"/>
  <c r="AZ111" i="6"/>
  <c r="AZ110" i="6"/>
  <c r="AZ109" i="6"/>
  <c r="AZ106" i="6"/>
  <c r="AZ105" i="6"/>
  <c r="AZ104" i="6"/>
  <c r="AZ103" i="6"/>
  <c r="AZ102" i="6"/>
  <c r="AZ100" i="6"/>
  <c r="AZ99" i="6"/>
  <c r="AZ250" i="6"/>
  <c r="AZ249" i="6"/>
  <c r="AZ245" i="6"/>
  <c r="AZ244" i="6"/>
  <c r="AZ243" i="6"/>
  <c r="AZ242" i="6"/>
  <c r="AZ241" i="6"/>
  <c r="AZ239" i="6"/>
  <c r="AZ238" i="6"/>
  <c r="AZ237" i="6"/>
  <c r="AZ236" i="6"/>
  <c r="AZ234" i="6"/>
  <c r="AZ233" i="6"/>
  <c r="AZ232" i="6"/>
  <c r="AZ231" i="6"/>
  <c r="AZ230" i="6"/>
  <c r="AZ229" i="6"/>
  <c r="AZ228" i="6"/>
  <c r="AZ227" i="6"/>
  <c r="AZ226" i="6"/>
  <c r="AZ225" i="6"/>
  <c r="AZ224" i="6"/>
  <c r="AZ223" i="6"/>
  <c r="AZ222" i="6"/>
  <c r="AZ221" i="6"/>
  <c r="AZ220" i="6"/>
  <c r="AZ219" i="6"/>
  <c r="AZ218" i="6"/>
  <c r="AZ217" i="6"/>
  <c r="AZ216" i="6"/>
  <c r="AZ215" i="6"/>
  <c r="AZ214" i="6"/>
  <c r="AZ213" i="6"/>
  <c r="AZ212" i="6"/>
  <c r="AZ211" i="6"/>
  <c r="AZ210" i="6"/>
  <c r="AZ209" i="6"/>
  <c r="AZ208" i="6"/>
  <c r="AS245" i="14"/>
  <c r="AS244" i="14"/>
  <c r="AS240" i="14"/>
  <c r="AS239" i="14"/>
  <c r="AS238" i="14"/>
  <c r="AS237" i="14"/>
  <c r="AS236" i="14"/>
  <c r="AS235" i="14"/>
  <c r="AS234" i="14"/>
  <c r="AS233" i="14"/>
  <c r="AS232" i="14"/>
  <c r="AS231" i="14"/>
  <c r="AS230" i="14"/>
  <c r="AS229" i="14"/>
  <c r="AS227" i="14"/>
  <c r="AS226" i="14"/>
  <c r="AS225" i="14"/>
  <c r="AS224" i="14"/>
  <c r="AS223" i="14"/>
  <c r="AS221" i="14"/>
  <c r="AS220" i="14"/>
  <c r="AS219" i="14"/>
  <c r="AS218" i="14"/>
  <c r="AS217" i="14"/>
  <c r="AS216" i="14"/>
  <c r="AS215" i="14"/>
  <c r="AS214" i="14"/>
  <c r="AS213" i="14"/>
  <c r="AS212" i="14"/>
  <c r="AS211" i="14"/>
  <c r="AS210" i="14"/>
  <c r="AS209" i="14"/>
  <c r="AS208" i="14"/>
  <c r="AS207" i="14"/>
  <c r="AS206" i="14"/>
  <c r="AS205" i="14"/>
  <c r="AS204" i="14"/>
  <c r="AS203" i="14"/>
  <c r="AS202" i="14"/>
  <c r="AS201" i="14"/>
  <c r="AS200" i="14"/>
  <c r="AS199" i="14"/>
  <c r="AS198" i="14"/>
  <c r="AS197" i="14"/>
  <c r="AS196" i="14"/>
  <c r="AS194" i="14"/>
  <c r="AS193" i="14"/>
  <c r="AS192" i="14"/>
  <c r="AS191" i="14"/>
  <c r="AS190" i="14"/>
  <c r="AS189" i="14"/>
  <c r="AS187" i="14"/>
  <c r="AS186" i="14"/>
  <c r="AS185" i="14"/>
  <c r="AS184" i="14"/>
  <c r="AS183" i="14"/>
  <c r="AS182" i="14"/>
  <c r="AS181" i="14"/>
  <c r="AS180" i="14"/>
  <c r="AS178" i="14"/>
  <c r="AS177" i="14"/>
  <c r="AS176" i="14"/>
  <c r="AS175" i="14"/>
  <c r="AS174" i="14"/>
  <c r="AS173" i="14"/>
  <c r="AS172" i="14"/>
  <c r="AS171" i="14"/>
  <c r="AS170" i="14"/>
  <c r="AS169" i="14"/>
  <c r="AS168" i="14"/>
  <c r="AS167" i="14"/>
  <c r="AS166" i="14"/>
  <c r="AS165" i="14"/>
  <c r="AS164" i="14"/>
  <c r="AS163" i="14"/>
  <c r="AS161" i="14"/>
  <c r="AS160" i="14"/>
  <c r="AS159" i="14"/>
  <c r="AS158" i="14"/>
  <c r="AS157" i="14"/>
  <c r="AS156" i="14"/>
  <c r="AS155" i="14"/>
  <c r="AS154" i="14"/>
  <c r="AS153" i="14"/>
  <c r="AS152" i="14"/>
  <c r="AS151" i="14"/>
  <c r="AS150" i="14"/>
  <c r="AS149" i="14"/>
  <c r="AS148" i="14"/>
  <c r="AS147" i="14"/>
  <c r="AS146" i="14"/>
  <c r="AS145" i="14"/>
  <c r="AS144" i="14"/>
  <c r="AS143" i="14"/>
  <c r="AS142" i="14"/>
  <c r="AS141" i="14"/>
  <c r="AS140" i="14"/>
  <c r="AS139" i="14"/>
  <c r="AS138" i="14"/>
  <c r="AS137" i="14"/>
  <c r="AS136" i="14"/>
  <c r="AS135" i="14"/>
  <c r="AS134" i="14"/>
  <c r="AS133" i="14"/>
  <c r="AS132" i="14"/>
  <c r="AS131" i="14"/>
  <c r="AS130" i="14"/>
  <c r="AS129" i="14"/>
  <c r="AS128" i="14"/>
  <c r="AS127" i="14"/>
  <c r="AS126" i="14"/>
  <c r="AS124" i="14"/>
  <c r="AS123" i="14"/>
  <c r="AS122" i="14"/>
  <c r="AS121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7" i="14"/>
  <c r="AS96" i="14"/>
  <c r="AS95" i="14"/>
  <c r="AS94" i="14"/>
  <c r="AS93" i="14"/>
  <c r="AS92" i="14"/>
  <c r="W245" i="14"/>
  <c r="W244" i="14"/>
  <c r="W240" i="14"/>
  <c r="W239" i="14"/>
  <c r="W238" i="14"/>
  <c r="W237" i="14"/>
  <c r="W236" i="14"/>
  <c r="W235" i="14"/>
  <c r="W234" i="14"/>
  <c r="W233" i="14"/>
  <c r="W232" i="14"/>
  <c r="W231" i="14"/>
  <c r="W230" i="14"/>
  <c r="W229" i="14"/>
  <c r="W227" i="14"/>
  <c r="W226" i="14"/>
  <c r="W225" i="14"/>
  <c r="W224" i="14"/>
  <c r="W223" i="14"/>
  <c r="W221" i="14"/>
  <c r="W220" i="14"/>
  <c r="W219" i="14"/>
  <c r="W218" i="14"/>
  <c r="W217" i="14"/>
  <c r="W216" i="14"/>
  <c r="W215" i="14"/>
  <c r="W214" i="14"/>
  <c r="W213" i="14"/>
  <c r="W212" i="14"/>
  <c r="W211" i="14"/>
  <c r="W210" i="14"/>
  <c r="W209" i="14"/>
  <c r="W208" i="14"/>
  <c r="W207" i="14"/>
  <c r="W206" i="14"/>
  <c r="W205" i="14"/>
  <c r="W204" i="14"/>
  <c r="W203" i="14"/>
  <c r="W202" i="14"/>
  <c r="W201" i="14"/>
  <c r="W200" i="14"/>
  <c r="W199" i="14"/>
  <c r="W198" i="14"/>
  <c r="W197" i="14"/>
  <c r="W196" i="14"/>
  <c r="W195" i="14"/>
  <c r="W194" i="14"/>
  <c r="W193" i="14"/>
  <c r="W192" i="14"/>
  <c r="W191" i="14"/>
  <c r="W190" i="14"/>
  <c r="W189" i="14"/>
  <c r="W187" i="14"/>
  <c r="W186" i="14"/>
  <c r="W185" i="14"/>
  <c r="W184" i="14"/>
  <c r="W183" i="14"/>
  <c r="W182" i="14"/>
  <c r="W181" i="14"/>
  <c r="W180" i="14"/>
  <c r="W179" i="14"/>
  <c r="W178" i="14"/>
  <c r="W177" i="14"/>
  <c r="W176" i="14"/>
  <c r="W175" i="14"/>
  <c r="W174" i="14"/>
  <c r="W173" i="14"/>
  <c r="W172" i="14"/>
  <c r="W171" i="14"/>
  <c r="W170" i="14"/>
  <c r="W169" i="14"/>
  <c r="W168" i="14"/>
  <c r="W167" i="14"/>
  <c r="W166" i="14"/>
  <c r="W165" i="14"/>
  <c r="W164" i="14"/>
  <c r="W163" i="14"/>
  <c r="W161" i="14"/>
  <c r="W159" i="14"/>
  <c r="W158" i="14"/>
  <c r="W157" i="14"/>
  <c r="W156" i="14"/>
  <c r="W155" i="14"/>
  <c r="W154" i="14"/>
  <c r="W153" i="14"/>
  <c r="W152" i="14"/>
  <c r="W151" i="14"/>
  <c r="W149" i="14"/>
  <c r="W148" i="14"/>
  <c r="W147" i="14"/>
  <c r="W146" i="14"/>
  <c r="W145" i="14"/>
  <c r="W144" i="14"/>
  <c r="W143" i="14"/>
  <c r="W142" i="14"/>
  <c r="W141" i="14"/>
  <c r="W140" i="14"/>
  <c r="W139" i="14"/>
  <c r="W138" i="14"/>
  <c r="W137" i="14"/>
  <c r="W136" i="14"/>
  <c r="W135" i="14"/>
  <c r="W134" i="14"/>
  <c r="W133" i="14"/>
  <c r="W132" i="14"/>
  <c r="W131" i="14"/>
  <c r="W130" i="14"/>
  <c r="W129" i="14"/>
  <c r="W128" i="14"/>
  <c r="W127" i="14"/>
  <c r="W126" i="14"/>
  <c r="W124" i="14"/>
  <c r="W123" i="14"/>
  <c r="W122" i="14"/>
  <c r="W121" i="14"/>
  <c r="W109" i="14"/>
  <c r="W108" i="14"/>
  <c r="W107" i="14"/>
  <c r="W106" i="14"/>
  <c r="W105" i="14"/>
  <c r="W104" i="14"/>
  <c r="W103" i="14"/>
  <c r="W102" i="14"/>
  <c r="W101" i="14"/>
  <c r="W100" i="14"/>
  <c r="W99" i="14"/>
  <c r="W97" i="14"/>
  <c r="W96" i="14"/>
  <c r="W95" i="14"/>
  <c r="W94" i="14"/>
  <c r="W93" i="14"/>
  <c r="W92" i="14"/>
  <c r="BN64" i="6"/>
  <c r="AZ240" i="6" l="1"/>
  <c r="AZ107" i="6"/>
  <c r="AR201" i="5"/>
  <c r="AR156" i="5"/>
  <c r="AC201" i="8"/>
  <c r="AR231" i="5"/>
  <c r="AR230" i="5"/>
  <c r="AR229" i="5"/>
  <c r="AR228" i="5"/>
  <c r="AR226" i="5"/>
  <c r="AR225" i="5"/>
  <c r="AR224" i="5"/>
  <c r="AR223" i="5"/>
  <c r="AR222" i="5"/>
  <c r="AR221" i="5"/>
  <c r="AR220" i="5"/>
  <c r="AR219" i="5"/>
  <c r="AR218" i="5"/>
  <c r="AC218" i="8"/>
  <c r="AR217" i="5"/>
  <c r="AR216" i="5"/>
  <c r="AR215" i="5"/>
  <c r="AR214" i="5"/>
  <c r="AR213" i="5"/>
  <c r="AR212" i="5"/>
  <c r="AR211" i="5"/>
  <c r="AR208" i="5"/>
  <c r="AR207" i="5"/>
  <c r="AR206" i="5"/>
  <c r="AR205" i="5"/>
  <c r="AR204" i="5"/>
  <c r="AR203" i="5"/>
  <c r="AR202" i="5"/>
  <c r="AR200" i="5"/>
  <c r="AR199" i="5"/>
  <c r="AR198" i="5"/>
  <c r="AR197" i="5"/>
  <c r="AR196" i="5"/>
  <c r="AR195" i="5"/>
  <c r="AR194" i="5"/>
  <c r="AR193" i="5"/>
  <c r="AR192" i="5"/>
  <c r="AR191" i="5"/>
  <c r="AR190" i="5"/>
  <c r="AR188" i="5"/>
  <c r="AR189" i="5"/>
  <c r="AR187" i="5"/>
  <c r="AZ186" i="6"/>
  <c r="AR185" i="5"/>
  <c r="AR183" i="5"/>
  <c r="AR182" i="5"/>
  <c r="AR184" i="5"/>
  <c r="AR181" i="5"/>
  <c r="AR179" i="5"/>
  <c r="AR180" i="5"/>
  <c r="AR178" i="5"/>
  <c r="AR177" i="5"/>
  <c r="AR176" i="5"/>
  <c r="AR175" i="5"/>
  <c r="AR174" i="5"/>
  <c r="AR173" i="5"/>
  <c r="AR172" i="5"/>
  <c r="AR171" i="5"/>
  <c r="AR170" i="5"/>
  <c r="AR169" i="5"/>
  <c r="AR167" i="5"/>
  <c r="AR166" i="5"/>
  <c r="AR164" i="5"/>
  <c r="AR163" i="5"/>
  <c r="AR162" i="5"/>
  <c r="AR161" i="5"/>
  <c r="AR160" i="5"/>
  <c r="AR159" i="5"/>
  <c r="AR158" i="5"/>
  <c r="AR157" i="5"/>
  <c r="AR140" i="5"/>
  <c r="AZ140" i="6"/>
  <c r="AZ128" i="6"/>
  <c r="AZ108" i="6"/>
  <c r="W30" i="14" l="1"/>
  <c r="W31" i="14"/>
  <c r="W32" i="14"/>
  <c r="W33" i="14"/>
  <c r="W34" i="14"/>
  <c r="W35" i="14"/>
  <c r="W36" i="14"/>
  <c r="W37" i="14"/>
  <c r="AJ91" i="6" l="1"/>
  <c r="AA70" i="8"/>
  <c r="AA69" i="8"/>
  <c r="AA68" i="8"/>
  <c r="AA67" i="8"/>
  <c r="AA65" i="8"/>
  <c r="AA64" i="8"/>
  <c r="AA63" i="8"/>
  <c r="AA62" i="8"/>
  <c r="AA61" i="8"/>
  <c r="AA60" i="8"/>
  <c r="AA59" i="8"/>
  <c r="AA58" i="8"/>
  <c r="AA57" i="8"/>
  <c r="AA56" i="8"/>
  <c r="AA55" i="8"/>
  <c r="AA54" i="8"/>
  <c r="AA53" i="8"/>
  <c r="AA52" i="8"/>
  <c r="AA51" i="8"/>
  <c r="AA50" i="8"/>
  <c r="AA49" i="8"/>
  <c r="AA47" i="8"/>
  <c r="AC47" i="8" s="1"/>
  <c r="AA46" i="8"/>
  <c r="AC46" i="8" s="1"/>
  <c r="AA45" i="8"/>
  <c r="AC45" i="8" s="1"/>
  <c r="AA43" i="8"/>
  <c r="AC43" i="8" s="1"/>
  <c r="AA41" i="8"/>
  <c r="AC41" i="8" s="1"/>
  <c r="AA40" i="8"/>
  <c r="AC40" i="8" s="1"/>
  <c r="AA39" i="8"/>
  <c r="AC39" i="8" s="1"/>
  <c r="AA38" i="8"/>
  <c r="AC38" i="8" s="1"/>
  <c r="AA37" i="8"/>
  <c r="AC37" i="8" s="1"/>
  <c r="AA36" i="8"/>
  <c r="AC36" i="8" s="1"/>
  <c r="AA35" i="8"/>
  <c r="AA34" i="8"/>
  <c r="AA33" i="8"/>
  <c r="AC33" i="8" s="1"/>
  <c r="AA32" i="8"/>
  <c r="AC32" i="8" s="1"/>
  <c r="AA31" i="8"/>
  <c r="AC31" i="8" s="1"/>
  <c r="AA30" i="8"/>
  <c r="AA29" i="8"/>
  <c r="AA28" i="8"/>
  <c r="AA27" i="8"/>
  <c r="AA26" i="8"/>
  <c r="AA25" i="8"/>
  <c r="AA24" i="8"/>
  <c r="AC24" i="8" s="1"/>
  <c r="AA23" i="8"/>
  <c r="BM19" i="14"/>
  <c r="BM29" i="15" l="1"/>
  <c r="AI29" i="15"/>
  <c r="AS29" i="15" s="1"/>
  <c r="W29" i="15"/>
  <c r="BM48" i="13"/>
  <c r="BM40" i="13"/>
  <c r="BM54" i="14"/>
  <c r="AS54" i="14"/>
  <c r="W54" i="14"/>
  <c r="BM53" i="14"/>
  <c r="AS53" i="14"/>
  <c r="W53" i="14"/>
  <c r="BM52" i="14"/>
  <c r="AS52" i="14"/>
  <c r="BM51" i="14"/>
  <c r="AS51" i="14"/>
  <c r="W51" i="14"/>
  <c r="BM50" i="14"/>
  <c r="AS50" i="14"/>
  <c r="W50" i="14"/>
  <c r="BM49" i="14"/>
  <c r="AS49" i="14"/>
  <c r="W49" i="14"/>
  <c r="BM48" i="14"/>
  <c r="AS48" i="14"/>
  <c r="W48" i="14"/>
  <c r="BM47" i="14"/>
  <c r="AS47" i="14"/>
  <c r="W47" i="14"/>
  <c r="BM46" i="14"/>
  <c r="AS46" i="14"/>
  <c r="W46" i="14"/>
  <c r="BM45" i="14"/>
  <c r="AS45" i="14"/>
  <c r="W45" i="14"/>
  <c r="BM44" i="14"/>
  <c r="AS44" i="14"/>
  <c r="W44" i="14"/>
  <c r="BM42" i="14"/>
  <c r="AS42" i="14"/>
  <c r="W42" i="14"/>
  <c r="BM41" i="14"/>
  <c r="AS41" i="14"/>
  <c r="W41" i="14"/>
  <c r="BM40" i="14"/>
  <c r="AS40" i="14"/>
  <c r="W40" i="14"/>
  <c r="BM39" i="14"/>
  <c r="AS39" i="14"/>
  <c r="W39" i="14"/>
  <c r="BM38" i="14"/>
  <c r="AS38" i="14"/>
  <c r="W38" i="14"/>
  <c r="BM37" i="14"/>
  <c r="AS37" i="14"/>
  <c r="BM36" i="14"/>
  <c r="AS36" i="14"/>
  <c r="BM35" i="14"/>
  <c r="AS35" i="14"/>
  <c r="BM34" i="14"/>
  <c r="AS34" i="14"/>
  <c r="BM33" i="14"/>
  <c r="AS33" i="14"/>
  <c r="BM32" i="14"/>
  <c r="AS32" i="14"/>
  <c r="BM31" i="14"/>
  <c r="AS31" i="14"/>
  <c r="BM30" i="14"/>
  <c r="AS30" i="14"/>
  <c r="BM29" i="14"/>
  <c r="AS29" i="14"/>
  <c r="W29" i="14"/>
  <c r="BM28" i="14"/>
  <c r="AS28" i="14"/>
  <c r="W28" i="14"/>
  <c r="BM27" i="14"/>
  <c r="AS27" i="14"/>
  <c r="W27" i="14"/>
  <c r="BM26" i="14"/>
  <c r="AS26" i="14"/>
  <c r="W26" i="14"/>
  <c r="BM25" i="14"/>
  <c r="AS25" i="14"/>
  <c r="W25" i="14"/>
  <c r="BM24" i="14"/>
  <c r="AS24" i="14"/>
  <c r="W24" i="14"/>
  <c r="BM23" i="14"/>
  <c r="AS23" i="14"/>
  <c r="W23" i="14"/>
  <c r="AY23" i="14"/>
  <c r="BN57" i="6"/>
  <c r="W57" i="6"/>
  <c r="AZ57" i="6"/>
  <c r="BN56" i="6"/>
  <c r="W56" i="6"/>
  <c r="BN55" i="6"/>
  <c r="W55" i="6"/>
  <c r="AZ55" i="6"/>
  <c r="BN54" i="6"/>
  <c r="W54" i="6"/>
  <c r="BN53" i="6"/>
  <c r="W53" i="6"/>
  <c r="BN52" i="6"/>
  <c r="W52" i="6"/>
  <c r="AZ52" i="6"/>
  <c r="BN51" i="6"/>
  <c r="W51" i="6"/>
  <c r="BN50" i="6"/>
  <c r="W50" i="6"/>
  <c r="BN49" i="6"/>
  <c r="W49" i="6"/>
  <c r="AZ49" i="6"/>
  <c r="BN48" i="6"/>
  <c r="W48" i="6"/>
  <c r="AZ48" i="6"/>
  <c r="BN47" i="6"/>
  <c r="W47" i="6"/>
  <c r="BN45" i="6"/>
  <c r="W45" i="6"/>
  <c r="AZ45" i="6"/>
  <c r="BN43" i="6"/>
  <c r="W43" i="6"/>
  <c r="BN42" i="6"/>
  <c r="W42" i="6"/>
  <c r="BN41" i="6"/>
  <c r="W41" i="6"/>
  <c r="BN40" i="6"/>
  <c r="W40" i="6"/>
  <c r="BN39" i="6"/>
  <c r="W39" i="6"/>
  <c r="BN37" i="6"/>
  <c r="W37" i="6"/>
  <c r="AZ37" i="6"/>
  <c r="BN36" i="6"/>
  <c r="W36" i="6"/>
  <c r="BN35" i="6"/>
  <c r="W35" i="6"/>
  <c r="BN34" i="6"/>
  <c r="W34" i="6"/>
  <c r="AZ34" i="6"/>
  <c r="BN33" i="6"/>
  <c r="W33" i="6"/>
  <c r="BN32" i="6"/>
  <c r="W32" i="6"/>
  <c r="AZ32" i="6"/>
  <c r="BN31" i="6"/>
  <c r="W31" i="6"/>
  <c r="AZ31" i="6"/>
  <c r="BN30" i="6"/>
  <c r="W30" i="6"/>
  <c r="BN29" i="6"/>
  <c r="W29" i="6"/>
  <c r="BN28" i="6"/>
  <c r="W28" i="6"/>
  <c r="BN27" i="6"/>
  <c r="W27" i="6"/>
  <c r="W55" i="7"/>
  <c r="Z55" i="7" s="1"/>
  <c r="W54" i="7"/>
  <c r="Z54" i="7" s="1"/>
  <c r="W53" i="7"/>
  <c r="Z53" i="7" s="1"/>
  <c r="W52" i="7"/>
  <c r="Z52" i="7" s="1"/>
  <c r="W51" i="7"/>
  <c r="Z51" i="7" s="1"/>
  <c r="W50" i="7"/>
  <c r="Z50" i="7" s="1"/>
  <c r="W49" i="7"/>
  <c r="Z49" i="7" s="1"/>
  <c r="W48" i="7"/>
  <c r="Z48" i="7" s="1"/>
  <c r="W47" i="7"/>
  <c r="Z47" i="7" s="1"/>
  <c r="W46" i="7"/>
  <c r="Z46" i="7" s="1"/>
  <c r="W45" i="7"/>
  <c r="Z45" i="7" s="1"/>
  <c r="W43" i="7"/>
  <c r="Z43" i="7" s="1"/>
  <c r="W41" i="7"/>
  <c r="Z41" i="7" s="1"/>
  <c r="W40" i="7"/>
  <c r="Z40" i="7" s="1"/>
  <c r="W39" i="7"/>
  <c r="Z39" i="7" s="1"/>
  <c r="W38" i="7"/>
  <c r="Z38" i="7" s="1"/>
  <c r="W37" i="7"/>
  <c r="Z37" i="7" s="1"/>
  <c r="W36" i="7"/>
  <c r="Z36" i="7" s="1"/>
  <c r="W35" i="7"/>
  <c r="Z35" i="7" s="1"/>
  <c r="W34" i="7"/>
  <c r="Z34" i="7" s="1"/>
  <c r="W33" i="7"/>
  <c r="Z33" i="7" s="1"/>
  <c r="W32" i="7"/>
  <c r="Z32" i="7" s="1"/>
  <c r="W31" i="7"/>
  <c r="Z31" i="7" s="1"/>
  <c r="W30" i="7"/>
  <c r="Z30" i="7" s="1"/>
  <c r="W29" i="7"/>
  <c r="Z29" i="7" s="1"/>
  <c r="W28" i="7"/>
  <c r="Z28" i="7" s="1"/>
  <c r="W27" i="7"/>
  <c r="Z27" i="7" s="1"/>
  <c r="W26" i="7"/>
  <c r="Z26" i="7" s="1"/>
  <c r="W25" i="7"/>
  <c r="Z25" i="7" s="1"/>
  <c r="W24" i="7"/>
  <c r="Z24" i="7" s="1"/>
  <c r="AY30" i="14" l="1"/>
  <c r="AY35" i="14"/>
  <c r="AY28" i="14"/>
  <c r="AY29" i="15"/>
  <c r="AY25" i="14"/>
  <c r="AY36" i="14"/>
  <c r="AY40" i="14"/>
  <c r="AY42" i="14"/>
  <c r="AY44" i="14"/>
  <c r="AY45" i="14"/>
  <c r="AY53" i="14"/>
  <c r="AZ27" i="6"/>
  <c r="AZ28" i="6"/>
  <c r="AZ35" i="6"/>
  <c r="AZ36" i="6"/>
  <c r="AZ39" i="6"/>
  <c r="AY41" i="14"/>
  <c r="AY31" i="14"/>
  <c r="AY32" i="14"/>
  <c r="AY24" i="14"/>
  <c r="AY26" i="14"/>
  <c r="AY27" i="14"/>
  <c r="AY29" i="14"/>
  <c r="AY33" i="14"/>
  <c r="AY34" i="14"/>
  <c r="AY37" i="14"/>
  <c r="AY38" i="14"/>
  <c r="AY39" i="14"/>
  <c r="AY46" i="14"/>
  <c r="AY47" i="14"/>
  <c r="AY48" i="14"/>
  <c r="AY49" i="14"/>
  <c r="AY50" i="14"/>
  <c r="AY51" i="14"/>
  <c r="AY52" i="14"/>
  <c r="AY54" i="14"/>
  <c r="AZ53" i="6"/>
  <c r="AZ51" i="6"/>
  <c r="AZ29" i="6"/>
  <c r="AZ33" i="6"/>
  <c r="AZ40" i="6"/>
  <c r="AZ41" i="6"/>
  <c r="AZ42" i="6"/>
  <c r="AZ47" i="6"/>
  <c r="AZ50" i="6"/>
  <c r="AZ54" i="6"/>
  <c r="AZ56" i="6"/>
  <c r="BM65" i="15" l="1"/>
  <c r="W65" i="15"/>
  <c r="BM64" i="15"/>
  <c r="W64" i="15"/>
  <c r="BM63" i="15"/>
  <c r="BM62" i="15"/>
  <c r="W62" i="15"/>
  <c r="BM63" i="13"/>
  <c r="BM62" i="13"/>
  <c r="BM61" i="13"/>
  <c r="BM60" i="13"/>
  <c r="BM59" i="13"/>
  <c r="BM58" i="13"/>
  <c r="Y58" i="13"/>
  <c r="BA58" i="13" s="1"/>
  <c r="BM57" i="13"/>
  <c r="BM65" i="14"/>
  <c r="AS65" i="14"/>
  <c r="W65" i="14"/>
  <c r="AY65" i="14"/>
  <c r="BM64" i="14"/>
  <c r="AS64" i="14"/>
  <c r="W64" i="14"/>
  <c r="AY64" i="14"/>
  <c r="BM63" i="14"/>
  <c r="AS63" i="14"/>
  <c r="W63" i="14"/>
  <c r="AY63" i="14"/>
  <c r="BM62" i="14"/>
  <c r="AS62" i="14"/>
  <c r="W62" i="14"/>
  <c r="AY62" i="14"/>
  <c r="BM61" i="14"/>
  <c r="AS61" i="14"/>
  <c r="W61" i="14"/>
  <c r="AY61" i="14"/>
  <c r="BM60" i="14"/>
  <c r="AS60" i="14"/>
  <c r="W60" i="14"/>
  <c r="AY60" i="14"/>
  <c r="BM59" i="14"/>
  <c r="AS59" i="14"/>
  <c r="Y59" i="14"/>
  <c r="BA59" i="14" s="1"/>
  <c r="W59" i="14"/>
  <c r="AY59" i="14"/>
  <c r="BM58" i="14"/>
  <c r="AS58" i="14"/>
  <c r="W58" i="14"/>
  <c r="AY58" i="14"/>
  <c r="BM57" i="14"/>
  <c r="AS57" i="14"/>
  <c r="AY57" i="14"/>
  <c r="BN68" i="6"/>
  <c r="W68" i="6"/>
  <c r="BN66" i="6"/>
  <c r="W66" i="6"/>
  <c r="BN65" i="6"/>
  <c r="W65" i="6"/>
  <c r="W64" i="6"/>
  <c r="BN63" i="6"/>
  <c r="W63" i="6"/>
  <c r="AZ63" i="6"/>
  <c r="BN62" i="6"/>
  <c r="Z62" i="6"/>
  <c r="BB62" i="6" s="1"/>
  <c r="W62" i="6"/>
  <c r="AZ62" i="6"/>
  <c r="BN61" i="6"/>
  <c r="W61" i="6"/>
  <c r="BN60" i="6"/>
  <c r="W60" i="6"/>
  <c r="BN59" i="6"/>
  <c r="W59" i="6"/>
  <c r="BN58" i="6"/>
  <c r="W58" i="6"/>
  <c r="W67" i="7"/>
  <c r="Z67" i="7" s="1"/>
  <c r="W66" i="7"/>
  <c r="Z66" i="7" s="1"/>
  <c r="W65" i="7"/>
  <c r="Z65" i="7" s="1"/>
  <c r="W64" i="7"/>
  <c r="Z64" i="7" s="1"/>
  <c r="W63" i="7"/>
  <c r="Z63" i="7" s="1"/>
  <c r="W62" i="7"/>
  <c r="Z62" i="7" s="1"/>
  <c r="W61" i="7"/>
  <c r="Z61" i="7" s="1"/>
  <c r="W60" i="7"/>
  <c r="Z60" i="7" s="1"/>
  <c r="W59" i="7"/>
  <c r="Z59" i="7" s="1"/>
  <c r="W58" i="7"/>
  <c r="Z58" i="7" s="1"/>
  <c r="W57" i="7"/>
  <c r="Z57" i="7" s="1"/>
  <c r="AF67" i="10"/>
  <c r="AF66" i="10"/>
  <c r="AZ68" i="6" l="1"/>
  <c r="AZ65" i="6"/>
  <c r="AZ61" i="6"/>
  <c r="AZ64" i="6"/>
  <c r="AZ66" i="6"/>
  <c r="W56" i="7"/>
  <c r="Z56" i="7" s="1"/>
  <c r="AZ58" i="6"/>
  <c r="AZ59" i="6"/>
  <c r="AZ60" i="6"/>
  <c r="BM67" i="15" l="1"/>
  <c r="W75" i="15"/>
  <c r="W228" i="12"/>
  <c r="W226" i="12"/>
  <c r="W225" i="12"/>
  <c r="W224" i="12"/>
  <c r="W223" i="12"/>
  <c r="W222" i="12"/>
  <c r="W221" i="12"/>
  <c r="W218" i="12"/>
  <c r="W217" i="12"/>
  <c r="W216" i="12"/>
  <c r="W215" i="12"/>
  <c r="W214" i="12"/>
  <c r="W212" i="12"/>
  <c r="W211" i="12"/>
  <c r="W210" i="12"/>
  <c r="W209" i="12"/>
  <c r="W208" i="12"/>
  <c r="W207" i="12"/>
  <c r="W206" i="12"/>
  <c r="W205" i="12"/>
  <c r="W204" i="12"/>
  <c r="S203" i="12"/>
  <c r="W203" i="12" s="1"/>
  <c r="W202" i="12"/>
  <c r="W201" i="12"/>
  <c r="W195" i="12"/>
  <c r="W193" i="12"/>
  <c r="W192" i="12"/>
  <c r="W191" i="12"/>
  <c r="W190" i="12"/>
  <c r="W189" i="12"/>
  <c r="W188" i="12"/>
  <c r="W187" i="12"/>
  <c r="W186" i="12"/>
  <c r="W185" i="12"/>
  <c r="W183" i="12"/>
  <c r="W182" i="12"/>
  <c r="W181" i="12"/>
  <c r="W180" i="12"/>
  <c r="W179" i="12"/>
  <c r="W178" i="12"/>
  <c r="W177" i="12"/>
  <c r="W176" i="12"/>
  <c r="W175" i="12"/>
  <c r="W174" i="12"/>
  <c r="W173" i="12"/>
  <c r="W172" i="12"/>
  <c r="W171" i="12"/>
  <c r="W170" i="12"/>
  <c r="W169" i="12"/>
  <c r="W167" i="12"/>
  <c r="W166" i="12"/>
  <c r="W164" i="12"/>
  <c r="W163" i="12"/>
  <c r="W162" i="12"/>
  <c r="W161" i="12"/>
  <c r="W160" i="12"/>
  <c r="W159" i="12"/>
  <c r="W158" i="12"/>
  <c r="W157" i="12"/>
  <c r="BM168" i="15"/>
  <c r="W168" i="15"/>
  <c r="BM167" i="15"/>
  <c r="W167" i="15"/>
  <c r="BM166" i="15"/>
  <c r="W166" i="15"/>
  <c r="BM165" i="15"/>
  <c r="W165" i="15"/>
  <c r="BM164" i="15"/>
  <c r="W164" i="15"/>
  <c r="BM163" i="15"/>
  <c r="W163" i="15"/>
  <c r="BM162" i="15"/>
  <c r="W162" i="15"/>
  <c r="BM161" i="15"/>
  <c r="W161" i="15"/>
  <c r="BM160" i="15"/>
  <c r="W160" i="15"/>
  <c r="BM159" i="15"/>
  <c r="W159" i="15"/>
  <c r="BM158" i="15"/>
  <c r="W158" i="15"/>
  <c r="BM157" i="15"/>
  <c r="W157" i="15"/>
  <c r="BM156" i="15"/>
  <c r="W156" i="15"/>
  <c r="BM155" i="15"/>
  <c r="W155" i="15"/>
  <c r="BM154" i="15"/>
  <c r="W154" i="15"/>
  <c r="BM212" i="13"/>
  <c r="BM211" i="13"/>
  <c r="BM210" i="13"/>
  <c r="BM209" i="13"/>
  <c r="BM208" i="13"/>
  <c r="BM207" i="13"/>
  <c r="BM206" i="13"/>
  <c r="BM205" i="13"/>
  <c r="BM204" i="13"/>
  <c r="BM203" i="13"/>
  <c r="BM202" i="13"/>
  <c r="BM201" i="13"/>
  <c r="BM200" i="13"/>
  <c r="BM199" i="13"/>
  <c r="BM198" i="13"/>
  <c r="BM197" i="13"/>
  <c r="BM196" i="13"/>
  <c r="BM195" i="13"/>
  <c r="BM194" i="13"/>
  <c r="BM192" i="13"/>
  <c r="BM191" i="13"/>
  <c r="BM190" i="13"/>
  <c r="BM189" i="13"/>
  <c r="BM188" i="13"/>
  <c r="BM187" i="13"/>
  <c r="BM186" i="13"/>
  <c r="BM185" i="13"/>
  <c r="BM184" i="13"/>
  <c r="BM183" i="13"/>
  <c r="BM182" i="13"/>
  <c r="BM181" i="13"/>
  <c r="BM180" i="13"/>
  <c r="BM179" i="13"/>
  <c r="BM178" i="13"/>
  <c r="BM177" i="13"/>
  <c r="BM176" i="13"/>
  <c r="BM175" i="13"/>
  <c r="BM174" i="13"/>
  <c r="BM173" i="13"/>
  <c r="BM172" i="13"/>
  <c r="BM171" i="13"/>
  <c r="BM170" i="13"/>
  <c r="BM169" i="13"/>
  <c r="BM168" i="13"/>
  <c r="BM167" i="13"/>
  <c r="BM166" i="13"/>
  <c r="BM165" i="13"/>
  <c r="BM164" i="13"/>
  <c r="BM163" i="13"/>
  <c r="BM162" i="13"/>
  <c r="BM161" i="13"/>
  <c r="BM160" i="13"/>
  <c r="BM159" i="13"/>
  <c r="BM158" i="13"/>
  <c r="BM157" i="13"/>
  <c r="BM156" i="13"/>
  <c r="BM155" i="13"/>
  <c r="BM154" i="13"/>
  <c r="BM153" i="13"/>
  <c r="BM152" i="13"/>
  <c r="BM151" i="13"/>
  <c r="BM150" i="13"/>
  <c r="BM148" i="13"/>
  <c r="BM147" i="13"/>
  <c r="BM213" i="13"/>
  <c r="BM214" i="13"/>
  <c r="BM215" i="13"/>
  <c r="BM216" i="13"/>
  <c r="BM217" i="13"/>
  <c r="BM218" i="13"/>
  <c r="BM219" i="13"/>
  <c r="BM220" i="13"/>
  <c r="BM221" i="13"/>
  <c r="BM222" i="13"/>
  <c r="BM223" i="13"/>
  <c r="BM224" i="13"/>
  <c r="BM225" i="13"/>
  <c r="BM226" i="13"/>
  <c r="BM227" i="13"/>
  <c r="BM228" i="13"/>
  <c r="BM229" i="13"/>
  <c r="BM230" i="13"/>
  <c r="BM231" i="13"/>
  <c r="BM232" i="13"/>
  <c r="BM233" i="13"/>
  <c r="BM235" i="13"/>
  <c r="BM236" i="13"/>
  <c r="E238" i="13"/>
  <c r="K238" i="13"/>
  <c r="W238" i="13"/>
  <c r="AI238" i="13"/>
  <c r="AS238" i="13" s="1"/>
  <c r="BM238" i="13"/>
  <c r="E239" i="13"/>
  <c r="K239" i="13"/>
  <c r="W239" i="13"/>
  <c r="AS239" i="13"/>
  <c r="BM239" i="13"/>
  <c r="E240" i="13"/>
  <c r="K240" i="13"/>
  <c r="AY240" i="13" s="1"/>
  <c r="W240" i="13"/>
  <c r="AI240" i="13"/>
  <c r="AS240" i="13" s="1"/>
  <c r="BM240" i="13"/>
  <c r="E241" i="13"/>
  <c r="K241" i="13"/>
  <c r="W241" i="13"/>
  <c r="AI241" i="13"/>
  <c r="AS241" i="13" s="1"/>
  <c r="BM241" i="13"/>
  <c r="E242" i="13"/>
  <c r="K242" i="13"/>
  <c r="W242" i="13"/>
  <c r="AI242" i="13"/>
  <c r="AS242" i="13" s="1"/>
  <c r="BM242" i="13"/>
  <c r="E243" i="13"/>
  <c r="K243" i="13"/>
  <c r="W243" i="13"/>
  <c r="AI243" i="13"/>
  <c r="AS243" i="13" s="1"/>
  <c r="BM243" i="13"/>
  <c r="E244" i="13"/>
  <c r="K244" i="13"/>
  <c r="AY244" i="13" s="1"/>
  <c r="W244" i="13"/>
  <c r="AI244" i="13"/>
  <c r="BM244" i="13"/>
  <c r="BM223" i="14"/>
  <c r="BM221" i="14"/>
  <c r="BM220" i="14"/>
  <c r="BM219" i="14"/>
  <c r="BM218" i="14"/>
  <c r="BM217" i="14"/>
  <c r="BM216" i="14"/>
  <c r="BM215" i="14"/>
  <c r="BM214" i="14"/>
  <c r="BM213" i="14"/>
  <c r="BM212" i="14"/>
  <c r="BM211" i="14"/>
  <c r="BM210" i="14"/>
  <c r="BM209" i="14"/>
  <c r="BM208" i="14"/>
  <c r="BM207" i="14"/>
  <c r="BM206" i="14"/>
  <c r="BM205" i="14"/>
  <c r="BM204" i="14"/>
  <c r="BM203" i="14"/>
  <c r="BM202" i="14"/>
  <c r="BM201" i="14"/>
  <c r="BM200" i="14"/>
  <c r="BM199" i="14"/>
  <c r="BM198" i="14"/>
  <c r="BM197" i="14"/>
  <c r="BM196" i="14"/>
  <c r="BM195" i="14"/>
  <c r="BM194" i="14"/>
  <c r="BM193" i="14"/>
  <c r="BM192" i="14"/>
  <c r="BM191" i="14"/>
  <c r="BM190" i="14"/>
  <c r="BM189" i="14"/>
  <c r="BM188" i="14"/>
  <c r="AI188" i="14"/>
  <c r="AS188" i="14" s="1"/>
  <c r="W188" i="14"/>
  <c r="BM187" i="14"/>
  <c r="BM186" i="14"/>
  <c r="BM185" i="14"/>
  <c r="BM184" i="14"/>
  <c r="BM183" i="14"/>
  <c r="BM182" i="14"/>
  <c r="BM181" i="14"/>
  <c r="BM180" i="14"/>
  <c r="BM179" i="14"/>
  <c r="BM178" i="14"/>
  <c r="BM177" i="14"/>
  <c r="BM176" i="14"/>
  <c r="BM175" i="14"/>
  <c r="BM174" i="14"/>
  <c r="BM173" i="14"/>
  <c r="BM172" i="14"/>
  <c r="BM171" i="14"/>
  <c r="BM170" i="14"/>
  <c r="BM169" i="14"/>
  <c r="BM168" i="14"/>
  <c r="BM167" i="14"/>
  <c r="BM166" i="14"/>
  <c r="BM165" i="14"/>
  <c r="BM164" i="14"/>
  <c r="BM163" i="14"/>
  <c r="BM161" i="14"/>
  <c r="BM160" i="14"/>
  <c r="BM159" i="14"/>
  <c r="BM158" i="14"/>
  <c r="BM157" i="14"/>
  <c r="BM156" i="14"/>
  <c r="BM155" i="14"/>
  <c r="BN228" i="6"/>
  <c r="BN227" i="6"/>
  <c r="BN226" i="6"/>
  <c r="BN225" i="6"/>
  <c r="BN224" i="6"/>
  <c r="BN223" i="6"/>
  <c r="BN222" i="6"/>
  <c r="BN221" i="6"/>
  <c r="BN220" i="6"/>
  <c r="BN219" i="6"/>
  <c r="BN218" i="6"/>
  <c r="BN217" i="6"/>
  <c r="BN216" i="6"/>
  <c r="BN215" i="6"/>
  <c r="BN214" i="6"/>
  <c r="BN213" i="6"/>
  <c r="BN212" i="6"/>
  <c r="BN211" i="6"/>
  <c r="BN210" i="6"/>
  <c r="BN209" i="6"/>
  <c r="BN208" i="6"/>
  <c r="BN207" i="6"/>
  <c r="BN205" i="6"/>
  <c r="W205" i="6"/>
  <c r="BN204" i="6"/>
  <c r="W204" i="6"/>
  <c r="BN203" i="6"/>
  <c r="W203" i="6"/>
  <c r="BN202" i="6"/>
  <c r="W202" i="6"/>
  <c r="BN201" i="6"/>
  <c r="W201" i="6"/>
  <c r="BN200" i="6"/>
  <c r="W200" i="6"/>
  <c r="BN199" i="6"/>
  <c r="BN198" i="6"/>
  <c r="BN197" i="6"/>
  <c r="BN196" i="6"/>
  <c r="BN195" i="6"/>
  <c r="BN193" i="6"/>
  <c r="BN192" i="6"/>
  <c r="BN191" i="6"/>
  <c r="BN190" i="6"/>
  <c r="BN189" i="6"/>
  <c r="BN188" i="6"/>
  <c r="BN187" i="6"/>
  <c r="BN185" i="6"/>
  <c r="BN184" i="6"/>
  <c r="BN183" i="6"/>
  <c r="BN182" i="6"/>
  <c r="BN181" i="6"/>
  <c r="BN180" i="6"/>
  <c r="BN178" i="6"/>
  <c r="BN177" i="6"/>
  <c r="BN176" i="6"/>
  <c r="BN174" i="6"/>
  <c r="BN173" i="6"/>
  <c r="BN172" i="6"/>
  <c r="BN169" i="6"/>
  <c r="BN167" i="6"/>
  <c r="BN166" i="6"/>
  <c r="BN165" i="6"/>
  <c r="BN164" i="6"/>
  <c r="BN163" i="6"/>
  <c r="BN162" i="6"/>
  <c r="BN161" i="6"/>
  <c r="BN160" i="6"/>
  <c r="W228" i="7"/>
  <c r="Z228" i="7" s="1"/>
  <c r="W226" i="7"/>
  <c r="W225" i="7"/>
  <c r="Z225" i="7" s="1"/>
  <c r="W224" i="7"/>
  <c r="Z224" i="7" s="1"/>
  <c r="W223" i="7"/>
  <c r="W222" i="7"/>
  <c r="W221" i="7"/>
  <c r="W220" i="7"/>
  <c r="W219" i="7"/>
  <c r="W217" i="7"/>
  <c r="Z217" i="7" s="1"/>
  <c r="W216" i="7"/>
  <c r="Z216" i="7" s="1"/>
  <c r="W215" i="7"/>
  <c r="Z215" i="7" s="1"/>
  <c r="W214" i="7"/>
  <c r="Z214" i="7" s="1"/>
  <c r="W213" i="7"/>
  <c r="W212" i="7"/>
  <c r="Z212" i="7" s="1"/>
  <c r="W211" i="7"/>
  <c r="Z211" i="7" s="1"/>
  <c r="W210" i="7"/>
  <c r="Z210" i="7" s="1"/>
  <c r="W209" i="7"/>
  <c r="Z209" i="7" s="1"/>
  <c r="W208" i="7"/>
  <c r="W207" i="7"/>
  <c r="W206" i="7"/>
  <c r="Z206" i="7" s="1"/>
  <c r="W205" i="7"/>
  <c r="Z205" i="7" s="1"/>
  <c r="W203" i="7"/>
  <c r="Z203" i="7" s="1"/>
  <c r="W202" i="7"/>
  <c r="Z202" i="7" s="1"/>
  <c r="W201" i="7"/>
  <c r="Z201" i="7" s="1"/>
  <c r="W200" i="7"/>
  <c r="W199" i="7"/>
  <c r="Z199" i="7" s="1"/>
  <c r="W198" i="7"/>
  <c r="Z198" i="7" s="1"/>
  <c r="W197" i="7"/>
  <c r="Z197" i="7" s="1"/>
  <c r="W196" i="7"/>
  <c r="Z196" i="7" s="1"/>
  <c r="W195" i="7"/>
  <c r="Z195" i="7" s="1"/>
  <c r="W194" i="7"/>
  <c r="Z194" i="7" s="1"/>
  <c r="W193" i="7"/>
  <c r="W192" i="7"/>
  <c r="Z192" i="7" s="1"/>
  <c r="W191" i="7"/>
  <c r="W190" i="7"/>
  <c r="Z190" i="7" s="1"/>
  <c r="W188" i="7"/>
  <c r="Z188" i="7" s="1"/>
  <c r="W187" i="7"/>
  <c r="W186" i="7"/>
  <c r="Z186" i="7" s="1"/>
  <c r="W185" i="7"/>
  <c r="Z185" i="7" s="1"/>
  <c r="W184" i="7"/>
  <c r="W183" i="7"/>
  <c r="Z183" i="7" s="1"/>
  <c r="W182" i="7"/>
  <c r="W181" i="7"/>
  <c r="W180" i="7"/>
  <c r="Z180" i="7" s="1"/>
  <c r="W179" i="7"/>
  <c r="Z179" i="7" s="1"/>
  <c r="Z178" i="7"/>
  <c r="W177" i="7"/>
  <c r="Z177" i="7" s="1"/>
  <c r="W176" i="7"/>
  <c r="Z176" i="7" s="1"/>
  <c r="W175" i="7"/>
  <c r="W174" i="7"/>
  <c r="W173" i="7"/>
  <c r="Z173" i="7" s="1"/>
  <c r="W172" i="7"/>
  <c r="Z172" i="7" s="1"/>
  <c r="W171" i="7"/>
  <c r="W170" i="7"/>
  <c r="W169" i="7"/>
  <c r="Z169" i="7" s="1"/>
  <c r="W167" i="7"/>
  <c r="Z167" i="7" s="1"/>
  <c r="W166" i="7"/>
  <c r="Z166" i="7" s="1"/>
  <c r="W164" i="7"/>
  <c r="Z164" i="7" s="1"/>
  <c r="W163" i="7"/>
  <c r="W162" i="7"/>
  <c r="Z162" i="7" s="1"/>
  <c r="W161" i="7"/>
  <c r="Z161" i="7" s="1"/>
  <c r="W160" i="7"/>
  <c r="Z160" i="7" s="1"/>
  <c r="W159" i="7"/>
  <c r="Z159" i="7" s="1"/>
  <c r="W158" i="7"/>
  <c r="Z158" i="7" s="1"/>
  <c r="W157" i="7"/>
  <c r="Z157" i="7" s="1"/>
  <c r="AC209" i="9"/>
  <c r="AC205" i="8"/>
  <c r="AC203" i="8"/>
  <c r="AC199" i="8"/>
  <c r="AC197" i="8"/>
  <c r="AC196" i="8"/>
  <c r="AC194" i="8"/>
  <c r="AC192" i="8"/>
  <c r="AC190" i="8"/>
  <c r="AC188" i="8"/>
  <c r="AC187" i="8"/>
  <c r="AC186" i="8"/>
  <c r="AC185" i="8"/>
  <c r="AC184" i="8"/>
  <c r="AC182" i="8"/>
  <c r="AC181" i="8"/>
  <c r="AC180" i="8"/>
  <c r="AC179" i="8"/>
  <c r="AC177" i="8"/>
  <c r="AC176" i="8"/>
  <c r="AC174" i="8"/>
  <c r="AC166" i="8"/>
  <c r="AC164" i="8"/>
  <c r="AC163" i="8"/>
  <c r="AC162" i="8"/>
  <c r="AC159" i="8"/>
  <c r="AC158" i="8"/>
  <c r="AF228" i="10"/>
  <c r="AF226" i="10"/>
  <c r="AF225" i="10"/>
  <c r="AF224" i="10"/>
  <c r="AF223" i="10"/>
  <c r="AF222" i="10"/>
  <c r="AF221" i="10"/>
  <c r="AF220" i="10"/>
  <c r="AF219" i="10"/>
  <c r="AF218" i="10"/>
  <c r="AF217" i="10"/>
  <c r="AF216" i="10"/>
  <c r="AF215" i="10"/>
  <c r="AF214" i="10"/>
  <c r="AF213" i="10"/>
  <c r="AF212" i="10"/>
  <c r="AF211" i="10"/>
  <c r="AF210" i="10"/>
  <c r="AF208" i="10"/>
  <c r="AF207" i="10"/>
  <c r="AF206" i="10"/>
  <c r="AF205" i="10"/>
  <c r="AF204" i="10"/>
  <c r="AF203" i="10"/>
  <c r="AF202" i="10"/>
  <c r="AF201" i="10"/>
  <c r="AF200" i="10"/>
  <c r="AF199" i="10"/>
  <c r="AF198" i="10"/>
  <c r="AF197" i="10"/>
  <c r="AF196" i="10"/>
  <c r="AF195" i="10"/>
  <c r="AF194" i="10"/>
  <c r="AF193" i="10"/>
  <c r="AF192" i="10"/>
  <c r="AF190" i="10"/>
  <c r="AF189" i="10"/>
  <c r="AF188" i="10"/>
  <c r="AF187" i="10"/>
  <c r="AF186" i="10"/>
  <c r="AF185" i="10"/>
  <c r="AF184" i="10"/>
  <c r="AF183" i="10"/>
  <c r="AF182" i="10"/>
  <c r="AF181" i="10"/>
  <c r="AF180" i="10"/>
  <c r="AF179" i="10"/>
  <c r="AF178" i="10"/>
  <c r="AF177" i="10"/>
  <c r="AF176" i="10"/>
  <c r="AF175" i="10"/>
  <c r="AF174" i="10"/>
  <c r="AF173" i="10"/>
  <c r="AF172" i="10"/>
  <c r="AF170" i="10"/>
  <c r="AF169" i="10"/>
  <c r="AF167" i="10"/>
  <c r="AF166" i="10"/>
  <c r="AF164" i="10"/>
  <c r="AF163" i="10"/>
  <c r="AF162" i="10"/>
  <c r="AF161" i="10"/>
  <c r="AF160" i="10"/>
  <c r="AF159" i="10"/>
  <c r="AF158" i="10"/>
  <c r="AF157" i="10"/>
  <c r="Z182" i="7" l="1"/>
  <c r="AM182" i="2"/>
  <c r="AM226" i="2"/>
  <c r="Z226" i="7"/>
  <c r="AM220" i="2"/>
  <c r="Z220" i="7"/>
  <c r="AM221" i="2"/>
  <c r="Z221" i="7"/>
  <c r="AM223" i="2"/>
  <c r="Z223" i="7"/>
  <c r="AM222" i="2"/>
  <c r="Z222" i="7"/>
  <c r="AM219" i="2"/>
  <c r="Z219" i="7"/>
  <c r="AM213" i="2"/>
  <c r="Z213" i="7"/>
  <c r="AM208" i="2"/>
  <c r="Z208" i="7"/>
  <c r="AM207" i="2"/>
  <c r="Z207" i="7"/>
  <c r="AM204" i="2"/>
  <c r="Z204" i="7"/>
  <c r="AM200" i="2"/>
  <c r="Z200" i="7"/>
  <c r="AM193" i="2"/>
  <c r="Z193" i="7"/>
  <c r="AM191" i="2"/>
  <c r="Z191" i="7"/>
  <c r="AM187" i="2"/>
  <c r="Z187" i="7"/>
  <c r="AM184" i="2"/>
  <c r="Z184" i="7"/>
  <c r="AM181" i="2"/>
  <c r="Z181" i="7"/>
  <c r="AM175" i="2"/>
  <c r="Z175" i="7"/>
  <c r="AM174" i="2"/>
  <c r="Z174" i="7"/>
  <c r="AM171" i="2"/>
  <c r="Z171" i="7"/>
  <c r="AM170" i="2"/>
  <c r="Z170" i="7"/>
  <c r="AM163" i="2"/>
  <c r="Z163" i="7"/>
  <c r="AY242" i="13"/>
  <c r="AY238" i="13"/>
  <c r="AY243" i="13"/>
  <c r="AY241" i="13"/>
  <c r="AY239" i="13"/>
  <c r="AZ202" i="6"/>
  <c r="AZ204" i="6"/>
  <c r="AZ205" i="6"/>
  <c r="Y201" i="7"/>
  <c r="AM201" i="2"/>
  <c r="Y228" i="7"/>
  <c r="AM228" i="2"/>
  <c r="AM225" i="2"/>
  <c r="Y224" i="7"/>
  <c r="AM224" i="2"/>
  <c r="W220" i="12"/>
  <c r="Y217" i="7"/>
  <c r="AM217" i="2"/>
  <c r="Y216" i="7"/>
  <c r="AM216" i="2"/>
  <c r="Y215" i="7"/>
  <c r="AM215" i="2"/>
  <c r="AM214" i="2"/>
  <c r="Y212" i="7"/>
  <c r="AM212" i="2"/>
  <c r="Y211" i="7"/>
  <c r="AM211" i="2"/>
  <c r="Y210" i="7"/>
  <c r="AM210" i="2"/>
  <c r="Y209" i="7"/>
  <c r="AF209" i="10"/>
  <c r="AA209" i="8"/>
  <c r="Y206" i="7"/>
  <c r="AM206" i="2"/>
  <c r="Y205" i="7"/>
  <c r="AM205" i="2"/>
  <c r="AM203" i="2"/>
  <c r="Y202" i="7"/>
  <c r="AM202" i="2"/>
  <c r="Y199" i="7"/>
  <c r="AM199" i="2"/>
  <c r="Y198" i="7"/>
  <c r="AM198" i="2"/>
  <c r="Y197" i="7"/>
  <c r="AM197" i="2"/>
  <c r="Y196" i="7"/>
  <c r="AM196" i="2"/>
  <c r="Y195" i="7"/>
  <c r="AM195" i="2"/>
  <c r="Y194" i="7"/>
  <c r="AM194" i="2"/>
  <c r="Y192" i="7"/>
  <c r="AM192" i="2"/>
  <c r="AM190" i="2"/>
  <c r="Y189" i="7"/>
  <c r="AM189" i="2"/>
  <c r="Y188" i="7"/>
  <c r="AM188" i="2"/>
  <c r="Y186" i="7"/>
  <c r="AM186" i="2"/>
  <c r="Y185" i="7"/>
  <c r="AM185" i="2"/>
  <c r="Y182" i="7"/>
  <c r="Y183" i="7"/>
  <c r="AM183" i="2"/>
  <c r="AM179" i="2"/>
  <c r="Y180" i="7"/>
  <c r="AM180" i="2"/>
  <c r="Y178" i="7"/>
  <c r="AM178" i="2"/>
  <c r="Y177" i="7"/>
  <c r="AM177" i="2"/>
  <c r="Y176" i="7"/>
  <c r="AM176" i="2"/>
  <c r="AM173" i="2"/>
  <c r="AM172" i="2"/>
  <c r="Y169" i="7"/>
  <c r="AM169" i="2"/>
  <c r="Y167" i="7"/>
  <c r="AM167" i="2"/>
  <c r="AM166" i="2"/>
  <c r="Y164" i="7"/>
  <c r="AM164" i="2"/>
  <c r="AM162" i="2"/>
  <c r="Y161" i="7"/>
  <c r="AM161" i="2"/>
  <c r="AM160" i="2"/>
  <c r="Y159" i="7"/>
  <c r="AM159" i="2"/>
  <c r="Y158" i="7"/>
  <c r="AM158" i="2"/>
  <c r="AM157" i="2"/>
  <c r="Y190" i="7"/>
  <c r="AZ203" i="6"/>
  <c r="AZ201" i="6"/>
  <c r="W194" i="12"/>
  <c r="W213" i="12"/>
  <c r="AM209" i="2"/>
  <c r="Y160" i="7"/>
  <c r="Y203" i="7"/>
  <c r="Y179" i="7"/>
  <c r="Y172" i="7"/>
  <c r="AC191" i="8"/>
  <c r="AA209" i="9"/>
  <c r="W184" i="12"/>
  <c r="W219" i="12"/>
  <c r="BN175" i="6"/>
  <c r="BN179" i="6"/>
  <c r="BN194" i="6"/>
  <c r="AZ200" i="6"/>
  <c r="W218" i="7"/>
  <c r="Z218" i="7" s="1"/>
  <c r="Y225" i="7"/>
  <c r="Y157" i="7"/>
  <c r="Y162" i="7"/>
  <c r="Y166" i="7"/>
  <c r="Y173" i="7"/>
  <c r="Y214" i="7"/>
  <c r="AC160" i="8"/>
  <c r="AC167" i="8"/>
  <c r="AC169" i="8"/>
  <c r="AC171" i="8"/>
  <c r="AC172" i="8"/>
  <c r="AC173" i="8"/>
  <c r="AC202" i="8"/>
  <c r="AC207" i="8"/>
  <c r="Y163" i="7"/>
  <c r="Y170" i="7"/>
  <c r="Y174" i="7"/>
  <c r="Y184" i="7"/>
  <c r="Y193" i="7"/>
  <c r="Y207" i="7"/>
  <c r="Y213" i="7"/>
  <c r="Y220" i="7"/>
  <c r="Y222" i="7"/>
  <c r="Y171" i="7"/>
  <c r="Y175" i="7"/>
  <c r="Y181" i="7"/>
  <c r="Y187" i="7"/>
  <c r="Y191" i="7"/>
  <c r="Y200" i="7"/>
  <c r="Y204" i="7"/>
  <c r="Y208" i="7"/>
  <c r="Y219" i="7"/>
  <c r="Y221" i="7"/>
  <c r="Y223" i="7"/>
  <c r="Y226" i="7"/>
  <c r="AC170" i="8"/>
  <c r="AC175" i="8"/>
  <c r="AC178" i="8"/>
  <c r="AC183" i="8"/>
  <c r="AC189" i="8"/>
  <c r="AC193" i="8"/>
  <c r="AC195" i="8"/>
  <c r="AC198" i="8"/>
  <c r="AC200" i="8"/>
  <c r="AC206" i="8"/>
  <c r="AC208" i="8"/>
  <c r="Y218" i="7" l="1"/>
  <c r="AM218" i="2"/>
  <c r="W234" i="15" l="1"/>
  <c r="W232" i="15"/>
  <c r="W231" i="15"/>
  <c r="BM230" i="15"/>
  <c r="W230" i="15"/>
  <c r="BM229" i="15"/>
  <c r="W229" i="15"/>
  <c r="W228" i="15"/>
  <c r="W227" i="15"/>
  <c r="W226" i="15"/>
  <c r="W225" i="15"/>
  <c r="W224" i="15"/>
  <c r="BM223" i="15"/>
  <c r="W223" i="15"/>
  <c r="BM222" i="15"/>
  <c r="W222" i="15"/>
  <c r="BM221" i="15"/>
  <c r="W221" i="15"/>
  <c r="BM220" i="15"/>
  <c r="W220" i="15"/>
  <c r="BM219" i="15"/>
  <c r="BM218" i="15"/>
  <c r="W218" i="15"/>
  <c r="BM217" i="15"/>
  <c r="W217" i="15"/>
  <c r="BM216" i="15"/>
  <c r="W216" i="15"/>
  <c r="BM215" i="15"/>
  <c r="W215" i="15"/>
  <c r="BM214" i="15"/>
  <c r="W214" i="15"/>
  <c r="BM213" i="15"/>
  <c r="W213" i="15"/>
  <c r="W212" i="15"/>
  <c r="BM211" i="15"/>
  <c r="W211" i="15"/>
  <c r="BM210" i="15"/>
  <c r="W210" i="15"/>
  <c r="BM209" i="15"/>
  <c r="W209" i="15"/>
  <c r="BM208" i="15"/>
  <c r="W208" i="15"/>
  <c r="BM207" i="15"/>
  <c r="W207" i="15"/>
  <c r="BM206" i="15"/>
  <c r="W206" i="15"/>
  <c r="BM205" i="15"/>
  <c r="W205" i="15"/>
  <c r="BM204" i="15"/>
  <c r="W204" i="15"/>
  <c r="BM203" i="15"/>
  <c r="W203" i="15"/>
  <c r="BM202" i="15"/>
  <c r="W202" i="15"/>
  <c r="BM201" i="15"/>
  <c r="W201" i="15"/>
  <c r="BM200" i="15"/>
  <c r="W200" i="15"/>
  <c r="BM199" i="15"/>
  <c r="W199" i="15"/>
  <c r="BM198" i="15"/>
  <c r="W198" i="15"/>
  <c r="BM197" i="15"/>
  <c r="W197" i="15"/>
  <c r="BM196" i="15"/>
  <c r="W196" i="15"/>
  <c r="BM195" i="15"/>
  <c r="W195" i="15"/>
  <c r="BM194" i="15"/>
  <c r="W194" i="15"/>
  <c r="W193" i="15"/>
  <c r="BM192" i="15"/>
  <c r="W192" i="15"/>
  <c r="BM191" i="15"/>
  <c r="W191" i="15"/>
  <c r="BM190" i="15"/>
  <c r="W190" i="15"/>
  <c r="BM189" i="15"/>
  <c r="W189" i="15"/>
  <c r="BM188" i="15"/>
  <c r="W188" i="15"/>
  <c r="BM187" i="15"/>
  <c r="W187" i="15"/>
  <c r="BM186" i="15"/>
  <c r="W186" i="15"/>
  <c r="BM185" i="15"/>
  <c r="W185" i="15"/>
  <c r="BM184" i="15"/>
  <c r="W184" i="15"/>
  <c r="BM183" i="15"/>
  <c r="W183" i="15"/>
  <c r="BM182" i="15"/>
  <c r="W182" i="15"/>
  <c r="BM181" i="15"/>
  <c r="W181" i="15"/>
  <c r="BM180" i="15"/>
  <c r="W180" i="15"/>
  <c r="BM179" i="15"/>
  <c r="W179" i="15"/>
  <c r="BM178" i="15"/>
  <c r="W178" i="15"/>
  <c r="BM177" i="15"/>
  <c r="W177" i="15"/>
  <c r="BM176" i="15"/>
  <c r="W176" i="15"/>
  <c r="BM175" i="15"/>
  <c r="W175" i="15"/>
  <c r="BM174" i="15"/>
  <c r="W174" i="15"/>
  <c r="BM173" i="15"/>
  <c r="W173" i="15"/>
  <c r="BM172" i="15"/>
  <c r="W172" i="15"/>
  <c r="BM171" i="15"/>
  <c r="W171" i="15"/>
  <c r="BM170" i="15"/>
  <c r="W170" i="15"/>
  <c r="BM169" i="15"/>
  <c r="W169" i="15"/>
  <c r="BM153" i="15"/>
  <c r="W153" i="15"/>
  <c r="BM152" i="15"/>
  <c r="W152" i="15"/>
  <c r="BM151" i="15"/>
  <c r="W151" i="15"/>
  <c r="BM150" i="15"/>
  <c r="W150" i="15"/>
  <c r="BM148" i="15"/>
  <c r="W148" i="15"/>
  <c r="BM147" i="15"/>
  <c r="W147" i="15"/>
  <c r="BM146" i="15"/>
  <c r="W146" i="15"/>
  <c r="W145" i="15"/>
  <c r="BM144" i="15"/>
  <c r="W144" i="15"/>
  <c r="BM143" i="15"/>
  <c r="W143" i="15"/>
  <c r="BM142" i="15"/>
  <c r="W142" i="15"/>
  <c r="BM141" i="15"/>
  <c r="W141" i="15"/>
  <c r="BM140" i="15"/>
  <c r="W140" i="15"/>
  <c r="BM139" i="15"/>
  <c r="W139" i="15"/>
  <c r="BM138" i="15"/>
  <c r="W138" i="15"/>
  <c r="BM137" i="15"/>
  <c r="W137" i="15"/>
  <c r="BM136" i="15"/>
  <c r="W136" i="15"/>
  <c r="BM135" i="15"/>
  <c r="W135" i="15"/>
  <c r="BM134" i="15"/>
  <c r="W134" i="15"/>
  <c r="BM133" i="15"/>
  <c r="W133" i="15"/>
  <c r="BM132" i="15"/>
  <c r="W132" i="15"/>
  <c r="BM131" i="15"/>
  <c r="W131" i="15"/>
  <c r="BM130" i="15"/>
  <c r="W130" i="15"/>
  <c r="BM129" i="15"/>
  <c r="W129" i="15"/>
  <c r="BM128" i="15"/>
  <c r="W128" i="15"/>
  <c r="BM127" i="15"/>
  <c r="W127" i="15"/>
  <c r="BM126" i="15"/>
  <c r="W126" i="15"/>
  <c r="BM125" i="15"/>
  <c r="W125" i="15"/>
  <c r="BM124" i="15"/>
  <c r="W124" i="15"/>
  <c r="K124" i="15"/>
  <c r="E124" i="15"/>
  <c r="BM123" i="15"/>
  <c r="W123" i="15"/>
  <c r="K123" i="15"/>
  <c r="E123" i="15"/>
  <c r="BM122" i="15"/>
  <c r="W122" i="15"/>
  <c r="K122" i="15"/>
  <c r="E122" i="15"/>
  <c r="BM121" i="15"/>
  <c r="W121" i="15"/>
  <c r="BM120" i="15"/>
  <c r="W120" i="15"/>
  <c r="K120" i="15"/>
  <c r="E120" i="15"/>
  <c r="BM119" i="15"/>
  <c r="W119" i="15"/>
  <c r="K119" i="15"/>
  <c r="E119" i="15"/>
  <c r="BM118" i="15"/>
  <c r="W118" i="15"/>
  <c r="BM117" i="15"/>
  <c r="W117" i="15"/>
  <c r="BM116" i="15"/>
  <c r="W116" i="15"/>
  <c r="BM115" i="15"/>
  <c r="W115" i="15"/>
  <c r="BM114" i="15"/>
  <c r="W114" i="15"/>
  <c r="BM113" i="15"/>
  <c r="W113" i="15"/>
  <c r="BM112" i="15"/>
  <c r="W112" i="15"/>
  <c r="BM111" i="15"/>
  <c r="W111" i="15"/>
  <c r="BM110" i="15"/>
  <c r="W110" i="15"/>
  <c r="BM109" i="15"/>
  <c r="W109" i="15"/>
  <c r="BM107" i="15"/>
  <c r="W107" i="15"/>
  <c r="BM106" i="15"/>
  <c r="W106" i="15"/>
  <c r="BM105" i="15"/>
  <c r="W105" i="15"/>
  <c r="BM104" i="15"/>
  <c r="W104" i="15"/>
  <c r="BM103" i="15"/>
  <c r="W103" i="15"/>
  <c r="BM102" i="15"/>
  <c r="W102" i="15"/>
  <c r="BM101" i="15"/>
  <c r="W101" i="15"/>
  <c r="BM100" i="15"/>
  <c r="W100" i="15"/>
  <c r="BM99" i="15"/>
  <c r="W99" i="15"/>
  <c r="BM98" i="15"/>
  <c r="W98" i="15"/>
  <c r="BM97" i="15"/>
  <c r="W97" i="15"/>
  <c r="BM95" i="15"/>
  <c r="W95" i="15"/>
  <c r="BM94" i="15"/>
  <c r="W94" i="15"/>
  <c r="BM93" i="15"/>
  <c r="W93" i="15"/>
  <c r="BM92" i="15"/>
  <c r="W92" i="15"/>
  <c r="BM91" i="15"/>
  <c r="W91" i="15"/>
  <c r="BM90" i="15"/>
  <c r="W90" i="15"/>
  <c r="BM89" i="15"/>
  <c r="W89" i="15"/>
  <c r="BM88" i="15"/>
  <c r="W88" i="15"/>
  <c r="BM87" i="15"/>
  <c r="W87" i="15"/>
  <c r="BM86" i="15"/>
  <c r="W86" i="15"/>
  <c r="BM85" i="15"/>
  <c r="W85" i="15"/>
  <c r="BM84" i="15"/>
  <c r="W84" i="15"/>
  <c r="BM83" i="15"/>
  <c r="W83" i="15"/>
  <c r="BM82" i="15"/>
  <c r="W82" i="15"/>
  <c r="BM81" i="15"/>
  <c r="W81" i="15"/>
  <c r="BM80" i="15"/>
  <c r="W80" i="15"/>
  <c r="BM79" i="15"/>
  <c r="W79" i="15"/>
  <c r="BM78" i="15"/>
  <c r="W78" i="15"/>
  <c r="BM77" i="15"/>
  <c r="W77" i="15"/>
  <c r="BM76" i="15"/>
  <c r="W76" i="15"/>
  <c r="BM75" i="15"/>
  <c r="BM74" i="15"/>
  <c r="W74" i="15"/>
  <c r="BM73" i="15"/>
  <c r="W73" i="15"/>
  <c r="BM72" i="15"/>
  <c r="W72" i="15"/>
  <c r="BM71" i="15"/>
  <c r="W71" i="15"/>
  <c r="BM70" i="15"/>
  <c r="W70" i="15"/>
  <c r="BM69" i="15"/>
  <c r="W69" i="15"/>
  <c r="BM68" i="15"/>
  <c r="W68" i="15"/>
  <c r="W67" i="15"/>
  <c r="BM66" i="15"/>
  <c r="W66" i="15"/>
  <c r="BM61" i="15"/>
  <c r="AI61" i="15"/>
  <c r="AS61" i="15" s="1"/>
  <c r="W61" i="15"/>
  <c r="BM60" i="15"/>
  <c r="AI60" i="15"/>
  <c r="AS60" i="15" s="1"/>
  <c r="W60" i="15"/>
  <c r="BM59" i="15"/>
  <c r="AI59" i="15"/>
  <c r="AS59" i="15" s="1"/>
  <c r="W59" i="15"/>
  <c r="BM58" i="15"/>
  <c r="AI58" i="15"/>
  <c r="AS58" i="15" s="1"/>
  <c r="Y58" i="15"/>
  <c r="BA58" i="15" s="1"/>
  <c r="W58" i="15"/>
  <c r="BM57" i="15"/>
  <c r="AI57" i="15"/>
  <c r="AS57" i="15" s="1"/>
  <c r="W57" i="15"/>
  <c r="BM56" i="15"/>
  <c r="AI56" i="15"/>
  <c r="AS56" i="15" s="1"/>
  <c r="W56" i="15"/>
  <c r="BM55" i="15"/>
  <c r="AI55" i="15"/>
  <c r="AS55" i="15" s="1"/>
  <c r="W55" i="15"/>
  <c r="BM54" i="15"/>
  <c r="AS54" i="15"/>
  <c r="W54" i="15"/>
  <c r="BM53" i="15"/>
  <c r="AI53" i="15"/>
  <c r="AS53" i="15" s="1"/>
  <c r="W53" i="15"/>
  <c r="BM52" i="15"/>
  <c r="AI52" i="15"/>
  <c r="AS52" i="15" s="1"/>
  <c r="W52" i="15"/>
  <c r="BM51" i="15"/>
  <c r="AI51" i="15"/>
  <c r="AS51" i="15" s="1"/>
  <c r="W51" i="15"/>
  <c r="BM50" i="15"/>
  <c r="AI50" i="15"/>
  <c r="AS50" i="15" s="1"/>
  <c r="W50" i="15"/>
  <c r="BM49" i="15"/>
  <c r="AI49" i="15"/>
  <c r="AS49" i="15" s="1"/>
  <c r="W49" i="15"/>
  <c r="BM48" i="15"/>
  <c r="AI48" i="15"/>
  <c r="AS48" i="15" s="1"/>
  <c r="W48" i="15"/>
  <c r="BM47" i="15"/>
  <c r="AI47" i="15"/>
  <c r="AS47" i="15" s="1"/>
  <c r="W47" i="15"/>
  <c r="BM43" i="15"/>
  <c r="AI43" i="15"/>
  <c r="AS43" i="15" s="1"/>
  <c r="W43" i="15"/>
  <c r="BM42" i="15"/>
  <c r="AI42" i="15"/>
  <c r="AS42" i="15" s="1"/>
  <c r="W42" i="15"/>
  <c r="BM41" i="15"/>
  <c r="AI41" i="15"/>
  <c r="AS41" i="15" s="1"/>
  <c r="W41" i="15"/>
  <c r="BM40" i="15"/>
  <c r="AI40" i="15"/>
  <c r="AS40" i="15" s="1"/>
  <c r="W40" i="15"/>
  <c r="BM39" i="15"/>
  <c r="AI39" i="15"/>
  <c r="AS39" i="15" s="1"/>
  <c r="W39" i="15"/>
  <c r="AI37" i="15"/>
  <c r="W37" i="15"/>
  <c r="AI36" i="15"/>
  <c r="AS36" i="15" s="1"/>
  <c r="W36" i="15"/>
  <c r="AI35" i="15"/>
  <c r="W35" i="15"/>
  <c r="AI34" i="15"/>
  <c r="AS34" i="15" s="1"/>
  <c r="AY34" i="15"/>
  <c r="AI33" i="15"/>
  <c r="AS33" i="15" s="1"/>
  <c r="W33" i="15"/>
  <c r="AY33" i="15"/>
  <c r="AS32" i="15"/>
  <c r="W32" i="15"/>
  <c r="AY32" i="15"/>
  <c r="BM31" i="15"/>
  <c r="AI31" i="15"/>
  <c r="AS31" i="15" s="1"/>
  <c r="W31" i="15"/>
  <c r="BM30" i="15"/>
  <c r="AI30" i="15"/>
  <c r="AS30" i="15" s="1"/>
  <c r="W30" i="15"/>
  <c r="AI28" i="15"/>
  <c r="W28" i="15"/>
  <c r="K28" i="15"/>
  <c r="E28" i="15"/>
  <c r="BM27" i="15"/>
  <c r="AI27" i="15"/>
  <c r="AS27" i="15" s="1"/>
  <c r="W27" i="15"/>
  <c r="BM26" i="15"/>
  <c r="BM25" i="15"/>
  <c r="K25" i="15" s="1"/>
  <c r="AI25" i="15"/>
  <c r="AS25" i="15" s="1"/>
  <c r="W25" i="15"/>
  <c r="E25" i="15"/>
  <c r="BM24" i="15"/>
  <c r="K24" i="15" s="1"/>
  <c r="AI24" i="15"/>
  <c r="AS24" i="15" s="1"/>
  <c r="W24" i="15"/>
  <c r="E24" i="15"/>
  <c r="BM23" i="15"/>
  <c r="K23" i="15" s="1"/>
  <c r="AI23" i="15"/>
  <c r="AS23" i="15" s="1"/>
  <c r="W23" i="15"/>
  <c r="E23" i="15"/>
  <c r="BM22" i="15"/>
  <c r="K22" i="15" s="1"/>
  <c r="AI22" i="15"/>
  <c r="AS22" i="15" s="1"/>
  <c r="W22" i="15"/>
  <c r="E22" i="15"/>
  <c r="BM21" i="15"/>
  <c r="K21" i="15" s="1"/>
  <c r="AI21" i="15"/>
  <c r="AS21" i="15" s="1"/>
  <c r="W21" i="15"/>
  <c r="E21" i="15"/>
  <c r="BM20" i="15"/>
  <c r="K20" i="15" s="1"/>
  <c r="AI20" i="15"/>
  <c r="AS20" i="15" s="1"/>
  <c r="W20" i="15"/>
  <c r="E20" i="15"/>
  <c r="BM19" i="15"/>
  <c r="K19" i="15" s="1"/>
  <c r="AI19" i="15"/>
  <c r="AS19" i="15" s="1"/>
  <c r="W19" i="15"/>
  <c r="E19" i="15"/>
  <c r="BM18" i="15"/>
  <c r="K18" i="15" s="1"/>
  <c r="AI18" i="15"/>
  <c r="W18" i="15"/>
  <c r="E18" i="15"/>
  <c r="BM17" i="15"/>
  <c r="K17" i="15" s="1"/>
  <c r="AI17" i="15"/>
  <c r="AS17" i="15" s="1"/>
  <c r="W17" i="15"/>
  <c r="E17" i="15"/>
  <c r="BM16" i="15"/>
  <c r="K16" i="15" s="1"/>
  <c r="AS16" i="15"/>
  <c r="W16" i="15"/>
  <c r="E16" i="15"/>
  <c r="BM15" i="15"/>
  <c r="AS15" i="15"/>
  <c r="BM14" i="15"/>
  <c r="AI14" i="15"/>
  <c r="AS14" i="15" s="1"/>
  <c r="W14" i="15"/>
  <c r="BM13" i="15"/>
  <c r="AI13" i="15"/>
  <c r="AS13" i="15" s="1"/>
  <c r="W13" i="15"/>
  <c r="K13" i="15"/>
  <c r="E13" i="15"/>
  <c r="BM12" i="15"/>
  <c r="M12" i="15" s="1"/>
  <c r="K12" i="15" s="1"/>
  <c r="W12" i="15"/>
  <c r="E12" i="15"/>
  <c r="BM11" i="15"/>
  <c r="M11" i="15" s="1"/>
  <c r="K11" i="15" s="1"/>
  <c r="AI11" i="15"/>
  <c r="AS11" i="15" s="1"/>
  <c r="W11" i="15"/>
  <c r="E11" i="15"/>
  <c r="AY119" i="15" l="1"/>
  <c r="AY120" i="15"/>
  <c r="AY121" i="15"/>
  <c r="AY122" i="15"/>
  <c r="AY123" i="15"/>
  <c r="AY124" i="15"/>
  <c r="AY28" i="15"/>
  <c r="AY21" i="15"/>
  <c r="AY23" i="15"/>
  <c r="AY25" i="15"/>
  <c r="AY30" i="15"/>
  <c r="AY31" i="15"/>
  <c r="AY35" i="15"/>
  <c r="AY39" i="15"/>
  <c r="AY53" i="15"/>
  <c r="AY54" i="15"/>
  <c r="AY16" i="15"/>
  <c r="AY19" i="15"/>
  <c r="AY27" i="15"/>
  <c r="AY20" i="15"/>
  <c r="AY24" i="15"/>
  <c r="AY40" i="15"/>
  <c r="AY41" i="15"/>
  <c r="AY49" i="15"/>
  <c r="AY50" i="15"/>
  <c r="AY56" i="15"/>
  <c r="AY57" i="15"/>
  <c r="AY58" i="15"/>
  <c r="AY60" i="15"/>
  <c r="AY61" i="15"/>
  <c r="AY11" i="15"/>
  <c r="AY15" i="15"/>
  <c r="AY18" i="15"/>
  <c r="AY36" i="15"/>
  <c r="AY13" i="15"/>
  <c r="AY42" i="15"/>
  <c r="AY43" i="15"/>
  <c r="AY47" i="15"/>
  <c r="AY48" i="15"/>
  <c r="AY51" i="15"/>
  <c r="AY52" i="15"/>
  <c r="AY55" i="15"/>
  <c r="AY59" i="15"/>
  <c r="AY12" i="15"/>
  <c r="AY14" i="15"/>
  <c r="AY17" i="15"/>
  <c r="AY37" i="15"/>
  <c r="AY22" i="15"/>
  <c r="W136" i="7" l="1"/>
  <c r="Z136" i="7" s="1"/>
  <c r="W11" i="8"/>
  <c r="W74" i="12"/>
  <c r="W12" i="12"/>
  <c r="S11" i="12"/>
  <c r="W11" i="12" s="1"/>
  <c r="W102" i="12"/>
  <c r="W101" i="12"/>
  <c r="W99" i="12"/>
  <c r="W85" i="12"/>
  <c r="W83" i="12"/>
  <c r="W81" i="12"/>
  <c r="W80" i="12"/>
  <c r="W79" i="12"/>
  <c r="W78" i="12"/>
  <c r="W77" i="12"/>
  <c r="W76" i="12"/>
  <c r="W75" i="12"/>
  <c r="W71" i="12"/>
  <c r="S70" i="12"/>
  <c r="W70" i="12" s="1"/>
  <c r="W68" i="12"/>
  <c r="W64" i="12"/>
  <c r="W63" i="12"/>
  <c r="W62" i="12"/>
  <c r="W61" i="12"/>
  <c r="W60" i="12"/>
  <c r="W58" i="12"/>
  <c r="W57" i="12"/>
  <c r="W56" i="12"/>
  <c r="W55" i="12"/>
  <c r="W54" i="12"/>
  <c r="W53" i="12"/>
  <c r="W52" i="12"/>
  <c r="W51" i="12"/>
  <c r="W50" i="12"/>
  <c r="W49" i="12"/>
  <c r="W41" i="12"/>
  <c r="W40" i="12"/>
  <c r="W39" i="12"/>
  <c r="W38" i="12"/>
  <c r="W35" i="12"/>
  <c r="W34" i="12"/>
  <c r="W33" i="12"/>
  <c r="W32" i="12"/>
  <c r="W28" i="12"/>
  <c r="BM88" i="13"/>
  <c r="BM69" i="13"/>
  <c r="BM33" i="13"/>
  <c r="AI33" i="13"/>
  <c r="AS33" i="13" s="1"/>
  <c r="W33" i="13"/>
  <c r="AS90" i="14"/>
  <c r="W90" i="14"/>
  <c r="BM88" i="14"/>
  <c r="AS88" i="14"/>
  <c r="W88" i="14"/>
  <c r="BM87" i="14"/>
  <c r="AS87" i="14"/>
  <c r="W87" i="14"/>
  <c r="BM83" i="14"/>
  <c r="AS83" i="14"/>
  <c r="W83" i="14"/>
  <c r="BM80" i="14"/>
  <c r="AS80" i="14"/>
  <c r="W80" i="14"/>
  <c r="BM79" i="14"/>
  <c r="BM78" i="14"/>
  <c r="AS78" i="14"/>
  <c r="W78" i="14"/>
  <c r="BM77" i="14"/>
  <c r="AS77" i="14"/>
  <c r="W77" i="14"/>
  <c r="BM76" i="14"/>
  <c r="AS76" i="14"/>
  <c r="W76" i="14"/>
  <c r="BM75" i="14"/>
  <c r="AS75" i="14"/>
  <c r="W75" i="14"/>
  <c r="BM74" i="14"/>
  <c r="AS74" i="14"/>
  <c r="W74" i="14"/>
  <c r="BM73" i="14"/>
  <c r="AS73" i="14"/>
  <c r="W73" i="14"/>
  <c r="BM71" i="14"/>
  <c r="AS71" i="14"/>
  <c r="W71" i="14"/>
  <c r="AS70" i="14"/>
  <c r="W70" i="14"/>
  <c r="BM69" i="14"/>
  <c r="AS69" i="14"/>
  <c r="W69" i="14"/>
  <c r="BM68" i="14"/>
  <c r="AS68" i="14"/>
  <c r="W68" i="14"/>
  <c r="AY68" i="14"/>
  <c r="AS67" i="14"/>
  <c r="W67" i="14"/>
  <c r="AY67" i="14"/>
  <c r="BN93" i="6"/>
  <c r="W93" i="6"/>
  <c r="BN91" i="6"/>
  <c r="AT91" i="6"/>
  <c r="W91" i="6"/>
  <c r="BN90" i="6"/>
  <c r="W90" i="6"/>
  <c r="W87" i="6"/>
  <c r="BN83" i="6"/>
  <c r="W83" i="6"/>
  <c r="BN82" i="6"/>
  <c r="W82" i="6"/>
  <c r="BN81" i="6"/>
  <c r="W81" i="6"/>
  <c r="BN80" i="6"/>
  <c r="W80" i="6"/>
  <c r="BN79" i="6"/>
  <c r="W79" i="6"/>
  <c r="BN77" i="6"/>
  <c r="W77" i="6"/>
  <c r="BN76" i="6"/>
  <c r="W76" i="6"/>
  <c r="BN74" i="6"/>
  <c r="W74" i="6"/>
  <c r="BN73" i="6"/>
  <c r="W73" i="6"/>
  <c r="BN72" i="6"/>
  <c r="W72" i="6"/>
  <c r="BN71" i="6"/>
  <c r="W71" i="6"/>
  <c r="W70" i="6"/>
  <c r="AR102" i="5"/>
  <c r="AR84" i="5"/>
  <c r="AR62" i="5"/>
  <c r="AR60" i="5"/>
  <c r="AR59" i="5"/>
  <c r="AR58" i="5"/>
  <c r="AR50" i="5"/>
  <c r="W102" i="7"/>
  <c r="Z102" i="7" s="1"/>
  <c r="W101" i="7"/>
  <c r="Z101" i="7" s="1"/>
  <c r="W99" i="7"/>
  <c r="Z99" i="7" s="1"/>
  <c r="W98" i="7"/>
  <c r="Z98" i="7" s="1"/>
  <c r="W86" i="7"/>
  <c r="W85" i="7"/>
  <c r="W84" i="7"/>
  <c r="W83" i="7"/>
  <c r="Z83" i="7" s="1"/>
  <c r="W81" i="7"/>
  <c r="Z81" i="7" s="1"/>
  <c r="W80" i="7"/>
  <c r="W79" i="7"/>
  <c r="Z79" i="7" s="1"/>
  <c r="W78" i="7"/>
  <c r="W77" i="7"/>
  <c r="Z77" i="7" s="1"/>
  <c r="W76" i="7"/>
  <c r="Z76" i="7" s="1"/>
  <c r="W75" i="7"/>
  <c r="Z75" i="7" s="1"/>
  <c r="W74" i="7"/>
  <c r="Y74" i="7" s="1"/>
  <c r="W72" i="7"/>
  <c r="W71" i="7"/>
  <c r="Z71" i="7" s="1"/>
  <c r="W70" i="7"/>
  <c r="Z70" i="7" s="1"/>
  <c r="W69" i="7"/>
  <c r="Z69" i="7" s="1"/>
  <c r="W68" i="7"/>
  <c r="Z68" i="7" s="1"/>
  <c r="AM64" i="2"/>
  <c r="AM63" i="2"/>
  <c r="Y61" i="7"/>
  <c r="AM60" i="2"/>
  <c r="AM58" i="2"/>
  <c r="AM55" i="2"/>
  <c r="Y54" i="7"/>
  <c r="Y51" i="7"/>
  <c r="AM49" i="2"/>
  <c r="Y46" i="7"/>
  <c r="AM41" i="2"/>
  <c r="Y40" i="7"/>
  <c r="AM36" i="2"/>
  <c r="AM35" i="2"/>
  <c r="AM34" i="2"/>
  <c r="AM31" i="2"/>
  <c r="Y29" i="7"/>
  <c r="AF82" i="10"/>
  <c r="AA80" i="8"/>
  <c r="AF118" i="10"/>
  <c r="AA249" i="8"/>
  <c r="AF232" i="10"/>
  <c r="AY20" i="14"/>
  <c r="W11" i="7"/>
  <c r="AA11" i="8"/>
  <c r="AA272" i="8"/>
  <c r="AC272" i="8" s="1"/>
  <c r="AA271" i="8"/>
  <c r="AA270" i="8"/>
  <c r="AC270" i="8" s="1"/>
  <c r="AA269" i="8"/>
  <c r="AC269" i="8" s="1"/>
  <c r="AA268" i="8"/>
  <c r="AA267" i="8"/>
  <c r="AA266" i="8"/>
  <c r="AA265" i="8"/>
  <c r="AC265" i="8" s="1"/>
  <c r="AA264" i="8"/>
  <c r="AA263" i="8"/>
  <c r="AC263" i="8" s="1"/>
  <c r="AA262" i="8"/>
  <c r="AA261" i="8"/>
  <c r="AA260" i="8"/>
  <c r="AA259" i="8"/>
  <c r="AA258" i="8"/>
  <c r="AA255" i="8"/>
  <c r="AA254" i="8"/>
  <c r="AA252" i="8"/>
  <c r="AA257" i="8"/>
  <c r="AA250" i="8"/>
  <c r="AF249" i="10"/>
  <c r="W256" i="12"/>
  <c r="Y256" i="7"/>
  <c r="AA256" i="8"/>
  <c r="W243" i="12"/>
  <c r="BN243" i="6"/>
  <c r="W243" i="7"/>
  <c r="AM243" i="2" s="1"/>
  <c r="BM237" i="14"/>
  <c r="BN242" i="6"/>
  <c r="W241" i="7"/>
  <c r="AA241" i="8"/>
  <c r="W239" i="12"/>
  <c r="BM235" i="14"/>
  <c r="BN240" i="6"/>
  <c r="W239" i="7"/>
  <c r="AA239" i="8"/>
  <c r="W237" i="12"/>
  <c r="BM233" i="14"/>
  <c r="W237" i="7"/>
  <c r="Z237" i="7" s="1"/>
  <c r="AA237" i="8"/>
  <c r="BN233" i="6"/>
  <c r="AA248" i="8"/>
  <c r="AA246" i="8"/>
  <c r="AA245" i="8"/>
  <c r="AA244" i="8"/>
  <c r="AA240" i="8"/>
  <c r="AA238" i="8"/>
  <c r="AA236" i="8"/>
  <c r="AA235" i="8"/>
  <c r="AA234" i="8"/>
  <c r="AA233" i="8"/>
  <c r="AR245" i="5"/>
  <c r="AR236" i="5"/>
  <c r="Y265" i="7"/>
  <c r="Y260" i="7"/>
  <c r="Y259" i="7"/>
  <c r="Y255" i="7"/>
  <c r="Y254" i="7"/>
  <c r="Y252" i="7"/>
  <c r="Y251" i="7"/>
  <c r="W250" i="7"/>
  <c r="Z250" i="7" s="1"/>
  <c r="W249" i="7"/>
  <c r="W248" i="7"/>
  <c r="Z248" i="7" s="1"/>
  <c r="W246" i="7"/>
  <c r="Z246" i="7" s="1"/>
  <c r="W245" i="7"/>
  <c r="W244" i="7"/>
  <c r="Y244" i="7" s="1"/>
  <c r="W240" i="7"/>
  <c r="Z240" i="7" s="1"/>
  <c r="W238" i="7"/>
  <c r="W236" i="7"/>
  <c r="W235" i="7"/>
  <c r="W234" i="7"/>
  <c r="W233" i="7"/>
  <c r="W232" i="7"/>
  <c r="Z232" i="7" s="1"/>
  <c r="W231" i="7"/>
  <c r="Z231" i="7" s="1"/>
  <c r="W230" i="7"/>
  <c r="AA156" i="8"/>
  <c r="AA155" i="8"/>
  <c r="AA154" i="8"/>
  <c r="AA153" i="8"/>
  <c r="AA152" i="8"/>
  <c r="AA151" i="8"/>
  <c r="AA150" i="8"/>
  <c r="AA149" i="8"/>
  <c r="AA117" i="8"/>
  <c r="AA73" i="8"/>
  <c r="AC73" i="8" s="1"/>
  <c r="AA148" i="8"/>
  <c r="AA147" i="8"/>
  <c r="AA146" i="8"/>
  <c r="AA145" i="8"/>
  <c r="AA144" i="8"/>
  <c r="AA143" i="8"/>
  <c r="AA142" i="8"/>
  <c r="AA141" i="8"/>
  <c r="AA140" i="8"/>
  <c r="AA139" i="8"/>
  <c r="AA138" i="8"/>
  <c r="AA137" i="8"/>
  <c r="AA136" i="8"/>
  <c r="AA135" i="8"/>
  <c r="AA134" i="8"/>
  <c r="AA132" i="8"/>
  <c r="AA131" i="8"/>
  <c r="AA130" i="8"/>
  <c r="AA129" i="8"/>
  <c r="AA128" i="8"/>
  <c r="AA127" i="8"/>
  <c r="AA126" i="8"/>
  <c r="AA125" i="8"/>
  <c r="AA124" i="8"/>
  <c r="AF123" i="10"/>
  <c r="AA120" i="8"/>
  <c r="AA119" i="8"/>
  <c r="AA118" i="8"/>
  <c r="AC118" i="8" s="1"/>
  <c r="AA116" i="8"/>
  <c r="AC116" i="8" s="1"/>
  <c r="AA115" i="8"/>
  <c r="AC115" i="8" s="1"/>
  <c r="AA114" i="8"/>
  <c r="AC114" i="8" s="1"/>
  <c r="AA113" i="8"/>
  <c r="AC113" i="8" s="1"/>
  <c r="AA112" i="8"/>
  <c r="AC112" i="8" s="1"/>
  <c r="AA111" i="8"/>
  <c r="AC111" i="8" s="1"/>
  <c r="AA110" i="8"/>
  <c r="AC110" i="8" s="1"/>
  <c r="AA108" i="8"/>
  <c r="AC108" i="8" s="1"/>
  <c r="AA107" i="8"/>
  <c r="AA106" i="8"/>
  <c r="AA104" i="8"/>
  <c r="AA103" i="8"/>
  <c r="AC103" i="8" s="1"/>
  <c r="AA100" i="8"/>
  <c r="AC100" i="8" s="1"/>
  <c r="AA97" i="8"/>
  <c r="AC97" i="8" s="1"/>
  <c r="AA82" i="8"/>
  <c r="AC82" i="8" s="1"/>
  <c r="W47" i="12"/>
  <c r="Y47" i="7"/>
  <c r="AA17" i="8"/>
  <c r="AC17" i="8" s="1"/>
  <c r="AA16" i="8"/>
  <c r="AA15" i="8"/>
  <c r="AA13" i="8"/>
  <c r="AA12" i="8"/>
  <c r="BN250" i="6"/>
  <c r="BN249" i="6"/>
  <c r="BN245" i="6"/>
  <c r="BN244" i="6"/>
  <c r="BN241" i="6"/>
  <c r="BN232" i="6"/>
  <c r="BN231" i="6"/>
  <c r="BN230" i="6"/>
  <c r="BN229" i="6"/>
  <c r="BN159" i="6"/>
  <c r="BN158" i="6"/>
  <c r="BN157" i="6"/>
  <c r="BN156" i="6"/>
  <c r="BN155" i="6"/>
  <c r="BN154" i="6"/>
  <c r="BN153" i="6"/>
  <c r="BN152" i="6"/>
  <c r="BN151" i="6"/>
  <c r="BN150" i="6"/>
  <c r="BN149" i="6"/>
  <c r="BN148" i="6"/>
  <c r="BN147" i="6"/>
  <c r="BN146" i="6"/>
  <c r="BN145" i="6"/>
  <c r="BN144" i="6"/>
  <c r="BN143" i="6"/>
  <c r="BN142" i="6"/>
  <c r="BN141" i="6"/>
  <c r="BN140" i="6"/>
  <c r="BN138" i="6"/>
  <c r="BN137" i="6"/>
  <c r="BN136" i="6"/>
  <c r="BN135" i="6"/>
  <c r="BN134" i="6"/>
  <c r="BN133" i="6"/>
  <c r="BN132" i="6"/>
  <c r="BN131" i="6"/>
  <c r="BN130" i="6"/>
  <c r="BN129" i="6"/>
  <c r="BN128" i="6"/>
  <c r="BN113" i="6"/>
  <c r="BN112" i="6"/>
  <c r="BN111" i="6"/>
  <c r="BN110" i="6"/>
  <c r="BN109" i="6"/>
  <c r="BN108" i="6"/>
  <c r="BN107" i="6"/>
  <c r="BN106" i="6"/>
  <c r="BN105" i="6"/>
  <c r="BN104" i="6"/>
  <c r="BN103" i="6"/>
  <c r="BN102" i="6"/>
  <c r="BN100" i="6"/>
  <c r="BN99" i="6"/>
  <c r="BN98" i="6"/>
  <c r="BN97" i="6"/>
  <c r="BN96" i="6"/>
  <c r="BN95" i="6"/>
  <c r="BN94" i="6"/>
  <c r="BN92" i="6"/>
  <c r="BN89" i="6"/>
  <c r="AZ89" i="6"/>
  <c r="BN84" i="6"/>
  <c r="BN78" i="6"/>
  <c r="BN75" i="6"/>
  <c r="BN69" i="6"/>
  <c r="BN26" i="6"/>
  <c r="BN24" i="6"/>
  <c r="BN23" i="6"/>
  <c r="BN16" i="6"/>
  <c r="AZ16" i="6"/>
  <c r="BN14" i="6"/>
  <c r="BN13" i="6"/>
  <c r="AZ12" i="6"/>
  <c r="AJ12" i="6"/>
  <c r="AT12" i="6" s="1"/>
  <c r="AJ13" i="6"/>
  <c r="AT13" i="6" s="1"/>
  <c r="AZ14" i="6"/>
  <c r="AZ24" i="6"/>
  <c r="AZ26" i="6"/>
  <c r="AZ69" i="6"/>
  <c r="AZ78" i="6"/>
  <c r="AZ84" i="6"/>
  <c r="AZ85" i="6"/>
  <c r="AZ86" i="6"/>
  <c r="AZ88" i="6"/>
  <c r="AZ92" i="6"/>
  <c r="AZ94" i="6"/>
  <c r="AZ97" i="6"/>
  <c r="AZ98" i="6"/>
  <c r="BM55" i="13"/>
  <c r="W139" i="7"/>
  <c r="Z139" i="7" s="1"/>
  <c r="W139" i="12"/>
  <c r="AR139" i="5"/>
  <c r="AF139" i="10"/>
  <c r="W129" i="7"/>
  <c r="Z129" i="7" s="1"/>
  <c r="W130" i="7"/>
  <c r="AR129" i="5"/>
  <c r="W127" i="12"/>
  <c r="AM127" i="2"/>
  <c r="AF127" i="10"/>
  <c r="W10" i="12"/>
  <c r="W13" i="12"/>
  <c r="W20" i="12"/>
  <c r="W21" i="12"/>
  <c r="W22" i="12"/>
  <c r="W23" i="12"/>
  <c r="W24" i="12"/>
  <c r="W25" i="12"/>
  <c r="W26" i="12"/>
  <c r="W27" i="12"/>
  <c r="W30" i="12"/>
  <c r="W43" i="12"/>
  <c r="W45" i="12"/>
  <c r="W48" i="12"/>
  <c r="W65" i="12"/>
  <c r="W67" i="12"/>
  <c r="W73" i="12"/>
  <c r="W82" i="12"/>
  <c r="W97" i="12"/>
  <c r="W100" i="12"/>
  <c r="W103" i="12"/>
  <c r="W104" i="12"/>
  <c r="W105" i="12"/>
  <c r="W106" i="12"/>
  <c r="W107" i="12"/>
  <c r="W108" i="12"/>
  <c r="W110" i="12"/>
  <c r="W111" i="12"/>
  <c r="W112" i="12"/>
  <c r="W113" i="12"/>
  <c r="W114" i="12"/>
  <c r="W115" i="12"/>
  <c r="W116" i="12"/>
  <c r="W117" i="12"/>
  <c r="W118" i="12"/>
  <c r="W119" i="12"/>
  <c r="W120" i="12"/>
  <c r="W121" i="12"/>
  <c r="W123" i="12"/>
  <c r="W124" i="12"/>
  <c r="W125" i="12"/>
  <c r="W126" i="12"/>
  <c r="W128" i="12"/>
  <c r="W129" i="12"/>
  <c r="W130" i="12"/>
  <c r="W131" i="12"/>
  <c r="W132" i="12"/>
  <c r="W133" i="12"/>
  <c r="W134" i="12"/>
  <c r="W135" i="12"/>
  <c r="W136" i="12"/>
  <c r="W137" i="12"/>
  <c r="W138" i="12"/>
  <c r="W140" i="12"/>
  <c r="W141" i="12"/>
  <c r="S142" i="12"/>
  <c r="W142" i="12" s="1"/>
  <c r="W144" i="12"/>
  <c r="W145" i="12"/>
  <c r="W146" i="12"/>
  <c r="W147" i="12"/>
  <c r="W148" i="12"/>
  <c r="W149" i="12"/>
  <c r="W150" i="12"/>
  <c r="W151" i="12"/>
  <c r="W152" i="12"/>
  <c r="W153" i="12"/>
  <c r="W154" i="12"/>
  <c r="W155" i="12"/>
  <c r="W156" i="12"/>
  <c r="W229" i="12"/>
  <c r="W230" i="12"/>
  <c r="W231" i="12"/>
  <c r="W233" i="12"/>
  <c r="W234" i="12"/>
  <c r="W235" i="12"/>
  <c r="W236" i="12"/>
  <c r="W238" i="12"/>
  <c r="W240" i="12"/>
  <c r="W245" i="12"/>
  <c r="W246" i="12"/>
  <c r="W248" i="12"/>
  <c r="W249" i="12"/>
  <c r="W250" i="12"/>
  <c r="W251" i="12"/>
  <c r="W252" i="12"/>
  <c r="W254" i="12"/>
  <c r="W255" i="12"/>
  <c r="W257" i="12"/>
  <c r="W258" i="12"/>
  <c r="W259" i="12"/>
  <c r="W260" i="12"/>
  <c r="W261" i="12"/>
  <c r="W262" i="12"/>
  <c r="W263" i="12"/>
  <c r="W264" i="12"/>
  <c r="W265" i="12"/>
  <c r="W266" i="12"/>
  <c r="W267" i="12"/>
  <c r="W268" i="12"/>
  <c r="W269" i="12"/>
  <c r="W270" i="12"/>
  <c r="W271" i="12"/>
  <c r="W272" i="12"/>
  <c r="BM68" i="13"/>
  <c r="BM116" i="13"/>
  <c r="E14" i="13"/>
  <c r="BM14" i="13"/>
  <c r="K14" i="13" s="1"/>
  <c r="W14" i="13"/>
  <c r="AI14" i="13"/>
  <c r="AS14" i="13" s="1"/>
  <c r="E15" i="13"/>
  <c r="BM15" i="13"/>
  <c r="K15" i="13" s="1"/>
  <c r="W15" i="13"/>
  <c r="AS15" i="13"/>
  <c r="BM90" i="13"/>
  <c r="E16" i="13"/>
  <c r="BM16" i="13"/>
  <c r="K16" i="13" s="1"/>
  <c r="W16" i="13"/>
  <c r="AS16" i="13"/>
  <c r="BM13" i="13"/>
  <c r="W13" i="13"/>
  <c r="AI13" i="13"/>
  <c r="AS13" i="13" s="1"/>
  <c r="BM128" i="13"/>
  <c r="BM79" i="13"/>
  <c r="BM97" i="13"/>
  <c r="BM139" i="13"/>
  <c r="BM141" i="13"/>
  <c r="BM140" i="13"/>
  <c r="E245" i="13"/>
  <c r="BM245" i="13"/>
  <c r="K245" i="13"/>
  <c r="W245" i="13"/>
  <c r="AI245" i="13"/>
  <c r="AS245" i="13" s="1"/>
  <c r="BM71" i="13"/>
  <c r="BM72" i="13"/>
  <c r="BM41" i="13"/>
  <c r="E21" i="13"/>
  <c r="BM21" i="13"/>
  <c r="K21" i="13" s="1"/>
  <c r="W21" i="13"/>
  <c r="AI21" i="13"/>
  <c r="AS21" i="13" s="1"/>
  <c r="E22" i="13"/>
  <c r="BM22" i="13"/>
  <c r="K22" i="13" s="1"/>
  <c r="W22" i="13"/>
  <c r="AI22" i="13"/>
  <c r="AS22" i="13" s="1"/>
  <c r="E24" i="13"/>
  <c r="BM24" i="13"/>
  <c r="K24" i="13" s="1"/>
  <c r="W24" i="13"/>
  <c r="AI24" i="13"/>
  <c r="AS24" i="13" s="1"/>
  <c r="E25" i="13"/>
  <c r="BM25" i="13"/>
  <c r="K25" i="13" s="1"/>
  <c r="W25" i="13"/>
  <c r="AI25" i="13"/>
  <c r="AS25" i="13" s="1"/>
  <c r="E30" i="13"/>
  <c r="BM30" i="13"/>
  <c r="K30" i="13" s="1"/>
  <c r="W30" i="13"/>
  <c r="AI30" i="13"/>
  <c r="AS30" i="13" s="1"/>
  <c r="E34" i="13"/>
  <c r="BM34" i="13"/>
  <c r="K34" i="13" s="1"/>
  <c r="AY34" i="13" s="1"/>
  <c r="AI34" i="13"/>
  <c r="AS34" i="13" s="1"/>
  <c r="E35" i="13"/>
  <c r="BM35" i="13"/>
  <c r="K35" i="13" s="1"/>
  <c r="W35" i="13"/>
  <c r="AI35" i="13"/>
  <c r="E36" i="13"/>
  <c r="BM36" i="13"/>
  <c r="K36" i="13" s="1"/>
  <c r="W36" i="13"/>
  <c r="AI36" i="13"/>
  <c r="AS36" i="13" s="1"/>
  <c r="E37" i="13"/>
  <c r="BM37" i="13"/>
  <c r="K37" i="13" s="1"/>
  <c r="W37" i="13"/>
  <c r="AI37" i="13"/>
  <c r="BM56" i="13"/>
  <c r="BM77" i="13"/>
  <c r="BM81" i="13"/>
  <c r="BM89" i="13"/>
  <c r="BM100" i="13"/>
  <c r="BM107" i="13"/>
  <c r="BM113" i="13"/>
  <c r="BM122" i="13"/>
  <c r="BM125" i="13"/>
  <c r="BM133" i="13"/>
  <c r="BM138" i="13"/>
  <c r="BM94" i="13"/>
  <c r="BM66" i="13"/>
  <c r="BM67" i="13"/>
  <c r="BM106" i="13"/>
  <c r="BM114" i="13"/>
  <c r="E31" i="13"/>
  <c r="BM31" i="13"/>
  <c r="K31" i="13" s="1"/>
  <c r="W31" i="13"/>
  <c r="AI31" i="13"/>
  <c r="AS31" i="13" s="1"/>
  <c r="BM70" i="13"/>
  <c r="BM87" i="13"/>
  <c r="BM92" i="13"/>
  <c r="BM95" i="13"/>
  <c r="BM101" i="13"/>
  <c r="E247" i="13"/>
  <c r="BM247" i="13"/>
  <c r="K247" i="13"/>
  <c r="W247" i="13"/>
  <c r="AI247" i="13"/>
  <c r="AS247" i="13" s="1"/>
  <c r="BM50" i="13"/>
  <c r="E23" i="13"/>
  <c r="BM23" i="13"/>
  <c r="K23" i="13" s="1"/>
  <c r="W23" i="13"/>
  <c r="AI23" i="13"/>
  <c r="AS23" i="13" s="1"/>
  <c r="E26" i="13"/>
  <c r="BM26" i="13"/>
  <c r="K26" i="13" s="1"/>
  <c r="W26" i="13"/>
  <c r="AI26" i="13"/>
  <c r="AS26" i="13" s="1"/>
  <c r="BM78" i="13"/>
  <c r="E249" i="13"/>
  <c r="BM249" i="13"/>
  <c r="K249" i="13"/>
  <c r="W249" i="13"/>
  <c r="AI249" i="13"/>
  <c r="AS249" i="13" s="1"/>
  <c r="BM111" i="13"/>
  <c r="BM42" i="13"/>
  <c r="E32" i="13"/>
  <c r="K32" i="13"/>
  <c r="W32" i="13"/>
  <c r="AS32" i="13"/>
  <c r="BM51" i="13"/>
  <c r="BM53" i="13"/>
  <c r="BM65" i="13"/>
  <c r="BM83" i="13"/>
  <c r="BM98" i="13"/>
  <c r="BM121" i="13"/>
  <c r="BM142" i="13"/>
  <c r="BM144" i="13"/>
  <c r="E248" i="13"/>
  <c r="BM248" i="13"/>
  <c r="K248" i="13"/>
  <c r="W248" i="13"/>
  <c r="AS248" i="13"/>
  <c r="BM82" i="13"/>
  <c r="BM102" i="13"/>
  <c r="BM117" i="13"/>
  <c r="E28" i="13"/>
  <c r="K28" i="13"/>
  <c r="W28" i="13"/>
  <c r="AI28" i="13"/>
  <c r="BM109" i="13"/>
  <c r="BM73" i="13"/>
  <c r="BM135" i="13"/>
  <c r="BM136" i="13"/>
  <c r="BM99" i="13"/>
  <c r="E27" i="13"/>
  <c r="BM27" i="13"/>
  <c r="K27" i="13" s="1"/>
  <c r="W27" i="13"/>
  <c r="AI27" i="13"/>
  <c r="AS27" i="13" s="1"/>
  <c r="E18" i="13"/>
  <c r="BM18" i="13"/>
  <c r="K18" i="13" s="1"/>
  <c r="W18" i="13"/>
  <c r="AI18" i="13"/>
  <c r="E19" i="13"/>
  <c r="BM19" i="13"/>
  <c r="K19" i="13" s="1"/>
  <c r="W19" i="13"/>
  <c r="AI19" i="13"/>
  <c r="AS19" i="13" s="1"/>
  <c r="BM75" i="13"/>
  <c r="BM119" i="13"/>
  <c r="BM132" i="13"/>
  <c r="BM118" i="13"/>
  <c r="E250" i="13"/>
  <c r="AY250" i="13" s="1"/>
  <c r="BM250" i="13"/>
  <c r="K250" i="13"/>
  <c r="W250" i="13"/>
  <c r="AI250" i="13"/>
  <c r="AS250" i="13" s="1"/>
  <c r="BM127" i="13"/>
  <c r="E39" i="13"/>
  <c r="BM39" i="13"/>
  <c r="K39" i="13"/>
  <c r="W39" i="13"/>
  <c r="AI39" i="13"/>
  <c r="AS39" i="13" s="1"/>
  <c r="BM134" i="13"/>
  <c r="BM103" i="13"/>
  <c r="BM105" i="13"/>
  <c r="BM49" i="13"/>
  <c r="BM54" i="13"/>
  <c r="BM64" i="13"/>
  <c r="BM76" i="13"/>
  <c r="BM104" i="13"/>
  <c r="BM112" i="13"/>
  <c r="BM137" i="13"/>
  <c r="BM143" i="13"/>
  <c r="E251" i="13"/>
  <c r="BM251" i="13"/>
  <c r="K251" i="13"/>
  <c r="W251" i="13"/>
  <c r="AI251" i="13"/>
  <c r="AS251" i="13" s="1"/>
  <c r="E17" i="13"/>
  <c r="BM17" i="13"/>
  <c r="K17" i="13" s="1"/>
  <c r="W17" i="13"/>
  <c r="AI17" i="13"/>
  <c r="AS17" i="13" s="1"/>
  <c r="BM110" i="13"/>
  <c r="BM74" i="13"/>
  <c r="BM124" i="13"/>
  <c r="BM115" i="13"/>
  <c r="BM52" i="13"/>
  <c r="BM86" i="13"/>
  <c r="BM84" i="13"/>
  <c r="E12" i="13"/>
  <c r="BM12" i="13"/>
  <c r="M12" i="13" s="1"/>
  <c r="K12" i="13" s="1"/>
  <c r="W12" i="13"/>
  <c r="BM43" i="13"/>
  <c r="BM120" i="13"/>
  <c r="BM131" i="13"/>
  <c r="E11" i="13"/>
  <c r="BM11" i="13"/>
  <c r="M11" i="13" s="1"/>
  <c r="K11" i="13" s="1"/>
  <c r="W11" i="13"/>
  <c r="AI11" i="13"/>
  <c r="AS11" i="13" s="1"/>
  <c r="E20" i="13"/>
  <c r="BM20" i="13"/>
  <c r="K20" i="13" s="1"/>
  <c r="W20" i="13"/>
  <c r="AI20" i="13"/>
  <c r="AS20" i="13" s="1"/>
  <c r="BM80" i="13"/>
  <c r="BM93" i="13"/>
  <c r="BM123" i="13"/>
  <c r="BM146" i="13"/>
  <c r="BM91" i="13"/>
  <c r="BM129" i="13"/>
  <c r="BM85" i="13"/>
  <c r="BM130" i="13"/>
  <c r="E29" i="13"/>
  <c r="BM29" i="13"/>
  <c r="K29" i="13" s="1"/>
  <c r="W29" i="13"/>
  <c r="AI29" i="13"/>
  <c r="AS29" i="13" s="1"/>
  <c r="BM126" i="13"/>
  <c r="E246" i="13"/>
  <c r="BM246" i="13"/>
  <c r="K246" i="13"/>
  <c r="W246" i="13"/>
  <c r="AI246" i="13"/>
  <c r="AS246" i="13" s="1"/>
  <c r="W10" i="14"/>
  <c r="AI10" i="14"/>
  <c r="AS10" i="14" s="1"/>
  <c r="BM10" i="14"/>
  <c r="BM11" i="14"/>
  <c r="W11" i="14"/>
  <c r="AI11" i="14"/>
  <c r="AS11" i="14" s="1"/>
  <c r="BM12" i="14"/>
  <c r="AY12" i="14"/>
  <c r="W12" i="14"/>
  <c r="AS12" i="14"/>
  <c r="W13" i="14"/>
  <c r="AS13" i="14"/>
  <c r="BM13" i="14"/>
  <c r="W14" i="14"/>
  <c r="AS14" i="14"/>
  <c r="BM14" i="14"/>
  <c r="W15" i="14"/>
  <c r="AS15" i="14"/>
  <c r="BM15" i="14"/>
  <c r="W16" i="14"/>
  <c r="AS16" i="14"/>
  <c r="BM16" i="14"/>
  <c r="W17" i="14"/>
  <c r="AS17" i="14"/>
  <c r="BM17" i="14"/>
  <c r="W19" i="14"/>
  <c r="AS19" i="14"/>
  <c r="W20" i="14"/>
  <c r="AS20" i="14"/>
  <c r="BM20" i="14"/>
  <c r="BM21" i="14"/>
  <c r="AY21" i="14"/>
  <c r="W21" i="14"/>
  <c r="AS21" i="14"/>
  <c r="BM22" i="14"/>
  <c r="W22" i="14"/>
  <c r="AS22" i="14"/>
  <c r="AS55" i="14"/>
  <c r="BM55" i="14"/>
  <c r="AS56" i="14"/>
  <c r="BM56" i="14"/>
  <c r="AY66" i="14"/>
  <c r="W66" i="14"/>
  <c r="AS66" i="14"/>
  <c r="BM66" i="14"/>
  <c r="AY72" i="14"/>
  <c r="W72" i="14"/>
  <c r="AS72" i="14"/>
  <c r="BM72" i="14"/>
  <c r="AY81" i="14"/>
  <c r="W81" i="14"/>
  <c r="AS81" i="14"/>
  <c r="BM81" i="14"/>
  <c r="BM82" i="14"/>
  <c r="W82" i="14"/>
  <c r="AS82" i="14"/>
  <c r="W84" i="14"/>
  <c r="AS84" i="14"/>
  <c r="BM84" i="14"/>
  <c r="W85" i="14"/>
  <c r="AS85" i="14"/>
  <c r="BM85" i="14"/>
  <c r="W86" i="14"/>
  <c r="AS86" i="14"/>
  <c r="BM86" i="14"/>
  <c r="W89" i="14"/>
  <c r="AS89" i="14"/>
  <c r="BM89" i="14"/>
  <c r="W91" i="14"/>
  <c r="AS91" i="14"/>
  <c r="BM91" i="14"/>
  <c r="BM92" i="14"/>
  <c r="BM93" i="14"/>
  <c r="BM94" i="14"/>
  <c r="BM95" i="14"/>
  <c r="BM96" i="14"/>
  <c r="BM97" i="14"/>
  <c r="BM99" i="14"/>
  <c r="BM100" i="14"/>
  <c r="BM101" i="14"/>
  <c r="BM102" i="14"/>
  <c r="BM103" i="14"/>
  <c r="BM104" i="14"/>
  <c r="BM105" i="14"/>
  <c r="BM106" i="14"/>
  <c r="BM127" i="14"/>
  <c r="BM128" i="14"/>
  <c r="BM129" i="14"/>
  <c r="BM130" i="14"/>
  <c r="BM131" i="14"/>
  <c r="BM132" i="14"/>
  <c r="BM133" i="14"/>
  <c r="BM134" i="14"/>
  <c r="BM135" i="14"/>
  <c r="BM136" i="14"/>
  <c r="BM137" i="14"/>
  <c r="BM138" i="14"/>
  <c r="BM139" i="14"/>
  <c r="BM140" i="14"/>
  <c r="BM141" i="14"/>
  <c r="BM142" i="14"/>
  <c r="BM143" i="14"/>
  <c r="BM144" i="14"/>
  <c r="BM145" i="14"/>
  <c r="BM146" i="14"/>
  <c r="BM147" i="14"/>
  <c r="BM148" i="14"/>
  <c r="BM149" i="14"/>
  <c r="BM150" i="14"/>
  <c r="BM151" i="14"/>
  <c r="BM152" i="14"/>
  <c r="BM153" i="14"/>
  <c r="BM154" i="14"/>
  <c r="BM224" i="14"/>
  <c r="BM225" i="14"/>
  <c r="BM226" i="14"/>
  <c r="BM227" i="14"/>
  <c r="BM229" i="14"/>
  <c r="BM230" i="14"/>
  <c r="BM231" i="14"/>
  <c r="BM232" i="14"/>
  <c r="BM234" i="14"/>
  <c r="BM236" i="14"/>
  <c r="BM238" i="14"/>
  <c r="BM239" i="14"/>
  <c r="BM240" i="14"/>
  <c r="BM244" i="14"/>
  <c r="BM245" i="14"/>
  <c r="W12" i="6"/>
  <c r="BN12" i="6"/>
  <c r="W13" i="6"/>
  <c r="W14" i="6"/>
  <c r="W15" i="6"/>
  <c r="BN15" i="6"/>
  <c r="W16" i="6"/>
  <c r="W17" i="6"/>
  <c r="BN17" i="6"/>
  <c r="W18" i="6"/>
  <c r="BN18" i="6"/>
  <c r="W19" i="6"/>
  <c r="BN19" i="6"/>
  <c r="W21" i="6"/>
  <c r="BN21" i="6"/>
  <c r="W22" i="6"/>
  <c r="BN22" i="6"/>
  <c r="W23" i="6"/>
  <c r="W24" i="6"/>
  <c r="W25" i="6"/>
  <c r="BN25" i="6"/>
  <c r="W26" i="6"/>
  <c r="W69" i="6"/>
  <c r="W75" i="6"/>
  <c r="W78" i="6"/>
  <c r="W84" i="6"/>
  <c r="W85" i="6"/>
  <c r="W86" i="6"/>
  <c r="W88" i="6"/>
  <c r="W89" i="6"/>
  <c r="W92" i="6"/>
  <c r="W94" i="6"/>
  <c r="W95" i="6"/>
  <c r="W96" i="6"/>
  <c r="W97" i="6"/>
  <c r="W98" i="6"/>
  <c r="BN127" i="6"/>
  <c r="BN139" i="6"/>
  <c r="AH10" i="5"/>
  <c r="AR10" i="5" s="1"/>
  <c r="AH11" i="5"/>
  <c r="AR19" i="5"/>
  <c r="AR25" i="5"/>
  <c r="AR121" i="5"/>
  <c r="AR130" i="5"/>
  <c r="AR134" i="5"/>
  <c r="AR144" i="5"/>
  <c r="AR149" i="5"/>
  <c r="AC10" i="2"/>
  <c r="W10" i="7"/>
  <c r="W12" i="7"/>
  <c r="W13" i="7"/>
  <c r="Z13" i="7" s="1"/>
  <c r="W14" i="7"/>
  <c r="W15" i="7"/>
  <c r="Z15" i="7" s="1"/>
  <c r="W16" i="7"/>
  <c r="W17" i="7"/>
  <c r="W19" i="7"/>
  <c r="Z19" i="7" s="1"/>
  <c r="W20" i="7"/>
  <c r="W21" i="7"/>
  <c r="W22" i="7"/>
  <c r="W23" i="7"/>
  <c r="Z23" i="7" s="1"/>
  <c r="Y65" i="7"/>
  <c r="W73" i="7"/>
  <c r="Z73" i="7" s="1"/>
  <c r="W82" i="7"/>
  <c r="Z82" i="7" s="1"/>
  <c r="W97" i="7"/>
  <c r="Z97" i="7" s="1"/>
  <c r="W100" i="7"/>
  <c r="W103" i="7"/>
  <c r="Z103" i="7" s="1"/>
  <c r="W104" i="7"/>
  <c r="W105" i="7"/>
  <c r="Z105" i="7" s="1"/>
  <c r="W106" i="7"/>
  <c r="Z106" i="7" s="1"/>
  <c r="W107" i="7"/>
  <c r="W108" i="7"/>
  <c r="W110" i="7"/>
  <c r="W111" i="7"/>
  <c r="Z111" i="7" s="1"/>
  <c r="W112" i="7"/>
  <c r="Z112" i="7" s="1"/>
  <c r="W113" i="7"/>
  <c r="W114" i="7"/>
  <c r="W115" i="7"/>
  <c r="Z115" i="7" s="1"/>
  <c r="W116" i="7"/>
  <c r="Z116" i="7" s="1"/>
  <c r="W117" i="7"/>
  <c r="W118" i="7"/>
  <c r="W119" i="7"/>
  <c r="W120" i="7"/>
  <c r="W121" i="7"/>
  <c r="Z121" i="7" s="1"/>
  <c r="W123" i="7"/>
  <c r="Y123" i="7" s="1"/>
  <c r="W124" i="7"/>
  <c r="Z124" i="7" s="1"/>
  <c r="W128" i="7"/>
  <c r="W131" i="7"/>
  <c r="Z131" i="7" s="1"/>
  <c r="W132" i="7"/>
  <c r="Z132" i="7" s="1"/>
  <c r="W133" i="7"/>
  <c r="W134" i="7"/>
  <c r="W135" i="7"/>
  <c r="W137" i="7"/>
  <c r="AM137" i="2" s="1"/>
  <c r="W138" i="7"/>
  <c r="W140" i="7"/>
  <c r="W141" i="7"/>
  <c r="Z141" i="7" s="1"/>
  <c r="W142" i="7"/>
  <c r="Z142" i="7" s="1"/>
  <c r="W143" i="7"/>
  <c r="Z143" i="7" s="1"/>
  <c r="W144" i="7"/>
  <c r="Z144" i="7" s="1"/>
  <c r="W145" i="7"/>
  <c r="Z145" i="7" s="1"/>
  <c r="W146" i="7"/>
  <c r="W147" i="7"/>
  <c r="Z147" i="7" s="1"/>
  <c r="W148" i="7"/>
  <c r="Z148" i="7" s="1"/>
  <c r="W149" i="7"/>
  <c r="W150" i="7"/>
  <c r="AM150" i="2" s="1"/>
  <c r="W151" i="7"/>
  <c r="W152" i="7"/>
  <c r="Z152" i="7" s="1"/>
  <c r="W153" i="7"/>
  <c r="W154" i="7"/>
  <c r="W155" i="7"/>
  <c r="Z155" i="7" s="1"/>
  <c r="W156" i="7"/>
  <c r="AM156" i="2" s="1"/>
  <c r="Y266" i="7"/>
  <c r="Y267" i="7"/>
  <c r="Y269" i="7"/>
  <c r="Y270" i="7"/>
  <c r="AM271" i="2"/>
  <c r="Y272" i="7"/>
  <c r="S11" i="4"/>
  <c r="Y18" i="7"/>
  <c r="Y24" i="7"/>
  <c r="Y25" i="7"/>
  <c r="Y26" i="7"/>
  <c r="Y27" i="7"/>
  <c r="Y30" i="7"/>
  <c r="Y43" i="7"/>
  <c r="Y45" i="7"/>
  <c r="Y48" i="7"/>
  <c r="Y67" i="7"/>
  <c r="Y132" i="7"/>
  <c r="Y261" i="7"/>
  <c r="Y263" i="7"/>
  <c r="Y264" i="7"/>
  <c r="AA19" i="8"/>
  <c r="AA20" i="8"/>
  <c r="AA21" i="8"/>
  <c r="AC143" i="9"/>
  <c r="AA143" i="9"/>
  <c r="O11" i="10"/>
  <c r="AF100" i="10"/>
  <c r="AF103" i="10"/>
  <c r="AF107" i="10"/>
  <c r="AF110" i="10"/>
  <c r="AF111" i="10"/>
  <c r="AF114" i="10"/>
  <c r="AF116" i="10"/>
  <c r="AF117" i="10"/>
  <c r="AF119" i="10"/>
  <c r="AF121" i="10"/>
  <c r="AF124" i="10"/>
  <c r="AF128" i="10"/>
  <c r="AF130" i="10"/>
  <c r="AF131" i="10"/>
  <c r="AF132" i="10"/>
  <c r="AF133" i="10"/>
  <c r="AF134" i="10"/>
  <c r="AF135" i="10"/>
  <c r="AF136" i="10"/>
  <c r="AF137" i="10"/>
  <c r="AF138" i="10"/>
  <c r="AF140" i="10"/>
  <c r="AF142" i="10"/>
  <c r="AF143" i="10"/>
  <c r="AF146" i="10"/>
  <c r="AF147" i="10"/>
  <c r="AF148" i="10"/>
  <c r="AF150" i="10"/>
  <c r="AF154" i="10"/>
  <c r="AF156" i="10"/>
  <c r="AF229" i="10"/>
  <c r="AF230" i="10"/>
  <c r="AF231" i="10"/>
  <c r="AF234" i="10"/>
  <c r="AF235" i="10"/>
  <c r="AF236" i="10"/>
  <c r="AF237" i="10"/>
  <c r="AF238" i="10"/>
  <c r="AF240" i="10"/>
  <c r="AF244" i="10"/>
  <c r="AF245" i="10"/>
  <c r="AF246" i="10"/>
  <c r="AF248" i="10"/>
  <c r="AF250" i="10"/>
  <c r="AF252" i="10"/>
  <c r="AF254" i="10"/>
  <c r="AF255" i="10"/>
  <c r="AF257" i="10"/>
  <c r="AF258" i="10"/>
  <c r="AF259" i="10"/>
  <c r="AF260" i="10"/>
  <c r="AF262" i="10"/>
  <c r="AF263" i="10"/>
  <c r="AF264" i="10"/>
  <c r="AF265" i="10"/>
  <c r="AF266" i="10"/>
  <c r="AF267" i="10"/>
  <c r="AF268" i="10"/>
  <c r="AF269" i="10"/>
  <c r="AF270" i="10"/>
  <c r="AF271" i="10"/>
  <c r="AF272" i="10"/>
  <c r="AF241" i="10"/>
  <c r="AR153" i="5"/>
  <c r="AR48" i="5"/>
  <c r="AR246" i="5"/>
  <c r="AR257" i="5"/>
  <c r="AR261" i="5"/>
  <c r="AR265" i="5"/>
  <c r="AR269" i="5"/>
  <c r="AF233" i="10"/>
  <c r="AR241" i="5"/>
  <c r="AR239" i="5"/>
  <c r="AR254" i="5"/>
  <c r="AR266" i="5"/>
  <c r="AR263" i="5"/>
  <c r="AF243" i="10"/>
  <c r="AR260" i="5"/>
  <c r="AR259" i="5"/>
  <c r="AR258" i="5"/>
  <c r="AR256" i="5"/>
  <c r="AR251" i="5"/>
  <c r="AR271" i="5"/>
  <c r="AR272" i="5"/>
  <c r="Y271" i="7"/>
  <c r="AR262" i="5"/>
  <c r="AR248" i="5"/>
  <c r="AM255" i="2"/>
  <c r="AR244" i="5"/>
  <c r="AR138" i="5"/>
  <c r="AR155" i="5"/>
  <c r="AR151" i="5"/>
  <c r="AF256" i="10"/>
  <c r="AF112" i="10"/>
  <c r="AR112" i="5"/>
  <c r="AR126" i="5"/>
  <c r="AR124" i="5"/>
  <c r="AR123" i="5"/>
  <c r="AY85" i="14"/>
  <c r="AY83" i="14"/>
  <c r="AY16" i="14"/>
  <c r="AY56" i="14"/>
  <c r="AY55" i="14"/>
  <c r="AY14" i="14"/>
  <c r="AZ79" i="6"/>
  <c r="AZ80" i="6"/>
  <c r="AZ81" i="6"/>
  <c r="AZ90" i="6"/>
  <c r="AZ70" i="6"/>
  <c r="AZ71" i="6"/>
  <c r="AZ74" i="6"/>
  <c r="AZ15" i="6"/>
  <c r="AZ17" i="6"/>
  <c r="AZ19" i="6"/>
  <c r="AZ21" i="6"/>
  <c r="AZ23" i="6"/>
  <c r="AZ25" i="6"/>
  <c r="AR154" i="5"/>
  <c r="AR148" i="5"/>
  <c r="AR143" i="5"/>
  <c r="AR133" i="5"/>
  <c r="AR116" i="5"/>
  <c r="AR108" i="5"/>
  <c r="AR107" i="5"/>
  <c r="AR67" i="5"/>
  <c r="AR43" i="5"/>
  <c r="AR27" i="5"/>
  <c r="AR26" i="5"/>
  <c r="AR24" i="5"/>
  <c r="AR127" i="5"/>
  <c r="AR255" i="5"/>
  <c r="AR264" i="5"/>
  <c r="AM48" i="2"/>
  <c r="AM45" i="2"/>
  <c r="AM257" i="2"/>
  <c r="AR233" i="5"/>
  <c r="Y66" i="7"/>
  <c r="Y64" i="7"/>
  <c r="Y62" i="7"/>
  <c r="Y63" i="7"/>
  <c r="Y58" i="7"/>
  <c r="Y60" i="7"/>
  <c r="Y55" i="7"/>
  <c r="Y49" i="7"/>
  <c r="Y38" i="7"/>
  <c r="Y39" i="7"/>
  <c r="Y36" i="7"/>
  <c r="Y35" i="7"/>
  <c r="Y33" i="7"/>
  <c r="Y32" i="7"/>
  <c r="Y31" i="7"/>
  <c r="AC26" i="8"/>
  <c r="AC71" i="9"/>
  <c r="AF153" i="10"/>
  <c r="AF151" i="10"/>
  <c r="AF149" i="10"/>
  <c r="AF145" i="10"/>
  <c r="AF141" i="10"/>
  <c r="AF125" i="10"/>
  <c r="AF120" i="10"/>
  <c r="AF113" i="10"/>
  <c r="AF108" i="10"/>
  <c r="AF106" i="10"/>
  <c r="AF104" i="10"/>
  <c r="AF97" i="10"/>
  <c r="AF73" i="10"/>
  <c r="AA123" i="8"/>
  <c r="AC123" i="8" s="1"/>
  <c r="AC67" i="8"/>
  <c r="AA232" i="8"/>
  <c r="AF80" i="10"/>
  <c r="AF239" i="10"/>
  <c r="AZ96" i="6"/>
  <c r="AZ95" i="6"/>
  <c r="AC50" i="8"/>
  <c r="AC64" i="8"/>
  <c r="AA75" i="8"/>
  <c r="AF75" i="10"/>
  <c r="AA77" i="8"/>
  <c r="AF77" i="10"/>
  <c r="AF81" i="10"/>
  <c r="AA81" i="8"/>
  <c r="AF83" i="10"/>
  <c r="AA83" i="8"/>
  <c r="AA85" i="8"/>
  <c r="AF86" i="10"/>
  <c r="AA86" i="8"/>
  <c r="AF98" i="10"/>
  <c r="AA98" i="8"/>
  <c r="AA105" i="8"/>
  <c r="AC105" i="8" s="1"/>
  <c r="AF105" i="10"/>
  <c r="AA102" i="8"/>
  <c r="AF102" i="10"/>
  <c r="AF68" i="10"/>
  <c r="AF74" i="10"/>
  <c r="AA74" i="8"/>
  <c r="AF84" i="10"/>
  <c r="AA84" i="8"/>
  <c r="AC84" i="8" s="1"/>
  <c r="AA99" i="8"/>
  <c r="AF99" i="10"/>
  <c r="AF70" i="10"/>
  <c r="AR100" i="5"/>
  <c r="AR73" i="5"/>
  <c r="AR47" i="5"/>
  <c r="AR125" i="5"/>
  <c r="AR237" i="5"/>
  <c r="AR267" i="5"/>
  <c r="AM30" i="2"/>
  <c r="AM43" i="2"/>
  <c r="AM65" i="2"/>
  <c r="AM267" i="2"/>
  <c r="AM47" i="2"/>
  <c r="AR131" i="5"/>
  <c r="AR128" i="5"/>
  <c r="AR111" i="5"/>
  <c r="AR110" i="5"/>
  <c r="AR106" i="5"/>
  <c r="AR105" i="5"/>
  <c r="AR65" i="5"/>
  <c r="AR30" i="5"/>
  <c r="AR268" i="5"/>
  <c r="AR270" i="5"/>
  <c r="AR145" i="5"/>
  <c r="AR115" i="5"/>
  <c r="AR15" i="5"/>
  <c r="AR12" i="5"/>
  <c r="AM67" i="2"/>
  <c r="AM27" i="2"/>
  <c r="AM251" i="2"/>
  <c r="Y34" i="7"/>
  <c r="AR55" i="5"/>
  <c r="AM29" i="2"/>
  <c r="AM38" i="2"/>
  <c r="AM46" i="2"/>
  <c r="AM62" i="2"/>
  <c r="Y41" i="7"/>
  <c r="AC216" i="8"/>
  <c r="AC215" i="8"/>
  <c r="AC214" i="8"/>
  <c r="AC213" i="8"/>
  <c r="Y13" i="7" l="1"/>
  <c r="AM103" i="2"/>
  <c r="Z241" i="7"/>
  <c r="AM241" i="2"/>
  <c r="Y119" i="7"/>
  <c r="Z119" i="7"/>
  <c r="AM10" i="2"/>
  <c r="Z10" i="7"/>
  <c r="Y249" i="7"/>
  <c r="Z249" i="7"/>
  <c r="AM245" i="2"/>
  <c r="Z245" i="7"/>
  <c r="AM244" i="2"/>
  <c r="Z244" i="7"/>
  <c r="Z243" i="7"/>
  <c r="AM239" i="2"/>
  <c r="Z239" i="7"/>
  <c r="AM238" i="2"/>
  <c r="Z238" i="7"/>
  <c r="Y236" i="7"/>
  <c r="Z236" i="7"/>
  <c r="Y235" i="7"/>
  <c r="Z235" i="7"/>
  <c r="Y234" i="7"/>
  <c r="Z234" i="7"/>
  <c r="Y233" i="7"/>
  <c r="Z233" i="7"/>
  <c r="AM230" i="2"/>
  <c r="Z230" i="7"/>
  <c r="AM229" i="2"/>
  <c r="Z229" i="7"/>
  <c r="Y156" i="7"/>
  <c r="Z156" i="7"/>
  <c r="AM154" i="2"/>
  <c r="Z154" i="7"/>
  <c r="Y153" i="7"/>
  <c r="Z153" i="7"/>
  <c r="Y151" i="7"/>
  <c r="Z151" i="7"/>
  <c r="Y150" i="7"/>
  <c r="Z150" i="7"/>
  <c r="Y149" i="7"/>
  <c r="Z149" i="7"/>
  <c r="Y146" i="7"/>
  <c r="Z146" i="7"/>
  <c r="AM146" i="2"/>
  <c r="Y140" i="7"/>
  <c r="Z140" i="7"/>
  <c r="Y138" i="7"/>
  <c r="Z138" i="7"/>
  <c r="Y137" i="7"/>
  <c r="Z137" i="7"/>
  <c r="Y135" i="7"/>
  <c r="Z135" i="7"/>
  <c r="AM134" i="2"/>
  <c r="Z134" i="7"/>
  <c r="AM133" i="2"/>
  <c r="Z133" i="7"/>
  <c r="AM130" i="2"/>
  <c r="Z130" i="7"/>
  <c r="Y128" i="7"/>
  <c r="Z128" i="7"/>
  <c r="Y127" i="7"/>
  <c r="Z127" i="7"/>
  <c r="Y126" i="7"/>
  <c r="Z126" i="7"/>
  <c r="Y125" i="7"/>
  <c r="Z125" i="7"/>
  <c r="AM123" i="2"/>
  <c r="Z123" i="7"/>
  <c r="AY17" i="13"/>
  <c r="AY248" i="13"/>
  <c r="Y120" i="7"/>
  <c r="Z120" i="7"/>
  <c r="Y118" i="7"/>
  <c r="Z118" i="7"/>
  <c r="Y117" i="7"/>
  <c r="Z117" i="7"/>
  <c r="AM113" i="2"/>
  <c r="Z113" i="7"/>
  <c r="Y110" i="7"/>
  <c r="Z110" i="7"/>
  <c r="Y114" i="7"/>
  <c r="Z114" i="7"/>
  <c r="Y108" i="7"/>
  <c r="Z108" i="7"/>
  <c r="Y107" i="7"/>
  <c r="Z107" i="7"/>
  <c r="AM104" i="2"/>
  <c r="Z104" i="7"/>
  <c r="Y100" i="7"/>
  <c r="Z100" i="7"/>
  <c r="Y86" i="7"/>
  <c r="Z86" i="7"/>
  <c r="Y85" i="7"/>
  <c r="Z85" i="7"/>
  <c r="Y84" i="7"/>
  <c r="Z84" i="7"/>
  <c r="AM80" i="2"/>
  <c r="Z80" i="7"/>
  <c r="Y79" i="7"/>
  <c r="Y78" i="7"/>
  <c r="Z78" i="7"/>
  <c r="AM74" i="2"/>
  <c r="Z74" i="7"/>
  <c r="AM73" i="2"/>
  <c r="Y73" i="7"/>
  <c r="AM72" i="2"/>
  <c r="Z72" i="7"/>
  <c r="AM70" i="2"/>
  <c r="Y70" i="7"/>
  <c r="Y22" i="7"/>
  <c r="Z22" i="7"/>
  <c r="Y21" i="7"/>
  <c r="Z21" i="7"/>
  <c r="Y20" i="7"/>
  <c r="Z20" i="7"/>
  <c r="Y17" i="7"/>
  <c r="Z17" i="7"/>
  <c r="Y16" i="7"/>
  <c r="Z16" i="7"/>
  <c r="AM14" i="2"/>
  <c r="Z14" i="7"/>
  <c r="AM12" i="2"/>
  <c r="Z12" i="7"/>
  <c r="Y11" i="7"/>
  <c r="Z11" i="7"/>
  <c r="AY247" i="13"/>
  <c r="Y71" i="7"/>
  <c r="Y115" i="7"/>
  <c r="Y111" i="7"/>
  <c r="AM124" i="2"/>
  <c r="Y124" i="7"/>
  <c r="Y82" i="7"/>
  <c r="AM97" i="2"/>
  <c r="Y243" i="7"/>
  <c r="Y15" i="7"/>
  <c r="AM108" i="2"/>
  <c r="Y246" i="7"/>
  <c r="Y10" i="7"/>
  <c r="Y248" i="7"/>
  <c r="Y238" i="7"/>
  <c r="Y144" i="7"/>
  <c r="AM149" i="2"/>
  <c r="AM86" i="2"/>
  <c r="AM118" i="2"/>
  <c r="AM152" i="2"/>
  <c r="AM19" i="2"/>
  <c r="AM106" i="2"/>
  <c r="Y76" i="7"/>
  <c r="Y101" i="7"/>
  <c r="Y130" i="7"/>
  <c r="AM111" i="2"/>
  <c r="AM148" i="2"/>
  <c r="Y112" i="7"/>
  <c r="Y106" i="7"/>
  <c r="AM234" i="2"/>
  <c r="Y80" i="7"/>
  <c r="AM100" i="2"/>
  <c r="Y152" i="7"/>
  <c r="AM119" i="2"/>
  <c r="AM144" i="2"/>
  <c r="AM114" i="2"/>
  <c r="AM131" i="2"/>
  <c r="AM110" i="2"/>
  <c r="Y148" i="7"/>
  <c r="Y134" i="7"/>
  <c r="Y97" i="7"/>
  <c r="Y19" i="7"/>
  <c r="Y12" i="7"/>
  <c r="AA10" i="8"/>
  <c r="AC10" i="8" s="1"/>
  <c r="AM262" i="2"/>
  <c r="AM263" i="2"/>
  <c r="AM269" i="2"/>
  <c r="Y262" i="7"/>
  <c r="AM252" i="2"/>
  <c r="Y229" i="7"/>
  <c r="Y231" i="7"/>
  <c r="Y232" i="7"/>
  <c r="Y239" i="7"/>
  <c r="Y241" i="7"/>
  <c r="AM246" i="2"/>
  <c r="Y245" i="7"/>
  <c r="Y250" i="7"/>
  <c r="AM126" i="2"/>
  <c r="Y147" i="7"/>
  <c r="Y113" i="7"/>
  <c r="Y104" i="7"/>
  <c r="AM272" i="2"/>
  <c r="Y133" i="7"/>
  <c r="AM82" i="2"/>
  <c r="AM138" i="2"/>
  <c r="Y268" i="7"/>
  <c r="Y121" i="7"/>
  <c r="Y14" i="7"/>
  <c r="Y139" i="7"/>
  <c r="Y142" i="7"/>
  <c r="AY249" i="13"/>
  <c r="AY245" i="13"/>
  <c r="AY246" i="13"/>
  <c r="AY32" i="13"/>
  <c r="AM13" i="2"/>
  <c r="AY39" i="13"/>
  <c r="AM151" i="2"/>
  <c r="AM264" i="2"/>
  <c r="AM153" i="2"/>
  <c r="AM155" i="2"/>
  <c r="AM270" i="2"/>
  <c r="AM258" i="2"/>
  <c r="AM266" i="2"/>
  <c r="Y258" i="7"/>
  <c r="Y240" i="7"/>
  <c r="Y237" i="7"/>
  <c r="Y230" i="7"/>
  <c r="Y155" i="7"/>
  <c r="AM79" i="2"/>
  <c r="Y102" i="7"/>
  <c r="AM147" i="2"/>
  <c r="AM120" i="2"/>
  <c r="AM125" i="2"/>
  <c r="AM105" i="2"/>
  <c r="Y68" i="7"/>
  <c r="Y72" i="7"/>
  <c r="AM112" i="2"/>
  <c r="Y131" i="7"/>
  <c r="Y143" i="7"/>
  <c r="Y141" i="7"/>
  <c r="Y129" i="7"/>
  <c r="Y116" i="7"/>
  <c r="Y105" i="7"/>
  <c r="Y103" i="7"/>
  <c r="Y23" i="7"/>
  <c r="AM129" i="2"/>
  <c r="Y154" i="7"/>
  <c r="Y98" i="7"/>
  <c r="AM68" i="2"/>
  <c r="AC18" i="8"/>
  <c r="AY23" i="13"/>
  <c r="AY22" i="13"/>
  <c r="AM121" i="2"/>
  <c r="AM265" i="2"/>
  <c r="AM259" i="2"/>
  <c r="Y257" i="7"/>
  <c r="AM254" i="2"/>
  <c r="AC252" i="8"/>
  <c r="Y145" i="7"/>
  <c r="AM145" i="2"/>
  <c r="AM140" i="2"/>
  <c r="AC77" i="8"/>
  <c r="AR21" i="5"/>
  <c r="AY33" i="13"/>
  <c r="AY12" i="13"/>
  <c r="AC80" i="8"/>
  <c r="AR152" i="5"/>
  <c r="AR150" i="5"/>
  <c r="AR135" i="5"/>
  <c r="AR117" i="5"/>
  <c r="AR103" i="5"/>
  <c r="AC104" i="8"/>
  <c r="AY36" i="13"/>
  <c r="AY35" i="13"/>
  <c r="AM71" i="2"/>
  <c r="AM78" i="2"/>
  <c r="AM98" i="2"/>
  <c r="AM101" i="2"/>
  <c r="AM102" i="2"/>
  <c r="AC107" i="8"/>
  <c r="AC106" i="8"/>
  <c r="AC256" i="8"/>
  <c r="AF155" i="10"/>
  <c r="AZ77" i="6"/>
  <c r="AR104" i="5"/>
  <c r="AM268" i="2"/>
  <c r="AM115" i="2"/>
  <c r="AM22" i="2"/>
  <c r="AM20" i="2"/>
  <c r="AM18" i="2"/>
  <c r="AM232" i="2"/>
  <c r="AA22" i="8"/>
  <c r="AC22" i="8" s="1"/>
  <c r="AF152" i="10"/>
  <c r="AM128" i="2"/>
  <c r="AR119" i="5"/>
  <c r="AR118" i="5"/>
  <c r="AR113" i="5"/>
  <c r="AC244" i="8"/>
  <c r="AC243" i="8"/>
  <c r="AM235" i="2"/>
  <c r="AC271" i="8"/>
  <c r="AC268" i="8"/>
  <c r="AC267" i="8"/>
  <c r="AC266" i="8"/>
  <c r="AC264" i="8"/>
  <c r="AF261" i="10"/>
  <c r="AR252" i="5"/>
  <c r="AR250" i="5"/>
  <c r="AR249" i="5"/>
  <c r="AC241" i="8"/>
  <c r="AR240" i="5"/>
  <c r="AC240" i="8"/>
  <c r="AC238" i="8"/>
  <c r="AR234" i="5"/>
  <c r="AR232" i="5"/>
  <c r="AC232" i="8"/>
  <c r="AC27" i="8"/>
  <c r="AC25" i="8"/>
  <c r="AZ18" i="6"/>
  <c r="AC16" i="8"/>
  <c r="AR14" i="5"/>
  <c r="AR235" i="5"/>
  <c r="AR238" i="5"/>
  <c r="AR11" i="5"/>
  <c r="AY29" i="13"/>
  <c r="AM11" i="2"/>
  <c r="AY10" i="14"/>
  <c r="AY20" i="13"/>
  <c r="AY27" i="13"/>
  <c r="AY31" i="13"/>
  <c r="AY25" i="13"/>
  <c r="AY24" i="13"/>
  <c r="AY16" i="13"/>
  <c r="AY15" i="13"/>
  <c r="AY14" i="13"/>
  <c r="AZ72" i="6"/>
  <c r="AZ76" i="6"/>
  <c r="AR49" i="5"/>
  <c r="AR51" i="5"/>
  <c r="AM84" i="2"/>
  <c r="AC144" i="8"/>
  <c r="AC146" i="8"/>
  <c r="AC245" i="8"/>
  <c r="AC145" i="8"/>
  <c r="AC147" i="8"/>
  <c r="W244" i="12"/>
  <c r="AY13" i="13"/>
  <c r="AY11" i="13"/>
  <c r="AY18" i="13"/>
  <c r="AY30" i="13"/>
  <c r="AY21" i="13"/>
  <c r="AY13" i="14"/>
  <c r="AY19" i="14"/>
  <c r="AY11" i="14"/>
  <c r="AY82" i="14"/>
  <c r="BM67" i="14"/>
  <c r="AY75" i="14"/>
  <c r="AY77" i="14"/>
  <c r="AY79" i="14"/>
  <c r="BM90" i="14"/>
  <c r="AM143" i="2"/>
  <c r="AM141" i="2"/>
  <c r="AM260" i="2"/>
  <c r="AM261" i="2"/>
  <c r="AM76" i="2"/>
  <c r="AM85" i="2"/>
  <c r="AM59" i="2"/>
  <c r="Y59" i="7"/>
  <c r="AC148" i="8"/>
  <c r="AC138" i="8"/>
  <c r="AC85" i="8"/>
  <c r="AC139" i="8"/>
  <c r="AC143" i="8"/>
  <c r="AC140" i="8"/>
  <c r="AY84" i="14"/>
  <c r="AY22" i="14"/>
  <c r="AY69" i="14"/>
  <c r="AY71" i="14"/>
  <c r="AY76" i="14"/>
  <c r="AY78" i="14"/>
  <c r="AY70" i="14"/>
  <c r="AY73" i="14"/>
  <c r="AY74" i="14"/>
  <c r="AY15" i="14"/>
  <c r="AY80" i="14"/>
  <c r="AZ13" i="6"/>
  <c r="AZ22" i="6"/>
  <c r="AZ83" i="6"/>
  <c r="AZ93" i="6"/>
  <c r="AY37" i="13"/>
  <c r="AY19" i="13"/>
  <c r="AY28" i="13"/>
  <c r="AY26" i="13"/>
  <c r="AY251" i="13"/>
  <c r="W69" i="12"/>
  <c r="W29" i="12"/>
  <c r="W36" i="12"/>
  <c r="W37" i="12"/>
  <c r="W66" i="12"/>
  <c r="W86" i="12"/>
  <c r="W98" i="12"/>
  <c r="AR54" i="5"/>
  <c r="AR33" i="5"/>
  <c r="AR22" i="5"/>
  <c r="AR243" i="5"/>
  <c r="AR16" i="5"/>
  <c r="AR17" i="5"/>
  <c r="AR20" i="5"/>
  <c r="AR23" i="5"/>
  <c r="AR142" i="5"/>
  <c r="AR147" i="5"/>
  <c r="AR146" i="5"/>
  <c r="AR141" i="5"/>
  <c r="AR114" i="5"/>
  <c r="AR137" i="5"/>
  <c r="AM33" i="2"/>
  <c r="AM61" i="2"/>
  <c r="AM54" i="2"/>
  <c r="AM26" i="2"/>
  <c r="AM24" i="2"/>
  <c r="AM23" i="2"/>
  <c r="AM21" i="2"/>
  <c r="AM17" i="2"/>
  <c r="AM16" i="2"/>
  <c r="AM15" i="2"/>
  <c r="AM240" i="2"/>
  <c r="AM248" i="2"/>
  <c r="AM249" i="2"/>
  <c r="AM250" i="2"/>
  <c r="AM237" i="2"/>
  <c r="AM66" i="2"/>
  <c r="AM135" i="2"/>
  <c r="AM132" i="2"/>
  <c r="AM117" i="2"/>
  <c r="AM116" i="2"/>
  <c r="AM107" i="2"/>
  <c r="AM256" i="2"/>
  <c r="AM32" i="2"/>
  <c r="AR40" i="5"/>
  <c r="AR120" i="5"/>
  <c r="AM77" i="2"/>
  <c r="Y77" i="7"/>
  <c r="AM139" i="2"/>
  <c r="AM52" i="2"/>
  <c r="Y52" i="7"/>
  <c r="AM81" i="2"/>
  <c r="Y81" i="7"/>
  <c r="AM75" i="2"/>
  <c r="Y75" i="7"/>
  <c r="AM231" i="2"/>
  <c r="AM236" i="2"/>
  <c r="AM50" i="2"/>
  <c r="Y50" i="7"/>
  <c r="AM57" i="2"/>
  <c r="Y57" i="7"/>
  <c r="AM83" i="2"/>
  <c r="Y83" i="7"/>
  <c r="AM37" i="2"/>
  <c r="Y37" i="7"/>
  <c r="AM69" i="2"/>
  <c r="Y69" i="7"/>
  <c r="AM233" i="2"/>
  <c r="AM51" i="2"/>
  <c r="AC20" i="8"/>
  <c r="AC239" i="8"/>
  <c r="AC66" i="8"/>
  <c r="AC220" i="8"/>
  <c r="AC222" i="8"/>
  <c r="AC221" i="8"/>
  <c r="AC81" i="8"/>
  <c r="AC61" i="8"/>
  <c r="AC98" i="8"/>
  <c r="AC70" i="8"/>
  <c r="AA71" i="9"/>
  <c r="AC74" i="8"/>
  <c r="AC120" i="8"/>
  <c r="AC124" i="8"/>
  <c r="AC126" i="8"/>
  <c r="AC130" i="8"/>
  <c r="AC132" i="8"/>
  <c r="AC117" i="8"/>
  <c r="AC150" i="8"/>
  <c r="AC152" i="8"/>
  <c r="AC154" i="8"/>
  <c r="AC156" i="8"/>
  <c r="AC211" i="8"/>
  <c r="AC217" i="8"/>
  <c r="AC219" i="8"/>
  <c r="AC224" i="8"/>
  <c r="AC226" i="8"/>
  <c r="AC229" i="8"/>
  <c r="AC231" i="8"/>
  <c r="AC234" i="8"/>
  <c r="AC236" i="8"/>
  <c r="AC248" i="8"/>
  <c r="AC250" i="8"/>
  <c r="AC254" i="8"/>
  <c r="AC258" i="8"/>
  <c r="AC260" i="8"/>
  <c r="AC262" i="8"/>
  <c r="AC99" i="8"/>
  <c r="AC119" i="8"/>
  <c r="AC121" i="8"/>
  <c r="AC129" i="8"/>
  <c r="AC131" i="8"/>
  <c r="AC133" i="8"/>
  <c r="AC149" i="8"/>
  <c r="AC151" i="8"/>
  <c r="AC212" i="8"/>
  <c r="AC210" i="8"/>
  <c r="AC225" i="8"/>
  <c r="AC228" i="8"/>
  <c r="AC230" i="8"/>
  <c r="AC233" i="8"/>
  <c r="AC235" i="8"/>
  <c r="AC223" i="8"/>
  <c r="AC237" i="8"/>
  <c r="AC257" i="8"/>
  <c r="AC255" i="8"/>
  <c r="AC259" i="8"/>
  <c r="AC261" i="8"/>
  <c r="AC49" i="8"/>
  <c r="AC51" i="8"/>
  <c r="AC55" i="8"/>
  <c r="AC29" i="8"/>
  <c r="AA72" i="8"/>
  <c r="AF72" i="10"/>
  <c r="AC127" i="8"/>
  <c r="AC209" i="8"/>
  <c r="AC57" i="8"/>
  <c r="AF69" i="10"/>
  <c r="AA71" i="8"/>
  <c r="AC71" i="8" s="1"/>
  <c r="AF71" i="10"/>
  <c r="AA76" i="8"/>
  <c r="AC76" i="8" s="1"/>
  <c r="AF76" i="10"/>
  <c r="AA78" i="8"/>
  <c r="AC78" i="8" s="1"/>
  <c r="AF78" i="10"/>
  <c r="AC60" i="8"/>
  <c r="AC62" i="8"/>
  <c r="AF79" i="10"/>
  <c r="AA79" i="8"/>
  <c r="AC79" i="8" s="1"/>
  <c r="AA101" i="8"/>
  <c r="AC101" i="8" s="1"/>
  <c r="AF101" i="10"/>
  <c r="AC12" i="8"/>
  <c r="AC69" i="8"/>
  <c r="AC249" i="8"/>
  <c r="AC13" i="8"/>
  <c r="AM25" i="2"/>
  <c r="AC246" i="8"/>
  <c r="AC155" i="8"/>
  <c r="AC153" i="8"/>
  <c r="BN70" i="6"/>
  <c r="AZ73" i="6"/>
  <c r="AZ82" i="6"/>
  <c r="AZ87" i="6"/>
  <c r="AZ91" i="6"/>
  <c r="AM142" i="2"/>
  <c r="AC142" i="8"/>
  <c r="AC141" i="8"/>
  <c r="AC137" i="8"/>
  <c r="AR136" i="5"/>
  <c r="AM136" i="2"/>
  <c r="Y136" i="7"/>
  <c r="AC136" i="8"/>
  <c r="AC135" i="8"/>
  <c r="AC134" i="8"/>
  <c r="AC125" i="8"/>
  <c r="AC128" i="8"/>
  <c r="AY86" i="14"/>
  <c r="AC30" i="8"/>
  <c r="AC21" i="8"/>
  <c r="AC19" i="8"/>
  <c r="AM28" i="2"/>
  <c r="Y28" i="7"/>
  <c r="AM39" i="2"/>
  <c r="AM99" i="2"/>
  <c r="Y99" i="7"/>
  <c r="AC11" i="8"/>
  <c r="AC59" i="8"/>
  <c r="AC75" i="8"/>
  <c r="AC83" i="8"/>
  <c r="AC102" i="8"/>
  <c r="AM40" i="2"/>
  <c r="AR61" i="5"/>
  <c r="AR63" i="5"/>
  <c r="AR66" i="5"/>
  <c r="BN37" i="14"/>
  <c r="AC63" i="8"/>
  <c r="AC65" i="8"/>
  <c r="AC23" i="8"/>
  <c r="AC15" i="8"/>
  <c r="AC54" i="8"/>
  <c r="AC68" i="8"/>
  <c r="AC86" i="8"/>
  <c r="AC52" i="8"/>
  <c r="AC72" i="8" l="1"/>
  <c r="AR69" i="5"/>
  <c r="AR32" i="5"/>
  <c r="AR29" i="5"/>
  <c r="AR72" i="5"/>
  <c r="AR70" i="5"/>
  <c r="AR68" i="5"/>
  <c r="AR64" i="5"/>
  <c r="AR31" i="5"/>
  <c r="AR28" i="5"/>
  <c r="AR71" i="5"/>
  <c r="AR41" i="5"/>
  <c r="AR57" i="5"/>
  <c r="AR53" i="5"/>
  <c r="AR46" i="5"/>
  <c r="AR37" i="5"/>
  <c r="AR35" i="5"/>
  <c r="AR75" i="5"/>
  <c r="AR52" i="5"/>
  <c r="AR39" i="5"/>
  <c r="AR36" i="5"/>
  <c r="AR34" i="5"/>
  <c r="AR101" i="5"/>
  <c r="AM56" i="2"/>
  <c r="Y56" i="7"/>
  <c r="AM53" i="2"/>
  <c r="Y53" i="7"/>
  <c r="AC28" i="8"/>
  <c r="AC58" i="8"/>
  <c r="AC56" i="8"/>
  <c r="AC53" i="8"/>
  <c r="AR38" i="5"/>
  <c r="AF251" i="10"/>
  <c r="AA251" i="8" l="1"/>
  <c r="AC251" i="8" s="1"/>
  <c r="W34" i="8" l="1"/>
  <c r="W35" i="8" l="1"/>
  <c r="AC35" i="8" s="1"/>
  <c r="AC34" i="8"/>
  <c r="M12" i="10"/>
  <c r="AF12" i="10" s="1"/>
  <c r="AF14" i="10"/>
  <c r="E14" i="10"/>
  <c r="AZ43" i="6"/>
  <c r="AZ75" i="6"/>
  <c r="I75" i="6"/>
  <c r="AY87" i="14"/>
  <c r="AY103" i="14"/>
  <c r="AY129" i="14"/>
  <c r="AY145" i="14"/>
  <c r="AY161" i="14"/>
  <c r="AY180" i="14"/>
  <c r="AY196" i="14"/>
  <c r="AY212" i="14"/>
  <c r="AY230" i="14"/>
  <c r="AY246" i="14"/>
  <c r="AY265" i="14"/>
  <c r="AY100" i="14"/>
  <c r="AY126" i="14"/>
  <c r="AY142" i="14"/>
  <c r="AY158" i="14"/>
  <c r="AY173" i="14"/>
  <c r="AY189" i="14"/>
  <c r="AY205" i="14"/>
  <c r="AY221" i="14"/>
  <c r="AY239" i="14"/>
  <c r="AY254" i="14"/>
  <c r="AY89" i="14"/>
  <c r="AY124" i="14"/>
  <c r="AY156" i="14"/>
  <c r="AY186" i="14"/>
  <c r="AY218" i="14"/>
  <c r="AY256" i="14"/>
  <c r="AY109" i="14"/>
  <c r="AY151" i="14"/>
  <c r="AY187" i="14"/>
  <c r="AY219" i="14"/>
  <c r="AY251" i="14"/>
  <c r="AY110" i="14"/>
  <c r="AY152" i="14"/>
  <c r="AY182" i="14"/>
  <c r="AY214" i="14"/>
  <c r="AY248" i="14"/>
  <c r="AY105" i="14"/>
  <c r="AY147" i="14"/>
  <c r="AY175" i="14"/>
  <c r="AY207" i="14"/>
  <c r="AY241" i="14"/>
  <c r="AY259" i="14"/>
  <c r="AY193" i="14"/>
  <c r="AY98" i="14"/>
  <c r="AY190" i="14"/>
  <c r="AY203" i="14"/>
  <c r="AY136" i="14"/>
  <c r="AY201" i="14"/>
  <c r="AY213" i="14"/>
  <c r="AY261" i="14"/>
  <c r="AY99" i="14"/>
  <c r="AY125" i="14"/>
  <c r="AY141" i="14"/>
  <c r="AY157" i="14"/>
  <c r="AY176" i="14"/>
  <c r="AY192" i="14"/>
  <c r="AY208" i="14"/>
  <c r="AY225" i="14"/>
  <c r="AY242" i="14"/>
  <c r="AY96" i="14"/>
  <c r="AY122" i="14"/>
  <c r="AY138" i="14"/>
  <c r="AY154" i="14"/>
  <c r="AY170" i="14"/>
  <c r="AY185" i="14"/>
  <c r="AY217" i="14"/>
  <c r="AY235" i="14"/>
  <c r="AY250" i="14"/>
  <c r="AY266" i="14"/>
  <c r="AY106" i="14"/>
  <c r="AY148" i="14"/>
  <c r="AY178" i="14"/>
  <c r="AY210" i="14"/>
  <c r="AY244" i="14"/>
  <c r="AY101" i="14"/>
  <c r="AY143" i="14"/>
  <c r="AY179" i="14"/>
  <c r="AY211" i="14"/>
  <c r="AY245" i="14"/>
  <c r="AY102" i="14"/>
  <c r="AY144" i="14"/>
  <c r="AY174" i="14"/>
  <c r="AY206" i="14"/>
  <c r="AY240" i="14"/>
  <c r="AY97" i="14"/>
  <c r="AY139" i="14"/>
  <c r="AY171" i="14"/>
  <c r="AY199" i="14"/>
  <c r="AY233" i="14"/>
  <c r="AY263" i="14"/>
  <c r="AY91" i="14"/>
  <c r="AY133" i="14"/>
  <c r="AY165" i="14"/>
  <c r="AY200" i="14"/>
  <c r="AY234" i="14"/>
  <c r="AY88" i="14"/>
  <c r="AY130" i="14"/>
  <c r="AY162" i="14"/>
  <c r="AY226" i="14"/>
  <c r="AY258" i="14"/>
  <c r="AY132" i="14"/>
  <c r="AY194" i="14"/>
  <c r="AY264" i="14"/>
  <c r="AY159" i="14"/>
  <c r="AY229" i="14"/>
  <c r="AY128" i="14"/>
  <c r="AY252" i="14"/>
  <c r="AY155" i="14"/>
  <c r="AY215" i="14"/>
  <c r="AY134" i="14"/>
  <c r="AY153" i="14"/>
  <c r="AY223" i="14"/>
  <c r="AY231" i="14"/>
  <c r="AY137" i="14"/>
  <c r="AY92" i="14"/>
  <c r="AY166" i="14"/>
  <c r="AY140" i="14"/>
  <c r="AY93" i="14"/>
  <c r="AY237" i="14"/>
  <c r="AY198" i="14"/>
  <c r="AY163" i="14"/>
  <c r="AY121" i="14"/>
  <c r="AY188" i="14"/>
  <c r="AY220" i="14"/>
  <c r="AY257" i="14"/>
  <c r="AY108" i="14"/>
  <c r="AY150" i="14"/>
  <c r="AY181" i="14"/>
  <c r="AY247" i="14"/>
  <c r="AY172" i="14"/>
  <c r="AY236" i="14"/>
  <c r="AY135" i="14"/>
  <c r="AY94" i="14"/>
  <c r="AY168" i="14"/>
  <c r="AY232" i="14"/>
  <c r="AY131" i="14"/>
  <c r="AY191" i="14"/>
  <c r="AY255" i="14"/>
  <c r="AY202" i="14"/>
  <c r="AY149" i="14"/>
  <c r="AY243" i="14"/>
  <c r="AY95" i="14"/>
  <c r="AY253" i="14"/>
  <c r="AY90" i="14"/>
  <c r="AY224" i="14"/>
  <c r="AY184" i="14"/>
  <c r="AY209" i="14"/>
  <c r="AY195" i="14"/>
  <c r="AY107" i="14"/>
  <c r="AY249" i="14"/>
  <c r="AY164" i="14"/>
  <c r="AY123" i="14"/>
  <c r="AY260" i="14"/>
  <c r="AY262" i="14"/>
  <c r="AY169" i="14"/>
  <c r="AY204" i="14"/>
  <c r="AY238" i="14"/>
  <c r="AY197" i="14"/>
  <c r="AY167" i="14"/>
  <c r="AY227" i="14"/>
  <c r="AY146" i="14"/>
  <c r="AY104" i="14"/>
  <c r="AY127" i="14"/>
  <c r="AY183" i="14"/>
  <c r="AY216" i="14"/>
  <c r="AY177" i="14"/>
  <c r="AY160" i="14"/>
</calcChain>
</file>

<file path=xl/sharedStrings.xml><?xml version="1.0" encoding="utf-8"?>
<sst xmlns="http://schemas.openxmlformats.org/spreadsheetml/2006/main" count="12863" uniqueCount="520">
  <si>
    <t>Assets</t>
  </si>
  <si>
    <t>Liabilities</t>
  </si>
  <si>
    <t>Current</t>
  </si>
  <si>
    <t>Capital</t>
  </si>
  <si>
    <t>Deferred</t>
  </si>
  <si>
    <t>Total</t>
  </si>
  <si>
    <t>City</t>
  </si>
  <si>
    <t>County</t>
  </si>
  <si>
    <t>Restricted</t>
  </si>
  <si>
    <t>Unrestricted</t>
  </si>
  <si>
    <t>Akron</t>
  </si>
  <si>
    <t>Summit</t>
  </si>
  <si>
    <t>Alliance</t>
  </si>
  <si>
    <t>Stark</t>
  </si>
  <si>
    <t>Amherst</t>
  </si>
  <si>
    <t>Lorain</t>
  </si>
  <si>
    <t>Ashland</t>
  </si>
  <si>
    <t>Ashtabula</t>
  </si>
  <si>
    <t>Athens</t>
  </si>
  <si>
    <t>Aurora</t>
  </si>
  <si>
    <t>Portage</t>
  </si>
  <si>
    <t>Avon</t>
  </si>
  <si>
    <t>Avon Lake</t>
  </si>
  <si>
    <t>Barberton</t>
  </si>
  <si>
    <t>Bay Village</t>
  </si>
  <si>
    <t>Cuyahoga</t>
  </si>
  <si>
    <t>Beachwood</t>
  </si>
  <si>
    <t>Beavercreek</t>
  </si>
  <si>
    <t>Greene</t>
  </si>
  <si>
    <t>Bedford</t>
  </si>
  <si>
    <t>Bedford Heights</t>
  </si>
  <si>
    <t>Belmont</t>
  </si>
  <si>
    <t>Bellbrook</t>
  </si>
  <si>
    <t>Bellefontaine</t>
  </si>
  <si>
    <t>Logan</t>
  </si>
  <si>
    <t>Bellevue</t>
  </si>
  <si>
    <t>Huron</t>
  </si>
  <si>
    <t>Belpre</t>
  </si>
  <si>
    <t>Washington</t>
  </si>
  <si>
    <t>Berea</t>
  </si>
  <si>
    <t>Bexley</t>
  </si>
  <si>
    <t>Franklin</t>
  </si>
  <si>
    <t>Blue Ash</t>
  </si>
  <si>
    <t>Hamilton</t>
  </si>
  <si>
    <t>Bowling Green</t>
  </si>
  <si>
    <t>Wood</t>
  </si>
  <si>
    <t>Brecksville</t>
  </si>
  <si>
    <t>Broadview Heights</t>
  </si>
  <si>
    <t>Brook Park</t>
  </si>
  <si>
    <t>Brooklyn</t>
  </si>
  <si>
    <t>Brunswick</t>
  </si>
  <si>
    <t>Medina</t>
  </si>
  <si>
    <t>Bryan</t>
  </si>
  <si>
    <t>Williams</t>
  </si>
  <si>
    <t>Bucyrus</t>
  </si>
  <si>
    <t>Crawford</t>
  </si>
  <si>
    <t>Cambridge</t>
  </si>
  <si>
    <t>Guernsey</t>
  </si>
  <si>
    <t>Canfield</t>
  </si>
  <si>
    <t>Mahoning</t>
  </si>
  <si>
    <t>Canton</t>
  </si>
  <si>
    <t>Celina</t>
  </si>
  <si>
    <t>Mercer</t>
  </si>
  <si>
    <t>Centerville</t>
  </si>
  <si>
    <t>Montgomery</t>
  </si>
  <si>
    <t>Chardon</t>
  </si>
  <si>
    <t>Cheviot</t>
  </si>
  <si>
    <t>Chillicothe</t>
  </si>
  <si>
    <t>Ross</t>
  </si>
  <si>
    <t>Cincinnati</t>
  </si>
  <si>
    <t>Clayton</t>
  </si>
  <si>
    <t xml:space="preserve">Cleveland </t>
  </si>
  <si>
    <t>Cleveland Heights</t>
  </si>
  <si>
    <t>Clyde</t>
  </si>
  <si>
    <t>Sandusky</t>
  </si>
  <si>
    <t>Columbus</t>
  </si>
  <si>
    <t>Conneaut</t>
  </si>
  <si>
    <t>Cortland</t>
  </si>
  <si>
    <t>Trumbull</t>
  </si>
  <si>
    <t>Coshocton</t>
  </si>
  <si>
    <t>Cuyahoga Falls</t>
  </si>
  <si>
    <t>Dayton</t>
  </si>
  <si>
    <t>Deer Park</t>
  </si>
  <si>
    <t>Defiance</t>
  </si>
  <si>
    <t>Delaware</t>
  </si>
  <si>
    <t>Delphos</t>
  </si>
  <si>
    <t>Allen</t>
  </si>
  <si>
    <t>Tuscarawas</t>
  </si>
  <si>
    <t>Dublin</t>
  </si>
  <si>
    <t>Eastlake</t>
  </si>
  <si>
    <t>Lake</t>
  </si>
  <si>
    <t>East Liverpool</t>
  </si>
  <si>
    <t>Columbiana</t>
  </si>
  <si>
    <t>East Palestine</t>
  </si>
  <si>
    <t>Eaton</t>
  </si>
  <si>
    <t>Preble</t>
  </si>
  <si>
    <t>Elyria</t>
  </si>
  <si>
    <t>Englewood</t>
  </si>
  <si>
    <t>Euclid</t>
  </si>
  <si>
    <t>Fairborn</t>
  </si>
  <si>
    <t>Fairfield</t>
  </si>
  <si>
    <t>Butler</t>
  </si>
  <si>
    <t>Fairlawn</t>
  </si>
  <si>
    <t>Fairview Park</t>
  </si>
  <si>
    <t>Findlay</t>
  </si>
  <si>
    <t>Hancock</t>
  </si>
  <si>
    <t>Forest Park</t>
  </si>
  <si>
    <t>Fostoria</t>
  </si>
  <si>
    <t>Seneca</t>
  </si>
  <si>
    <t>Warren</t>
  </si>
  <si>
    <t>Fremont</t>
  </si>
  <si>
    <t>Gahanna</t>
  </si>
  <si>
    <t>Garfield Heights</t>
  </si>
  <si>
    <t>Geneva</t>
  </si>
  <si>
    <t>Girard</t>
  </si>
  <si>
    <t>Grandview Heights</t>
  </si>
  <si>
    <t>Green</t>
  </si>
  <si>
    <t>Highland</t>
  </si>
  <si>
    <t>Greenville</t>
  </si>
  <si>
    <t>Darke</t>
  </si>
  <si>
    <t>Grove City</t>
  </si>
  <si>
    <t>Harrison</t>
  </si>
  <si>
    <t>Heath</t>
  </si>
  <si>
    <t>Licking</t>
  </si>
  <si>
    <t>Highland Heights</t>
  </si>
  <si>
    <t>Hillard</t>
  </si>
  <si>
    <t>Hillsboro</t>
  </si>
  <si>
    <t>Hubbard</t>
  </si>
  <si>
    <t>Huber Heights</t>
  </si>
  <si>
    <t>Hudson</t>
  </si>
  <si>
    <t>Erie</t>
  </si>
  <si>
    <t>Independence</t>
  </si>
  <si>
    <t>Ironton</t>
  </si>
  <si>
    <t>Lawrence</t>
  </si>
  <si>
    <t>Jackson</t>
  </si>
  <si>
    <t>Kent</t>
  </si>
  <si>
    <t>Kenton</t>
  </si>
  <si>
    <t>Hardin</t>
  </si>
  <si>
    <t>Kettering</t>
  </si>
  <si>
    <t>Lakewood</t>
  </si>
  <si>
    <t>Lancaster</t>
  </si>
  <si>
    <t>Lebanon</t>
  </si>
  <si>
    <t>Lima</t>
  </si>
  <si>
    <t>Hocking</t>
  </si>
  <si>
    <t>London</t>
  </si>
  <si>
    <t>Madison</t>
  </si>
  <si>
    <t>Louisville</t>
  </si>
  <si>
    <t>Loveland</t>
  </si>
  <si>
    <t>Lyndhurst</t>
  </si>
  <si>
    <t>Macedonia</t>
  </si>
  <si>
    <t>Mansfield</t>
  </si>
  <si>
    <t>Richland</t>
  </si>
  <si>
    <t>Maple Heights</t>
  </si>
  <si>
    <t>Marietta</t>
  </si>
  <si>
    <t>Marion</t>
  </si>
  <si>
    <t>Martins Ferry</t>
  </si>
  <si>
    <t>Marysville</t>
  </si>
  <si>
    <t>Union</t>
  </si>
  <si>
    <t>Mason City</t>
  </si>
  <si>
    <t>Massillon</t>
  </si>
  <si>
    <t>Maumee</t>
  </si>
  <si>
    <t>Lucas</t>
  </si>
  <si>
    <t>Mayfield Heights</t>
  </si>
  <si>
    <t>Mentor</t>
  </si>
  <si>
    <t>Mentor-On-The-Lake</t>
  </si>
  <si>
    <t>Miamisburg</t>
  </si>
  <si>
    <t>Middleburg Hts</t>
  </si>
  <si>
    <t>Middletown</t>
  </si>
  <si>
    <t>Milford</t>
  </si>
  <si>
    <t>Clermont</t>
  </si>
  <si>
    <t>Monroe</t>
  </si>
  <si>
    <t>Moraine</t>
  </si>
  <si>
    <t>Mount Healthy</t>
  </si>
  <si>
    <t>Mount Vernon</t>
  </si>
  <si>
    <t>Knox</t>
  </si>
  <si>
    <t>Munroe Falls</t>
  </si>
  <si>
    <t>Napoleon</t>
  </si>
  <si>
    <t>Henry</t>
  </si>
  <si>
    <t>Nelsonville</t>
  </si>
  <si>
    <t>Newark</t>
  </si>
  <si>
    <t>New Carlisle</t>
  </si>
  <si>
    <t>Clark</t>
  </si>
  <si>
    <t>New Philadelphia</t>
  </si>
  <si>
    <t>Niles</t>
  </si>
  <si>
    <t>North Canton</t>
  </si>
  <si>
    <t>North Olmsted</t>
  </si>
  <si>
    <t>North Royalton</t>
  </si>
  <si>
    <t>North Ridegville</t>
  </si>
  <si>
    <t>Northwood</t>
  </si>
  <si>
    <t>Norton</t>
  </si>
  <si>
    <t>Norwalk</t>
  </si>
  <si>
    <t>Norwood</t>
  </si>
  <si>
    <t>Oakwood</t>
  </si>
  <si>
    <t>Oberlin</t>
  </si>
  <si>
    <t>Olmstead Falls</t>
  </si>
  <si>
    <t>Oregon</t>
  </si>
  <si>
    <t>Orrville</t>
  </si>
  <si>
    <t>Wayne</t>
  </si>
  <si>
    <t>Oxford</t>
  </si>
  <si>
    <t>Painesville</t>
  </si>
  <si>
    <t>Parma</t>
  </si>
  <si>
    <t>Parma Heights</t>
  </si>
  <si>
    <t>Pataskala</t>
  </si>
  <si>
    <t>Pepper Pike</t>
  </si>
  <si>
    <t>Perrysburg</t>
  </si>
  <si>
    <t>Pickerington</t>
  </si>
  <si>
    <t>Piqua</t>
  </si>
  <si>
    <t>Miami</t>
  </si>
  <si>
    <t>Port Clinton</t>
  </si>
  <si>
    <t>Ottawa</t>
  </si>
  <si>
    <t>Portsmouth</t>
  </si>
  <si>
    <t>Scioto</t>
  </si>
  <si>
    <t>Powell</t>
  </si>
  <si>
    <t>Ravenna</t>
  </si>
  <si>
    <t>Reading</t>
  </si>
  <si>
    <t>Reynoldsburg</t>
  </si>
  <si>
    <t>Richmond Heights</t>
  </si>
  <si>
    <t>Rittman</t>
  </si>
  <si>
    <t>Riverside</t>
  </si>
  <si>
    <t>Rocky River</t>
  </si>
  <si>
    <t>Rossford</t>
  </si>
  <si>
    <t>Salem</t>
  </si>
  <si>
    <t>Seven Hills</t>
  </si>
  <si>
    <t>Shaker Heights</t>
  </si>
  <si>
    <t>Sharonville</t>
  </si>
  <si>
    <t>Sheffield Lake</t>
  </si>
  <si>
    <t>Shelby</t>
  </si>
  <si>
    <t>Sidney</t>
  </si>
  <si>
    <t>Silverton</t>
  </si>
  <si>
    <t>Solon</t>
  </si>
  <si>
    <t>South Euclid</t>
  </si>
  <si>
    <t>Springboro</t>
  </si>
  <si>
    <t>Springdale</t>
  </si>
  <si>
    <t>Springfield</t>
  </si>
  <si>
    <t>St. Bernard</t>
  </si>
  <si>
    <t>St. Clairsville</t>
  </si>
  <si>
    <t>St. Marys</t>
  </si>
  <si>
    <t>Auglaize</t>
  </si>
  <si>
    <t>Stow</t>
  </si>
  <si>
    <t>Streetsboro</t>
  </si>
  <si>
    <t>Strongsville</t>
  </si>
  <si>
    <t>Sylvania</t>
  </si>
  <si>
    <t>Tallmadge</t>
  </si>
  <si>
    <t>Tiffin</t>
  </si>
  <si>
    <t>Tipp City</t>
  </si>
  <si>
    <t>Toledo</t>
  </si>
  <si>
    <t>Toronto</t>
  </si>
  <si>
    <t>Jefferson</t>
  </si>
  <si>
    <t>Trenton</t>
  </si>
  <si>
    <t>Trotwood</t>
  </si>
  <si>
    <t>Troy</t>
  </si>
  <si>
    <t>Twinsburg</t>
  </si>
  <si>
    <t>Uhrichsville</t>
  </si>
  <si>
    <t>University Heights</t>
  </si>
  <si>
    <t>Upper Arlington</t>
  </si>
  <si>
    <t>Upper Sandusky</t>
  </si>
  <si>
    <t>Wyandot</t>
  </si>
  <si>
    <t>Urbana</t>
  </si>
  <si>
    <t>Champaign</t>
  </si>
  <si>
    <t>Vandalia</t>
  </si>
  <si>
    <t>Vermilion</t>
  </si>
  <si>
    <t>Wadsworth</t>
  </si>
  <si>
    <t>Wapakoneta</t>
  </si>
  <si>
    <t>Warrensville Heights</t>
  </si>
  <si>
    <t>Wauseon</t>
  </si>
  <si>
    <t>Fulton</t>
  </si>
  <si>
    <t>Waverly</t>
  </si>
  <si>
    <t>Pike</t>
  </si>
  <si>
    <t>Wellston</t>
  </si>
  <si>
    <t>West Carrollton</t>
  </si>
  <si>
    <t>Westerville</t>
  </si>
  <si>
    <t>Westlake</t>
  </si>
  <si>
    <t>Whitehall</t>
  </si>
  <si>
    <t>Wickliffe</t>
  </si>
  <si>
    <t>Willard</t>
  </si>
  <si>
    <t>Willoughby</t>
  </si>
  <si>
    <t>Willoughby Hills</t>
  </si>
  <si>
    <t>Willowick</t>
  </si>
  <si>
    <t>Wilmington</t>
  </si>
  <si>
    <t>Clinton</t>
  </si>
  <si>
    <t>Wooster</t>
  </si>
  <si>
    <t>Worthington</t>
  </si>
  <si>
    <t>Wyoming</t>
  </si>
  <si>
    <t>Xenia</t>
  </si>
  <si>
    <t>Youngstown</t>
  </si>
  <si>
    <t>Zanesville</t>
  </si>
  <si>
    <t>Muskingum</t>
  </si>
  <si>
    <t>All Cities Reporting Under GAAP</t>
  </si>
  <si>
    <t>Capital Assets</t>
  </si>
  <si>
    <t>Program Revenues - Governmental Activities</t>
  </si>
  <si>
    <t>Charges for</t>
  </si>
  <si>
    <t>Property</t>
  </si>
  <si>
    <t>Other</t>
  </si>
  <si>
    <t>Investment</t>
  </si>
  <si>
    <t>General</t>
  </si>
  <si>
    <t>Services</t>
  </si>
  <si>
    <t>Grants</t>
  </si>
  <si>
    <t>Taxes</t>
  </si>
  <si>
    <t>Earnings</t>
  </si>
  <si>
    <t>Transfers</t>
  </si>
  <si>
    <t>Revenues</t>
  </si>
  <si>
    <t>Income</t>
  </si>
  <si>
    <t xml:space="preserve">Other </t>
  </si>
  <si>
    <t>Public</t>
  </si>
  <si>
    <t>Leisure</t>
  </si>
  <si>
    <t>Basic Utility</t>
  </si>
  <si>
    <t>Interest/</t>
  </si>
  <si>
    <t>Health</t>
  </si>
  <si>
    <t>Time</t>
  </si>
  <si>
    <t>Development</t>
  </si>
  <si>
    <t>Transportation</t>
  </si>
  <si>
    <t>Service</t>
  </si>
  <si>
    <t>Government</t>
  </si>
  <si>
    <t>1 Not broken out</t>
  </si>
  <si>
    <t>For the Year Ended December 31, 2002</t>
  </si>
  <si>
    <t>Reserved</t>
  </si>
  <si>
    <t>Unreserved/</t>
  </si>
  <si>
    <t>Cash and</t>
  </si>
  <si>
    <t>Fund</t>
  </si>
  <si>
    <t>Undesignated</t>
  </si>
  <si>
    <t>Investments</t>
  </si>
  <si>
    <t>Revenue</t>
  </si>
  <si>
    <t>Balance</t>
  </si>
  <si>
    <t>Fund Balance</t>
  </si>
  <si>
    <t>Income Tax</t>
  </si>
  <si>
    <t>Inter-</t>
  </si>
  <si>
    <t>Special</t>
  </si>
  <si>
    <t>Fees, Licenses</t>
  </si>
  <si>
    <t>All Other</t>
  </si>
  <si>
    <t>governmental</t>
  </si>
  <si>
    <t>Assessments</t>
  </si>
  <si>
    <t>Community</t>
  </si>
  <si>
    <t>Other Current</t>
  </si>
  <si>
    <t>Environment</t>
  </si>
  <si>
    <t>Activities</t>
  </si>
  <si>
    <t>Expenditures</t>
  </si>
  <si>
    <t>Outlay</t>
  </si>
  <si>
    <t>Principal</t>
  </si>
  <si>
    <t>Fiscal Charges</t>
  </si>
  <si>
    <t xml:space="preserve">Tiffin </t>
  </si>
  <si>
    <t>Cleveland</t>
  </si>
  <si>
    <t>Champgain</t>
  </si>
  <si>
    <t>Interest and</t>
  </si>
  <si>
    <t>Operating</t>
  </si>
  <si>
    <t>Champagin</t>
  </si>
  <si>
    <t>|</t>
  </si>
  <si>
    <t>Long-Term Obligations</t>
  </si>
  <si>
    <t>Property,</t>
  </si>
  <si>
    <t>Mortgage and</t>
  </si>
  <si>
    <t>Non-Current</t>
  </si>
  <si>
    <t>Long-Term</t>
  </si>
  <si>
    <t>Expenses Less</t>
  </si>
  <si>
    <t>Non-Operating</t>
  </si>
  <si>
    <t>Net Working</t>
  </si>
  <si>
    <t>Obligation</t>
  </si>
  <si>
    <t>Depreciation</t>
  </si>
  <si>
    <t>Income/Loss</t>
  </si>
  <si>
    <t>Transfers-In</t>
  </si>
  <si>
    <t>Transfers-Out</t>
  </si>
  <si>
    <t>Contributions</t>
  </si>
  <si>
    <t>Bonds</t>
  </si>
  <si>
    <t>Loans</t>
  </si>
  <si>
    <t>Obligations</t>
  </si>
  <si>
    <t xml:space="preserve">Mount Healthy </t>
  </si>
  <si>
    <t>No Notes, cant breakdown enterprise</t>
  </si>
  <si>
    <t>No breakdown avaiable</t>
  </si>
  <si>
    <t>Change in</t>
  </si>
  <si>
    <t>Champiagn</t>
  </si>
  <si>
    <t>Clintion</t>
  </si>
  <si>
    <t xml:space="preserve">No Segment information avaiable </t>
  </si>
  <si>
    <t>not broken out</t>
  </si>
  <si>
    <t>Revenues/</t>
  </si>
  <si>
    <t>Expenses</t>
  </si>
  <si>
    <t>Geauga</t>
  </si>
  <si>
    <t>All</t>
  </si>
  <si>
    <t>Assessment</t>
  </si>
  <si>
    <t>Notes</t>
  </si>
  <si>
    <t>Compensated</t>
  </si>
  <si>
    <t>Payables</t>
  </si>
  <si>
    <t>Payable</t>
  </si>
  <si>
    <t>Leases</t>
  </si>
  <si>
    <t>Absences</t>
  </si>
  <si>
    <t>Revenues from the Statement of Activities</t>
  </si>
  <si>
    <t>Expenses from the Statement of Activities</t>
  </si>
  <si>
    <t>Ontario</t>
  </si>
  <si>
    <t>General Fund Revenues - Modified Accrual Basis of Accounting</t>
  </si>
  <si>
    <t>General Fund Expenditures - Modified Accrual Basis of Accounting</t>
  </si>
  <si>
    <t>Governmental Fund Expenditures - Modified Accrual Basis of Accounting</t>
  </si>
  <si>
    <t xml:space="preserve">Summary Data from the Governmental Fund Balance Sheet </t>
  </si>
  <si>
    <t>Water Enterprise Fund</t>
  </si>
  <si>
    <t>Sewer Enterprise Fund</t>
  </si>
  <si>
    <t>Electric Enterprise Fund</t>
  </si>
  <si>
    <t xml:space="preserve">Dover </t>
  </si>
  <si>
    <t>Dover</t>
  </si>
  <si>
    <t xml:space="preserve">Security of </t>
  </si>
  <si>
    <t xml:space="preserve"> Property</t>
  </si>
  <si>
    <t>Persons and</t>
  </si>
  <si>
    <t>Operating Grants</t>
  </si>
  <si>
    <t>and Interest</t>
  </si>
  <si>
    <t>and Fines</t>
  </si>
  <si>
    <t xml:space="preserve">Ontario </t>
  </si>
  <si>
    <t>1 information not available</t>
  </si>
  <si>
    <t>1 not broken out</t>
  </si>
  <si>
    <t>No Segment information provided</t>
  </si>
  <si>
    <t>No breakdown aviable</t>
  </si>
  <si>
    <t>1 Not enough info to determine</t>
  </si>
  <si>
    <t>1 Loans not broken out</t>
  </si>
  <si>
    <t>Information missing from segment info to calculate</t>
  </si>
  <si>
    <t>Information not available</t>
  </si>
  <si>
    <t>Additions to</t>
  </si>
  <si>
    <t>Deletions from</t>
  </si>
  <si>
    <t>Plant and</t>
  </si>
  <si>
    <t>Revenue/Expense</t>
  </si>
  <si>
    <t>Equipment</t>
  </si>
  <si>
    <t>Summary Data from the General Fund Balance Sheet</t>
  </si>
  <si>
    <t xml:space="preserve">Total </t>
  </si>
  <si>
    <t>General Fund</t>
  </si>
  <si>
    <t xml:space="preserve">Plant and </t>
  </si>
  <si>
    <t xml:space="preserve">                                              Expenses - Governmental Activities</t>
  </si>
  <si>
    <t>General Long-Term Obligations</t>
  </si>
  <si>
    <t xml:space="preserve">Persons and </t>
  </si>
  <si>
    <t>Taxes (1)</t>
  </si>
  <si>
    <t>Total General</t>
  </si>
  <si>
    <t>Total All</t>
  </si>
  <si>
    <t>Net</t>
  </si>
  <si>
    <t>Balanced</t>
  </si>
  <si>
    <t>=0</t>
  </si>
  <si>
    <t xml:space="preserve">  =0</t>
  </si>
  <si>
    <t>Inventory</t>
  </si>
  <si>
    <t>Other Financing</t>
  </si>
  <si>
    <t>Uses</t>
  </si>
  <si>
    <t>Financing</t>
  </si>
  <si>
    <t>Sources</t>
  </si>
  <si>
    <t>If = 0</t>
  </si>
  <si>
    <t>Designated</t>
  </si>
  <si>
    <t>Than One Year</t>
  </si>
  <si>
    <t>In/(Out)</t>
  </si>
  <si>
    <t xml:space="preserve">Due </t>
  </si>
  <si>
    <t>Within</t>
  </si>
  <si>
    <t>1 Year</t>
  </si>
  <si>
    <t>Items</t>
  </si>
  <si>
    <t>Revenues,</t>
  </si>
  <si>
    <t>Transfers and</t>
  </si>
  <si>
    <t>Special Items</t>
  </si>
  <si>
    <t xml:space="preserve">Special </t>
  </si>
  <si>
    <t>Due in More</t>
  </si>
  <si>
    <t xml:space="preserve">  </t>
  </si>
  <si>
    <t>.</t>
  </si>
  <si>
    <t>Fayette</t>
  </si>
  <si>
    <t>at Beginning</t>
  </si>
  <si>
    <t>of Year</t>
  </si>
  <si>
    <t>Increase/Decrease</t>
  </si>
  <si>
    <t>in Reserve for</t>
  </si>
  <si>
    <t xml:space="preserve">in Prepaids </t>
  </si>
  <si>
    <t xml:space="preserve">and/or Reserve </t>
  </si>
  <si>
    <t>for Inventory</t>
  </si>
  <si>
    <t>End of Year</t>
  </si>
  <si>
    <t xml:space="preserve"> </t>
  </si>
  <si>
    <t>Brookville</t>
  </si>
  <si>
    <t>Circleville</t>
  </si>
  <si>
    <t>Pickaway</t>
  </si>
  <si>
    <t>Crestline</t>
  </si>
  <si>
    <t xml:space="preserve">Bedford Heights </t>
  </si>
  <si>
    <t xml:space="preserve">Aurora </t>
  </si>
  <si>
    <t xml:space="preserve">Franklin </t>
  </si>
  <si>
    <t xml:space="preserve">Celina </t>
  </si>
  <si>
    <t xml:space="preserve">            General Revenues     - Governmental Activities</t>
  </si>
  <si>
    <t>(1) May include income and other taxes if not presented separately</t>
  </si>
  <si>
    <t>Other Non-</t>
  </si>
  <si>
    <t>Current Assets</t>
  </si>
  <si>
    <t>Canal Fulton</t>
  </si>
  <si>
    <t>Indian Hill</t>
  </si>
  <si>
    <t>Kirtland</t>
  </si>
  <si>
    <t xml:space="preserve">Kirtland </t>
  </si>
  <si>
    <t>Kirkland</t>
  </si>
  <si>
    <t>Madeira</t>
  </si>
  <si>
    <t>Indian Hills</t>
  </si>
  <si>
    <t xml:space="preserve">Indian Hills </t>
  </si>
  <si>
    <t>(Continued)</t>
  </si>
  <si>
    <t>Carlisle</t>
  </si>
  <si>
    <t>Steubenville</t>
  </si>
  <si>
    <t>New Franklin</t>
  </si>
  <si>
    <t>East Cleveland</t>
  </si>
  <si>
    <t>Galion</t>
  </si>
  <si>
    <t xml:space="preserve">Galion </t>
  </si>
  <si>
    <t>Kenton - Cash Basis</t>
  </si>
  <si>
    <t>Olmsted Falls</t>
  </si>
  <si>
    <t>Governmental Fund Revenues - Modified Accrual Basis of Accounting</t>
  </si>
  <si>
    <t xml:space="preserve">Water Enterprise Fund </t>
  </si>
  <si>
    <t>Sanitantion Enterprise Fund</t>
  </si>
  <si>
    <t>Sanitation Enterprise Fund</t>
  </si>
  <si>
    <t>Assigned</t>
  </si>
  <si>
    <t>Unassigned</t>
  </si>
  <si>
    <t>Canal Winchester</t>
  </si>
  <si>
    <t>Groveport</t>
  </si>
  <si>
    <t>New Albany</t>
  </si>
  <si>
    <t>City of Indian Hill</t>
  </si>
  <si>
    <t>Village of Indian Hill</t>
  </si>
  <si>
    <t>Washington Court House</t>
  </si>
  <si>
    <t>Waterville</t>
  </si>
  <si>
    <t>Washington Court Hosue</t>
  </si>
  <si>
    <t>Deferred Outflows</t>
  </si>
  <si>
    <t>of Resources</t>
  </si>
  <si>
    <t>Deferred Inflows</t>
  </si>
  <si>
    <t>As of December 31, 2012</t>
  </si>
  <si>
    <t>For the Year Ended December 31, 2012</t>
  </si>
  <si>
    <t>Outflows of</t>
  </si>
  <si>
    <t>Resources</t>
  </si>
  <si>
    <t>Inflows of</t>
  </si>
  <si>
    <t>Campbell</t>
  </si>
  <si>
    <t>Struthers</t>
  </si>
  <si>
    <t>Summary Data from the Statement of Net Position - Governmental Activities</t>
  </si>
  <si>
    <t>Net Position</t>
  </si>
  <si>
    <t>Net Investment in</t>
  </si>
  <si>
    <t>Position at</t>
  </si>
  <si>
    <t>Summary Data from the Statement of Net Position</t>
  </si>
  <si>
    <t>Net Investment</t>
  </si>
  <si>
    <t>in Capital</t>
  </si>
  <si>
    <t>Summary Data from the Statement of Revenues, Expenses, and Changes in Net Position</t>
  </si>
  <si>
    <t>In Capital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</si>
</sst>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5" formatCode="&quot;$&quot;#,##0_);\(&quot;$&quot;#,##0\)"/>
    <numFmt numFmtId="43" formatCode="_(* #,##0.00_);_(* \(#,##0.00\);_(* &quot;-&quot;??_);_(@_)"/>
    <numFmt numFmtId="164" formatCode="_(* #,##0_);_(* \(#,##0\);_(* &quot;-&quot;??_);_(@_)"/>
  </numFmts>
  <fonts count="11" x14ac:knownFonts="1">
    <font>
      <sz val="10"/>
      <name val="Arial"/>
    </font>
    <font>
      <sz val="10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0"/>
      </bottom>
      <diagonal/>
    </border>
  </borders>
  <cellStyleXfs count="5">
    <xf numFmtId="0" fontId="0" fillId="0" borderId="0" applyProtection="0"/>
    <xf numFmtId="43" fontId="1" fillId="0" borderId="0" applyFont="0" applyFill="0" applyBorder="0" applyAlignment="0" applyProtection="0"/>
    <xf numFmtId="3" fontId="6" fillId="0" borderId="0" applyFont="0" applyFill="0" applyBorder="0" applyAlignment="0" applyProtection="0"/>
    <xf numFmtId="5" fontId="6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97">
    <xf numFmtId="0" fontId="0" fillId="0" borderId="0" xfId="0"/>
    <xf numFmtId="0" fontId="3" fillId="0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/>
    <xf numFmtId="37" fontId="3" fillId="0" borderId="1" xfId="0" applyNumberFormat="1" applyFont="1" applyFill="1" applyBorder="1" applyAlignment="1">
      <alignment horizontal="centerContinuous"/>
    </xf>
    <xf numFmtId="37" fontId="3" fillId="0" borderId="0" xfId="0" applyNumberFormat="1" applyFont="1" applyFill="1" applyBorder="1"/>
    <xf numFmtId="37" fontId="3" fillId="0" borderId="0" xfId="0" applyNumberFormat="1" applyFont="1" applyFill="1"/>
    <xf numFmtId="37" fontId="3" fillId="0" borderId="0" xfId="2" applyNumberFormat="1" applyFont="1" applyFill="1" applyBorder="1" applyAlignment="1">
      <alignment horizontal="right"/>
    </xf>
    <xf numFmtId="5" fontId="3" fillId="0" borderId="0" xfId="0" applyNumberFormat="1" applyFont="1" applyFill="1"/>
    <xf numFmtId="0" fontId="3" fillId="0" borderId="0" xfId="0" applyFont="1" applyFill="1"/>
    <xf numFmtId="37" fontId="3" fillId="0" borderId="0" xfId="0" applyNumberFormat="1" applyFont="1" applyFill="1" applyAlignment="1">
      <alignment horizontal="right"/>
    </xf>
    <xf numFmtId="3" fontId="3" fillId="0" borderId="0" xfId="0" applyNumberFormat="1" applyFont="1" applyFill="1"/>
    <xf numFmtId="3" fontId="3" fillId="0" borderId="0" xfId="0" applyNumberFormat="1" applyFont="1" applyFill="1" applyBorder="1"/>
    <xf numFmtId="0" fontId="0" fillId="0" borderId="0" xfId="0" applyFill="1"/>
    <xf numFmtId="3" fontId="3" fillId="0" borderId="0" xfId="2" applyNumberFormat="1" applyFont="1" applyFill="1" applyBorder="1"/>
    <xf numFmtId="37" fontId="3" fillId="0" borderId="0" xfId="0" applyNumberFormat="1" applyFont="1" applyFill="1" applyBorder="1" applyAlignment="1">
      <alignment horizontal="right"/>
    </xf>
    <xf numFmtId="37" fontId="2" fillId="0" borderId="0" xfId="0" applyNumberFormat="1" applyFont="1" applyFill="1" applyBorder="1" applyAlignment="1">
      <alignment horizontal="center"/>
    </xf>
    <xf numFmtId="37" fontId="3" fillId="0" borderId="0" xfId="2" applyNumberFormat="1" applyFont="1" applyFill="1" applyBorder="1"/>
    <xf numFmtId="5" fontId="3" fillId="0" borderId="0" xfId="0" applyNumberFormat="1" applyFont="1" applyFill="1" applyBorder="1"/>
    <xf numFmtId="37" fontId="0" fillId="0" borderId="0" xfId="0" applyNumberFormat="1" applyFill="1"/>
    <xf numFmtId="5" fontId="0" fillId="0" borderId="0" xfId="0" applyNumberFormat="1" applyFill="1"/>
    <xf numFmtId="5" fontId="3" fillId="0" borderId="0" xfId="0" applyNumberFormat="1" applyFont="1" applyFill="1" applyAlignment="1">
      <alignment horizontal="right"/>
    </xf>
    <xf numFmtId="37" fontId="2" fillId="0" borderId="0" xfId="0" applyNumberFormat="1" applyFont="1" applyFill="1" applyBorder="1" applyAlignment="1">
      <alignment horizontal="left"/>
    </xf>
    <xf numFmtId="37" fontId="2" fillId="0" borderId="0" xfId="0" applyNumberFormat="1" applyFont="1" applyFill="1" applyBorder="1"/>
    <xf numFmtId="3" fontId="2" fillId="0" borderId="0" xfId="2" applyFont="1" applyFill="1" applyBorder="1" applyAlignment="1">
      <alignment horizontal="left"/>
    </xf>
    <xf numFmtId="37" fontId="3" fillId="0" borderId="0" xfId="0" applyNumberFormat="1" applyFont="1" applyFill="1" applyBorder="1" applyAlignment="1">
      <alignment horizontal="centerContinuous"/>
    </xf>
    <xf numFmtId="37" fontId="3" fillId="0" borderId="2" xfId="0" applyNumberFormat="1" applyFont="1" applyFill="1" applyBorder="1" applyAlignment="1">
      <alignment horizontal="center"/>
    </xf>
    <xf numFmtId="5" fontId="3" fillId="0" borderId="0" xfId="0" applyNumberFormat="1" applyFont="1" applyFill="1" applyBorder="1" applyAlignment="1">
      <alignment horizontal="right"/>
    </xf>
    <xf numFmtId="37" fontId="2" fillId="0" borderId="0" xfId="0" applyNumberFormat="1" applyFont="1" applyFill="1"/>
    <xf numFmtId="37" fontId="3" fillId="0" borderId="0" xfId="2" applyNumberFormat="1" applyFont="1" applyFill="1" applyBorder="1" applyAlignment="1"/>
    <xf numFmtId="37" fontId="2" fillId="0" borderId="0" xfId="2" applyNumberFormat="1" applyFont="1" applyFill="1" applyBorder="1"/>
    <xf numFmtId="37" fontId="2" fillId="0" borderId="0" xfId="2" applyNumberFormat="1" applyFont="1" applyFill="1" applyBorder="1" applyAlignment="1">
      <alignment horizontal="centerContinuous"/>
    </xf>
    <xf numFmtId="37" fontId="3" fillId="0" borderId="0" xfId="2" applyNumberFormat="1" applyFont="1" applyFill="1" applyBorder="1" applyAlignment="1">
      <alignment horizontal="left"/>
    </xf>
    <xf numFmtId="37" fontId="2" fillId="0" borderId="0" xfId="2" applyNumberFormat="1" applyFont="1" applyFill="1" applyBorder="1" applyAlignment="1">
      <alignment horizontal="left"/>
    </xf>
    <xf numFmtId="37" fontId="3" fillId="0" borderId="0" xfId="2" applyNumberFormat="1" applyFont="1" applyFill="1" applyBorder="1" applyAlignment="1">
      <alignment horizontal="center"/>
    </xf>
    <xf numFmtId="5" fontId="3" fillId="0" borderId="0" xfId="2" applyNumberFormat="1" applyFont="1" applyFill="1" applyBorder="1"/>
    <xf numFmtId="5" fontId="2" fillId="0" borderId="0" xfId="0" applyNumberFormat="1" applyFon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left"/>
    </xf>
    <xf numFmtId="37" fontId="3" fillId="0" borderId="0" xfId="0" applyNumberFormat="1" applyFont="1" applyFill="1" applyBorder="1" applyAlignment="1"/>
    <xf numFmtId="5" fontId="3" fillId="0" borderId="0" xfId="2" applyNumberFormat="1" applyFont="1" applyFill="1" applyBorder="1" applyAlignment="1">
      <alignment horizontal="right"/>
    </xf>
    <xf numFmtId="5" fontId="3" fillId="0" borderId="0" xfId="2" applyNumberFormat="1" applyFont="1" applyFill="1" applyBorder="1" applyAlignment="1"/>
    <xf numFmtId="0" fontId="6" fillId="0" borderId="0" xfId="0" applyFont="1" applyFill="1"/>
    <xf numFmtId="0" fontId="3" fillId="0" borderId="0" xfId="0" applyFont="1" applyFill="1" applyAlignment="1">
      <alignment horizontal="center"/>
    </xf>
    <xf numFmtId="3" fontId="3" fillId="0" borderId="0" xfId="0" applyNumberFormat="1" applyFont="1" applyFill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3" fontId="3" fillId="0" borderId="2" xfId="0" applyNumberFormat="1" applyFont="1" applyFill="1" applyBorder="1" applyAlignment="1">
      <alignment horizontal="center"/>
    </xf>
    <xf numFmtId="3" fontId="3" fillId="0" borderId="1" xfId="0" quotePrefix="1" applyNumberFormat="1" applyFont="1" applyFill="1" applyBorder="1" applyAlignment="1">
      <alignment horizontal="center"/>
    </xf>
    <xf numFmtId="0" fontId="3" fillId="0" borderId="1" xfId="0" quotePrefix="1" applyFont="1" applyFill="1" applyBorder="1" applyAlignment="1">
      <alignment horizontal="center"/>
    </xf>
    <xf numFmtId="164" fontId="3" fillId="0" borderId="0" xfId="1" applyNumberFormat="1" applyFont="1" applyFill="1"/>
    <xf numFmtId="37" fontId="3" fillId="0" borderId="0" xfId="0" quotePrefix="1" applyNumberFormat="1" applyFont="1" applyFill="1" applyAlignment="1">
      <alignment horizontal="center"/>
    </xf>
    <xf numFmtId="37" fontId="3" fillId="0" borderId="1" xfId="2" applyNumberFormat="1" applyFont="1" applyFill="1" applyBorder="1" applyAlignment="1">
      <alignment horizontal="center"/>
    </xf>
    <xf numFmtId="37" fontId="0" fillId="0" borderId="0" xfId="0" applyNumberFormat="1" applyFill="1" applyAlignment="1">
      <alignment horizontal="center"/>
    </xf>
    <xf numFmtId="37" fontId="6" fillId="0" borderId="0" xfId="0" applyNumberFormat="1" applyFont="1" applyFill="1"/>
    <xf numFmtId="37" fontId="7" fillId="0" borderId="0" xfId="0" applyNumberFormat="1" applyFont="1" applyFill="1"/>
    <xf numFmtId="0" fontId="9" fillId="0" borderId="0" xfId="0" applyFont="1" applyFill="1" applyAlignment="1">
      <alignment horizontal="center"/>
    </xf>
    <xf numFmtId="0" fontId="9" fillId="0" borderId="0" xfId="0" applyFont="1" applyFill="1"/>
    <xf numFmtId="5" fontId="9" fillId="0" borderId="0" xfId="0" applyNumberFormat="1" applyFont="1" applyFill="1"/>
    <xf numFmtId="37" fontId="9" fillId="0" borderId="0" xfId="0" applyNumberFormat="1" applyFont="1" applyFill="1"/>
    <xf numFmtId="3" fontId="9" fillId="0" borderId="0" xfId="0" applyNumberFormat="1" applyFont="1" applyFill="1"/>
    <xf numFmtId="37" fontId="9" fillId="0" borderId="0" xfId="0" applyNumberFormat="1" applyFont="1" applyFill="1" applyAlignment="1">
      <alignment horizontal="right"/>
    </xf>
    <xf numFmtId="37" fontId="3" fillId="0" borderId="0" xfId="0" applyNumberFormat="1" applyFont="1" applyFill="1" applyProtection="1"/>
    <xf numFmtId="37" fontId="1" fillId="0" borderId="0" xfId="0" applyNumberFormat="1" applyFont="1" applyFill="1"/>
    <xf numFmtId="37" fontId="3" fillId="0" borderId="0" xfId="0" applyNumberFormat="1" applyFont="1" applyFill="1" applyAlignment="1">
      <alignment horizontal="center"/>
    </xf>
    <xf numFmtId="37" fontId="3" fillId="0" borderId="0" xfId="0" applyNumberFormat="1" applyFont="1" applyFill="1" applyAlignment="1"/>
    <xf numFmtId="37" fontId="3" fillId="0" borderId="0" xfId="3" applyNumberFormat="1" applyFont="1" applyFill="1" applyBorder="1"/>
    <xf numFmtId="9" fontId="3" fillId="0" borderId="0" xfId="4" applyFont="1" applyFill="1"/>
    <xf numFmtId="37" fontId="3" fillId="0" borderId="1" xfId="0" applyNumberFormat="1" applyFont="1" applyFill="1" applyBorder="1" applyAlignment="1">
      <alignment horizontal="center"/>
    </xf>
    <xf numFmtId="37" fontId="3" fillId="0" borderId="0" xfId="0" applyNumberFormat="1" applyFont="1" applyFill="1" applyBorder="1" applyAlignment="1">
      <alignment horizontal="center"/>
    </xf>
    <xf numFmtId="37" fontId="2" fillId="0" borderId="0" xfId="0" applyNumberFormat="1" applyFont="1" applyFill="1" applyBorder="1" applyAlignment="1"/>
    <xf numFmtId="37" fontId="5" fillId="0" borderId="0" xfId="0" applyNumberFormat="1" applyFont="1" applyFill="1"/>
    <xf numFmtId="37" fontId="2" fillId="0" borderId="0" xfId="0" applyNumberFormat="1" applyFont="1" applyFill="1" applyAlignment="1"/>
    <xf numFmtId="0" fontId="1" fillId="0" borderId="0" xfId="0" applyFont="1" applyFill="1"/>
    <xf numFmtId="37" fontId="2" fillId="0" borderId="0" xfId="2" applyNumberFormat="1" applyFont="1" applyFill="1" applyBorder="1" applyAlignment="1"/>
    <xf numFmtId="0" fontId="2" fillId="0" borderId="0" xfId="0" applyFont="1" applyFill="1"/>
    <xf numFmtId="3" fontId="2" fillId="0" borderId="0" xfId="0" applyNumberFormat="1" applyFont="1" applyFill="1" applyBorder="1"/>
    <xf numFmtId="0" fontId="8" fillId="0" borderId="0" xfId="0" applyFont="1" applyFill="1"/>
    <xf numFmtId="37" fontId="2" fillId="0" borderId="0" xfId="0" applyNumberFormat="1" applyFont="1" applyFill="1" applyBorder="1" applyAlignment="1">
      <alignment horizontal="right"/>
    </xf>
    <xf numFmtId="0" fontId="2" fillId="0" borderId="0" xfId="0" applyFont="1" applyFill="1" applyBorder="1"/>
    <xf numFmtId="3" fontId="2" fillId="0" borderId="0" xfId="0" applyNumberFormat="1" applyFont="1" applyFill="1"/>
    <xf numFmtId="37" fontId="3" fillId="0" borderId="0" xfId="2" applyNumberFormat="1" applyFont="1" applyFill="1" applyBorder="1" applyAlignment="1">
      <alignment horizontal="right" vertical="center"/>
    </xf>
    <xf numFmtId="0" fontId="3" fillId="0" borderId="1" xfId="0" applyFont="1" applyFill="1" applyBorder="1" applyAlignment="1"/>
    <xf numFmtId="0" fontId="3" fillId="0" borderId="0" xfId="0" applyFont="1" applyFill="1" applyBorder="1" applyAlignment="1"/>
    <xf numFmtId="5" fontId="1" fillId="0" borderId="0" xfId="0" applyNumberFormat="1" applyFont="1" applyFill="1"/>
    <xf numFmtId="0" fontId="3" fillId="0" borderId="1" xfId="0" applyFont="1" applyFill="1" applyBorder="1" applyAlignment="1">
      <alignment horizontal="centerContinuous"/>
    </xf>
    <xf numFmtId="0" fontId="3" fillId="0" borderId="0" xfId="0" applyFont="1" applyFill="1" applyBorder="1" applyAlignment="1">
      <alignment horizontal="centerContinuous"/>
    </xf>
    <xf numFmtId="5" fontId="3" fillId="0" borderId="0" xfId="0" applyNumberFormat="1" applyFont="1" applyFill="1" applyProtection="1"/>
    <xf numFmtId="37" fontId="3" fillId="0" borderId="1" xfId="0" applyNumberFormat="1" applyFont="1" applyFill="1" applyBorder="1" applyAlignment="1">
      <alignment horizontal="center"/>
    </xf>
    <xf numFmtId="37" fontId="3" fillId="0" borderId="0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37" fontId="3" fillId="0" borderId="0" xfId="0" applyNumberFormat="1" applyFont="1" applyFill="1" applyBorder="1" applyAlignment="1">
      <alignment horizontal="center"/>
    </xf>
    <xf numFmtId="0" fontId="7" fillId="0" borderId="0" xfId="0" applyFont="1" applyFill="1"/>
    <xf numFmtId="37" fontId="3" fillId="0" borderId="0" xfId="2" applyNumberFormat="1" applyFont="1" applyFill="1" applyBorder="1" applyAlignment="1">
      <alignment horizontal="right" indent="1"/>
    </xf>
    <xf numFmtId="37" fontId="3" fillId="0" borderId="1" xfId="0" applyNumberFormat="1" applyFont="1" applyFill="1" applyBorder="1" applyAlignment="1">
      <alignment horizontal="center"/>
    </xf>
    <xf numFmtId="37" fontId="3" fillId="0" borderId="0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2" fontId="3" fillId="0" borderId="0" xfId="0" applyNumberFormat="1" applyFont="1" applyFill="1" applyBorder="1"/>
  </cellXfs>
  <cellStyles count="5">
    <cellStyle name="Comma" xfId="1" builtinId="3"/>
    <cellStyle name="Comma0" xfId="2"/>
    <cellStyle name="Currency0" xfId="3"/>
    <cellStyle name="Normal" xfId="0" builtinId="0"/>
    <cellStyle name="Percent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72"/>
  <sheetViews>
    <sheetView tabSelected="1" view="pageBreakPreview" zoomScale="80" zoomScaleNormal="100" zoomScaleSheetLayoutView="80" workbookViewId="0">
      <selection activeCell="E186" sqref="E186:AC186"/>
    </sheetView>
  </sheetViews>
  <sheetFormatPr defaultColWidth="9.140625" defaultRowHeight="12.75" customHeight="1" x14ac:dyDescent="0.2"/>
  <cols>
    <col min="1" max="1" width="19.42578125" style="7" customWidth="1"/>
    <col min="2" max="2" width="1.7109375" style="10" customWidth="1"/>
    <col min="3" max="3" width="11.42578125" style="7" bestFit="1" customWidth="1"/>
    <col min="4" max="4" width="1.7109375" style="10" customWidth="1"/>
    <col min="5" max="5" width="13.42578125" style="7" bestFit="1" customWidth="1"/>
    <col min="6" max="6" width="1.7109375" style="7" customWidth="1"/>
    <col min="7" max="7" width="14.28515625" style="7" bestFit="1" customWidth="1"/>
    <col min="8" max="8" width="1.7109375" style="7" customWidth="1"/>
    <col min="9" max="9" width="16" style="7" customWidth="1"/>
    <col min="10" max="10" width="1.7109375" style="7" customWidth="1"/>
    <col min="11" max="11" width="13.140625" style="7" customWidth="1"/>
    <col min="12" max="12" width="1.7109375" style="7" customWidth="1"/>
    <col min="13" max="13" width="15" style="7" bestFit="1" customWidth="1"/>
    <col min="14" max="14" width="1.7109375" style="7" customWidth="1"/>
    <col min="15" max="15" width="13.140625" style="7" bestFit="1" customWidth="1"/>
    <col min="16" max="16" width="1.7109375" style="7" customWidth="1"/>
    <col min="17" max="17" width="13.7109375" style="7" bestFit="1" customWidth="1"/>
    <col min="18" max="18" width="1.85546875" style="7" customWidth="1"/>
    <col min="19" max="19" width="14.42578125" style="7" bestFit="1" customWidth="1"/>
    <col min="20" max="20" width="1.7109375" style="7" customWidth="1"/>
    <col min="21" max="21" width="13.7109375" style="7" bestFit="1" customWidth="1"/>
    <col min="22" max="22" width="2.7109375" style="7" customWidth="1"/>
    <col min="23" max="23" width="15.28515625" style="7" bestFit="1" customWidth="1"/>
    <col min="24" max="24" width="1.7109375" style="7" customWidth="1"/>
    <col min="25" max="25" width="12.42578125" style="7" customWidth="1"/>
    <col min="26" max="26" width="1.7109375" style="7" customWidth="1"/>
    <col min="27" max="27" width="13" style="7" bestFit="1" customWidth="1"/>
    <col min="28" max="28" width="1.7109375" style="7" customWidth="1"/>
    <col min="29" max="29" width="13.7109375" style="7" bestFit="1" customWidth="1"/>
    <col min="30" max="30" width="2.7109375" style="7" customWidth="1"/>
    <col min="31" max="31" width="2.7109375" style="7" hidden="1" customWidth="1"/>
    <col min="32" max="32" width="12.7109375" style="7" customWidth="1"/>
    <col min="33" max="33" width="16.42578125" style="7" customWidth="1"/>
    <col min="34" max="34" width="10.140625" style="7" bestFit="1" customWidth="1"/>
    <col min="35" max="37" width="9.42578125" style="7" bestFit="1" customWidth="1"/>
    <col min="38" max="38" width="10.140625" style="7" bestFit="1" customWidth="1"/>
    <col min="39" max="16384" width="9.140625" style="7"/>
  </cols>
  <sheetData>
    <row r="1" spans="1:33" ht="12.75" customHeight="1" x14ac:dyDescent="0.2">
      <c r="A1" s="29" t="s">
        <v>511</v>
      </c>
    </row>
    <row r="2" spans="1:33" ht="12.75" customHeight="1" x14ac:dyDescent="0.2">
      <c r="A2" s="29" t="s">
        <v>504</v>
      </c>
    </row>
    <row r="3" spans="1:33" ht="12.75" customHeight="1" x14ac:dyDescent="0.2">
      <c r="A3" s="29" t="s">
        <v>287</v>
      </c>
    </row>
    <row r="4" spans="1:33" ht="12.75" customHeight="1" x14ac:dyDescent="0.2">
      <c r="A4" s="29"/>
    </row>
    <row r="6" spans="1:33" ht="12.75" customHeight="1" x14ac:dyDescent="0.2">
      <c r="A6" s="29"/>
      <c r="E6" s="93" t="s">
        <v>0</v>
      </c>
      <c r="F6" s="93"/>
      <c r="G6" s="93"/>
      <c r="H6" s="93"/>
      <c r="I6" s="93"/>
      <c r="J6" s="93"/>
      <c r="K6" s="93"/>
      <c r="L6" s="26"/>
      <c r="M6" s="26"/>
      <c r="O6" s="94" t="s">
        <v>1</v>
      </c>
      <c r="P6" s="94"/>
      <c r="Q6" s="94"/>
      <c r="R6" s="94"/>
      <c r="S6" s="94"/>
      <c r="T6" s="26"/>
      <c r="U6" s="26"/>
      <c r="W6" s="93" t="s">
        <v>512</v>
      </c>
      <c r="X6" s="93"/>
      <c r="Y6" s="93"/>
      <c r="Z6" s="93"/>
      <c r="AA6" s="93"/>
      <c r="AB6" s="26"/>
      <c r="AC6" s="26"/>
    </row>
    <row r="7" spans="1:33" ht="12.75" customHeight="1" x14ac:dyDescent="0.2">
      <c r="A7" s="6"/>
      <c r="C7" s="6"/>
      <c r="E7" s="63" t="s">
        <v>2</v>
      </c>
      <c r="F7" s="63"/>
      <c r="G7" s="63" t="s">
        <v>3</v>
      </c>
      <c r="H7" s="63"/>
      <c r="I7" s="63" t="s">
        <v>501</v>
      </c>
      <c r="J7" s="63"/>
      <c r="K7" s="63" t="s">
        <v>468</v>
      </c>
      <c r="L7" s="63"/>
      <c r="M7" s="63" t="s">
        <v>5</v>
      </c>
      <c r="O7" s="63" t="s">
        <v>2</v>
      </c>
      <c r="P7" s="68"/>
      <c r="Q7" s="63" t="s">
        <v>445</v>
      </c>
      <c r="R7" s="63"/>
      <c r="S7" s="63" t="s">
        <v>503</v>
      </c>
      <c r="T7" s="63"/>
      <c r="U7" s="63" t="s">
        <v>5</v>
      </c>
      <c r="W7" s="68" t="s">
        <v>513</v>
      </c>
      <c r="X7" s="68"/>
      <c r="Y7" s="68"/>
      <c r="Z7" s="68"/>
      <c r="AA7" s="68"/>
      <c r="AB7" s="68"/>
      <c r="AC7" s="63" t="s">
        <v>5</v>
      </c>
      <c r="AF7" s="63" t="s">
        <v>425</v>
      </c>
    </row>
    <row r="8" spans="1:33" ht="12.75" customHeight="1" x14ac:dyDescent="0.2">
      <c r="A8" s="27" t="s">
        <v>6</v>
      </c>
      <c r="C8" s="27" t="s">
        <v>7</v>
      </c>
      <c r="E8" s="67" t="s">
        <v>0</v>
      </c>
      <c r="F8" s="68"/>
      <c r="G8" s="67" t="s">
        <v>0</v>
      </c>
      <c r="H8" s="68"/>
      <c r="I8" s="87" t="s">
        <v>502</v>
      </c>
      <c r="J8" s="68"/>
      <c r="K8" s="67" t="s">
        <v>469</v>
      </c>
      <c r="L8" s="68"/>
      <c r="M8" s="67" t="s">
        <v>0</v>
      </c>
      <c r="O8" s="67" t="s">
        <v>1</v>
      </c>
      <c r="P8" s="68"/>
      <c r="Q8" s="67" t="s">
        <v>435</v>
      </c>
      <c r="R8" s="68"/>
      <c r="S8" s="87" t="s">
        <v>502</v>
      </c>
      <c r="T8" s="68"/>
      <c r="U8" s="67" t="s">
        <v>1</v>
      </c>
      <c r="W8" s="67" t="s">
        <v>288</v>
      </c>
      <c r="X8" s="68"/>
      <c r="Y8" s="67" t="s">
        <v>8</v>
      </c>
      <c r="Z8" s="68"/>
      <c r="AA8" s="67" t="s">
        <v>9</v>
      </c>
      <c r="AB8" s="68"/>
      <c r="AC8" s="67" t="s">
        <v>512</v>
      </c>
      <c r="AF8" s="63" t="s">
        <v>433</v>
      </c>
    </row>
    <row r="9" spans="1:33" ht="12.75" customHeight="1" x14ac:dyDescent="0.2">
      <c r="A9" s="68"/>
      <c r="C9" s="68"/>
      <c r="E9" s="68"/>
      <c r="F9" s="68"/>
      <c r="G9" s="68"/>
      <c r="H9" s="68"/>
      <c r="I9" s="68"/>
      <c r="J9" s="68"/>
      <c r="K9" s="68"/>
      <c r="L9" s="68"/>
      <c r="M9" s="68"/>
      <c r="O9" s="68"/>
      <c r="P9" s="68"/>
      <c r="Q9" s="68"/>
      <c r="R9" s="68"/>
      <c r="S9" s="68"/>
      <c r="T9" s="68"/>
      <c r="U9" s="68"/>
      <c r="W9" s="68"/>
      <c r="X9" s="68"/>
      <c r="Y9" s="68"/>
      <c r="Z9" s="68"/>
      <c r="AA9" s="68"/>
      <c r="AB9" s="68"/>
      <c r="AC9" s="68"/>
    </row>
    <row r="10" spans="1:33" s="9" customFormat="1" ht="12.75" hidden="1" customHeight="1" x14ac:dyDescent="0.2">
      <c r="A10" s="9" t="s">
        <v>10</v>
      </c>
      <c r="C10" s="9" t="s">
        <v>11</v>
      </c>
      <c r="E10" s="9">
        <v>204179119</v>
      </c>
      <c r="G10" s="9">
        <f>255644135+730008376</f>
        <v>985652511</v>
      </c>
      <c r="I10" s="9">
        <v>0</v>
      </c>
      <c r="K10" s="9">
        <f>100234074+15438587+21507347+3085645</f>
        <v>140265653</v>
      </c>
      <c r="M10" s="9">
        <f>+E10+G10+I10+K10</f>
        <v>1330097283</v>
      </c>
      <c r="O10" s="9">
        <v>102604307</v>
      </c>
      <c r="Q10" s="9">
        <v>707542108</v>
      </c>
      <c r="S10" s="9">
        <v>160088935</v>
      </c>
      <c r="U10" s="9">
        <v>970235350</v>
      </c>
      <c r="W10" s="9">
        <v>342181729</v>
      </c>
      <c r="Y10" s="9">
        <v>45769529</v>
      </c>
      <c r="AA10" s="9">
        <v>-28089325</v>
      </c>
      <c r="AC10" s="9">
        <f>W10+Y10+AA10</f>
        <v>359861933</v>
      </c>
      <c r="AF10" s="9">
        <f>+M10-U10-AC10</f>
        <v>0</v>
      </c>
      <c r="AG10" s="7"/>
    </row>
    <row r="11" spans="1:33" s="9" customFormat="1" ht="12.75" customHeight="1" x14ac:dyDescent="0.2">
      <c r="A11" s="9" t="s">
        <v>12</v>
      </c>
      <c r="C11" s="9" t="s">
        <v>13</v>
      </c>
      <c r="E11" s="9">
        <f>36230969-2688987-18132195</f>
        <v>15409787</v>
      </c>
      <c r="G11" s="9">
        <f>2688987+18132195</f>
        <v>20821182</v>
      </c>
      <c r="I11" s="9">
        <v>8253</v>
      </c>
      <c r="K11" s="9">
        <v>0</v>
      </c>
      <c r="M11" s="9">
        <f>+E11+G11+I11+K11</f>
        <v>36239222</v>
      </c>
      <c r="O11" s="9">
        <f>+U11-Q11</f>
        <v>3172835</v>
      </c>
      <c r="Q11" s="9">
        <v>3686626</v>
      </c>
      <c r="S11" s="9">
        <v>781556</v>
      </c>
      <c r="U11" s="9">
        <v>6859461</v>
      </c>
      <c r="W11" s="9">
        <v>19194878</v>
      </c>
      <c r="Y11" s="9">
        <f>29379761-19194878-2717776</f>
        <v>7467107</v>
      </c>
      <c r="AA11" s="9">
        <v>2717776</v>
      </c>
      <c r="AC11" s="9">
        <f>W11+Y11+AA11</f>
        <v>29379761</v>
      </c>
      <c r="AF11" s="9">
        <f t="shared" ref="AF11:AF65" si="0">+M11-U11-AC11</f>
        <v>0</v>
      </c>
      <c r="AG11" s="7"/>
    </row>
    <row r="12" spans="1:33" ht="12.75" customHeight="1" x14ac:dyDescent="0.2">
      <c r="A12" s="7" t="s">
        <v>14</v>
      </c>
      <c r="C12" s="7" t="s">
        <v>15</v>
      </c>
      <c r="E12" s="61">
        <v>13739342</v>
      </c>
      <c r="G12" s="7">
        <f>1398148+22274453</f>
        <v>23672601</v>
      </c>
      <c r="I12" s="7">
        <v>0</v>
      </c>
      <c r="K12" s="7">
        <v>0</v>
      </c>
      <c r="M12" s="7">
        <f>+E12+G12+I12+K12</f>
        <v>37411943</v>
      </c>
      <c r="O12" s="7">
        <f t="shared" ref="O12:O67" si="1">+U12-Q12</f>
        <v>2073059</v>
      </c>
      <c r="Q12" s="7">
        <v>2958736</v>
      </c>
      <c r="S12" s="7">
        <v>1175580</v>
      </c>
      <c r="U12" s="7">
        <f>3856215+1175580</f>
        <v>5031795</v>
      </c>
      <c r="W12" s="7">
        <v>21025115</v>
      </c>
      <c r="Y12" s="7">
        <f>5499089+677856+842513+293933+252025+212064+808877+243074</f>
        <v>8829431</v>
      </c>
      <c r="AA12" s="7">
        <v>2525602</v>
      </c>
      <c r="AC12" s="7">
        <f t="shared" ref="AC12:AC67" si="2">W12+Y12+AA12</f>
        <v>32380148</v>
      </c>
      <c r="AF12" s="9">
        <f t="shared" si="0"/>
        <v>0</v>
      </c>
    </row>
    <row r="13" spans="1:33" ht="12.75" customHeight="1" x14ac:dyDescent="0.2">
      <c r="A13" s="7" t="s">
        <v>16</v>
      </c>
      <c r="C13" s="7" t="s">
        <v>16</v>
      </c>
      <c r="E13" s="61">
        <f>4517231+249795+1458861+3199946+109028+205021</f>
        <v>9739882</v>
      </c>
      <c r="G13" s="7">
        <f>7063273+12365332</f>
        <v>19428605</v>
      </c>
      <c r="I13" s="7">
        <v>0</v>
      </c>
      <c r="K13" s="7">
        <v>27710</v>
      </c>
      <c r="M13" s="7">
        <f>+E13+G13+I13+K13</f>
        <v>29196197</v>
      </c>
      <c r="O13" s="7">
        <f t="shared" si="1"/>
        <v>2410705</v>
      </c>
      <c r="Q13" s="7">
        <v>2727003</v>
      </c>
      <c r="S13" s="7">
        <v>0</v>
      </c>
      <c r="U13" s="7">
        <v>5137708</v>
      </c>
      <c r="W13" s="7">
        <v>16986579</v>
      </c>
      <c r="Y13" s="7">
        <f>232138+832155+1762225+228366+231347+214067+680331+461652+227794</f>
        <v>4870075</v>
      </c>
      <c r="AA13" s="7">
        <v>2201835</v>
      </c>
      <c r="AC13" s="7">
        <f t="shared" si="2"/>
        <v>24058489</v>
      </c>
      <c r="AF13" s="9">
        <f t="shared" si="0"/>
        <v>0</v>
      </c>
    </row>
    <row r="14" spans="1:33" ht="12.75" customHeight="1" x14ac:dyDescent="0.2">
      <c r="A14" s="7" t="s">
        <v>17</v>
      </c>
      <c r="C14" s="7" t="s">
        <v>17</v>
      </c>
      <c r="E14" s="61">
        <f t="shared" ref="E14:E67" si="3">+M14-G14-K14</f>
        <v>7884748</v>
      </c>
      <c r="G14" s="7">
        <f>2048110+24417599</f>
        <v>26465709</v>
      </c>
      <c r="I14" s="7">
        <v>0</v>
      </c>
      <c r="K14" s="7">
        <v>0</v>
      </c>
      <c r="M14" s="7">
        <v>34350457</v>
      </c>
      <c r="O14" s="7">
        <f t="shared" si="1"/>
        <v>3569885</v>
      </c>
      <c r="Q14" s="7">
        <v>1818603</v>
      </c>
      <c r="S14" s="7">
        <v>1738895</v>
      </c>
      <c r="U14" s="7">
        <f>3649593+1738895</f>
        <v>5388488</v>
      </c>
      <c r="W14" s="7">
        <v>26144204</v>
      </c>
      <c r="Y14" s="7">
        <f>28961969-26144204-391808</f>
        <v>2425957</v>
      </c>
      <c r="AA14" s="7">
        <v>391808</v>
      </c>
      <c r="AC14" s="7">
        <f t="shared" si="2"/>
        <v>28961969</v>
      </c>
      <c r="AF14" s="9">
        <f t="shared" si="0"/>
        <v>0</v>
      </c>
    </row>
    <row r="15" spans="1:33" ht="12.75" customHeight="1" x14ac:dyDescent="0.2">
      <c r="A15" s="7" t="s">
        <v>18</v>
      </c>
      <c r="C15" s="7" t="s">
        <v>18</v>
      </c>
      <c r="E15" s="61">
        <f>+M15-G15-K15</f>
        <v>10605826</v>
      </c>
      <c r="G15" s="7">
        <f>46991417+20662240</f>
        <v>67653657</v>
      </c>
      <c r="I15" s="7">
        <v>0</v>
      </c>
      <c r="K15" s="7">
        <v>89292</v>
      </c>
      <c r="M15" s="7">
        <v>78348775</v>
      </c>
      <c r="O15" s="7">
        <f t="shared" si="1"/>
        <v>4217032</v>
      </c>
      <c r="Q15" s="7">
        <v>2073382</v>
      </c>
      <c r="S15" s="7">
        <v>804997</v>
      </c>
      <c r="U15" s="7">
        <f>5485417+804997</f>
        <v>6290414</v>
      </c>
      <c r="W15" s="7">
        <v>64669760</v>
      </c>
      <c r="Y15" s="7">
        <f>855102+550163+1894271+2877092</f>
        <v>6176628</v>
      </c>
      <c r="AA15" s="7">
        <v>1211973</v>
      </c>
      <c r="AC15" s="7">
        <f t="shared" si="2"/>
        <v>72058361</v>
      </c>
      <c r="AF15" s="9">
        <f t="shared" si="0"/>
        <v>0</v>
      </c>
    </row>
    <row r="16" spans="1:33" ht="12.75" customHeight="1" x14ac:dyDescent="0.2">
      <c r="A16" s="7" t="s">
        <v>463</v>
      </c>
      <c r="C16" s="7" t="s">
        <v>20</v>
      </c>
      <c r="E16" s="61">
        <f t="shared" si="3"/>
        <v>24885010</v>
      </c>
      <c r="G16" s="7">
        <f>42169419+30283170</f>
        <v>72452589</v>
      </c>
      <c r="I16" s="7">
        <v>353172</v>
      </c>
      <c r="K16" s="7">
        <v>0</v>
      </c>
      <c r="M16" s="7">
        <f>96984427+353172</f>
        <v>97337599</v>
      </c>
      <c r="O16" s="7">
        <f t="shared" si="1"/>
        <v>5501787</v>
      </c>
      <c r="Q16" s="7">
        <v>8776191</v>
      </c>
      <c r="S16" s="7">
        <v>3386316</v>
      </c>
      <c r="U16" s="7">
        <f>10891662+3386316</f>
        <v>14277978</v>
      </c>
      <c r="W16" s="7">
        <v>64225731</v>
      </c>
      <c r="Y16" s="7">
        <f>568379+1516370+1524034+819279</f>
        <v>4428062</v>
      </c>
      <c r="AA16" s="7">
        <v>14405828</v>
      </c>
      <c r="AC16" s="7">
        <f t="shared" si="2"/>
        <v>83059621</v>
      </c>
      <c r="AF16" s="9">
        <f t="shared" si="0"/>
        <v>0</v>
      </c>
    </row>
    <row r="17" spans="1:32" ht="12.75" customHeight="1" x14ac:dyDescent="0.2">
      <c r="A17" s="7" t="s">
        <v>21</v>
      </c>
      <c r="C17" s="7" t="s">
        <v>15</v>
      </c>
      <c r="E17" s="61">
        <f t="shared" si="3"/>
        <v>34812096</v>
      </c>
      <c r="G17" s="7">
        <f>5554206+97685649</f>
        <v>103239855</v>
      </c>
      <c r="I17" s="7">
        <v>322573</v>
      </c>
      <c r="K17" s="7">
        <v>0</v>
      </c>
      <c r="M17" s="7">
        <f>137729378+322573</f>
        <v>138051951</v>
      </c>
      <c r="O17" s="7">
        <f t="shared" si="1"/>
        <v>29718554</v>
      </c>
      <c r="Q17" s="7">
        <v>61255447</v>
      </c>
      <c r="S17" s="7">
        <v>5035211</v>
      </c>
      <c r="U17" s="7">
        <f>85938790+5035211</f>
        <v>90974001</v>
      </c>
      <c r="W17" s="7">
        <v>42486095</v>
      </c>
      <c r="Y17" s="7">
        <f>2070172+6764575+1035146+1471867+665960</f>
        <v>12007720</v>
      </c>
      <c r="AA17" s="7">
        <v>-7415865</v>
      </c>
      <c r="AC17" s="7">
        <f t="shared" si="2"/>
        <v>47077950</v>
      </c>
      <c r="AF17" s="9">
        <f t="shared" si="0"/>
        <v>0</v>
      </c>
    </row>
    <row r="18" spans="1:32" ht="12.75" customHeight="1" x14ac:dyDescent="0.2">
      <c r="A18" s="7" t="s">
        <v>22</v>
      </c>
      <c r="C18" s="7" t="s">
        <v>15</v>
      </c>
      <c r="E18" s="61">
        <f t="shared" ref="E18" si="4">+M18-G18-K18</f>
        <v>25427054</v>
      </c>
      <c r="G18" s="7">
        <f>5283340+50669867</f>
        <v>55953207</v>
      </c>
      <c r="I18" s="7">
        <v>310990</v>
      </c>
      <c r="K18" s="7">
        <v>0</v>
      </c>
      <c r="M18" s="7">
        <f>81069271+310990</f>
        <v>81380261</v>
      </c>
      <c r="O18" s="7">
        <f t="shared" ref="O18" si="5">+U18-Q18</f>
        <v>8685908</v>
      </c>
      <c r="Q18" s="7">
        <v>12226686</v>
      </c>
      <c r="S18" s="7">
        <v>5435299</v>
      </c>
      <c r="U18" s="7">
        <f>15477295+5435299</f>
        <v>20912594</v>
      </c>
      <c r="W18" s="7">
        <v>44703908</v>
      </c>
      <c r="Y18" s="7">
        <f>60467667-44703908-7930749</f>
        <v>7833010</v>
      </c>
      <c r="AA18" s="7">
        <v>7930749</v>
      </c>
      <c r="AC18" s="7">
        <f t="shared" ref="AC18" si="6">W18+Y18+AA18</f>
        <v>60467667</v>
      </c>
      <c r="AF18" s="9">
        <f t="shared" si="0"/>
        <v>0</v>
      </c>
    </row>
    <row r="19" spans="1:32" ht="12.75" customHeight="1" x14ac:dyDescent="0.2">
      <c r="A19" s="7" t="s">
        <v>23</v>
      </c>
      <c r="C19" s="7" t="s">
        <v>11</v>
      </c>
      <c r="E19" s="61">
        <f t="shared" si="3"/>
        <v>13593316</v>
      </c>
      <c r="G19" s="7">
        <f>7852152+16030845</f>
        <v>23882997</v>
      </c>
      <c r="I19" s="7">
        <v>0</v>
      </c>
      <c r="K19" s="7">
        <v>66753</v>
      </c>
      <c r="M19" s="7">
        <v>37543066</v>
      </c>
      <c r="O19" s="7">
        <f t="shared" si="1"/>
        <v>5402696</v>
      </c>
      <c r="Q19" s="7">
        <v>4850095</v>
      </c>
      <c r="S19" s="7">
        <v>1289801</v>
      </c>
      <c r="U19" s="7">
        <f>8962990+1289801</f>
        <v>10252791</v>
      </c>
      <c r="W19" s="7">
        <v>20259877</v>
      </c>
      <c r="Y19" s="7">
        <f>13978+388438+673038+1052276+77404+90316+368927+84448+59523+25368</f>
        <v>2833716</v>
      </c>
      <c r="AA19" s="7">
        <v>4196682</v>
      </c>
      <c r="AC19" s="7">
        <f t="shared" si="2"/>
        <v>27290275</v>
      </c>
      <c r="AF19" s="9">
        <f t="shared" si="0"/>
        <v>0</v>
      </c>
    </row>
    <row r="20" spans="1:32" ht="12.75" customHeight="1" x14ac:dyDescent="0.2">
      <c r="A20" s="7" t="s">
        <v>24</v>
      </c>
      <c r="C20" s="7" t="s">
        <v>25</v>
      </c>
      <c r="E20" s="61">
        <f t="shared" si="3"/>
        <v>25156791</v>
      </c>
      <c r="G20" s="7">
        <f>1669469+21413700</f>
        <v>23083169</v>
      </c>
      <c r="I20" s="7">
        <v>278232</v>
      </c>
      <c r="K20" s="7">
        <v>0</v>
      </c>
      <c r="M20" s="7">
        <v>48239960</v>
      </c>
      <c r="O20" s="7">
        <f t="shared" si="1"/>
        <v>10281283</v>
      </c>
      <c r="Q20" s="7">
        <v>9464520</v>
      </c>
      <c r="S20" s="7">
        <v>6755817</v>
      </c>
      <c r="U20" s="7">
        <v>19745803</v>
      </c>
      <c r="W20" s="7">
        <v>12814348</v>
      </c>
      <c r="Y20" s="7">
        <f>19104+356207+5485+163623+6786+121221+102111+399080+5108+18005+79866+18526</f>
        <v>1295122</v>
      </c>
      <c r="AA20" s="7">
        <v>14384687</v>
      </c>
      <c r="AC20" s="7">
        <f t="shared" si="2"/>
        <v>28494157</v>
      </c>
      <c r="AF20" s="9">
        <f t="shared" si="0"/>
        <v>0</v>
      </c>
    </row>
    <row r="21" spans="1:32" ht="12.75" customHeight="1" x14ac:dyDescent="0.2">
      <c r="A21" s="7" t="s">
        <v>26</v>
      </c>
      <c r="C21" s="7" t="s">
        <v>25</v>
      </c>
      <c r="E21" s="61">
        <f t="shared" si="3"/>
        <v>49944746</v>
      </c>
      <c r="G21" s="7">
        <f>14235641+79716176</f>
        <v>93951817</v>
      </c>
      <c r="I21" s="7">
        <v>630992</v>
      </c>
      <c r="K21" s="7">
        <v>0</v>
      </c>
      <c r="M21" s="7">
        <f>143265571+630992</f>
        <v>143896563</v>
      </c>
      <c r="O21" s="7">
        <f t="shared" si="1"/>
        <v>12700743</v>
      </c>
      <c r="Q21" s="7">
        <v>19224413</v>
      </c>
      <c r="S21" s="7">
        <v>2542085</v>
      </c>
      <c r="U21" s="7">
        <f>29383071+2542085</f>
        <v>31925156</v>
      </c>
      <c r="W21" s="7">
        <v>69977360</v>
      </c>
      <c r="Y21" s="7">
        <f>3103538+20368+730504+550698</f>
        <v>4405108</v>
      </c>
      <c r="AA21" s="7">
        <v>37588939</v>
      </c>
      <c r="AC21" s="7">
        <f t="shared" si="2"/>
        <v>111971407</v>
      </c>
      <c r="AF21" s="9">
        <f t="shared" si="0"/>
        <v>0</v>
      </c>
    </row>
    <row r="22" spans="1:32" ht="12.75" customHeight="1" x14ac:dyDescent="0.2">
      <c r="A22" s="7" t="s">
        <v>27</v>
      </c>
      <c r="C22" s="7" t="s">
        <v>28</v>
      </c>
      <c r="E22" s="61">
        <f t="shared" si="3"/>
        <v>29904660</v>
      </c>
      <c r="G22" s="7">
        <f>13549839+186340827</f>
        <v>199890666</v>
      </c>
      <c r="I22" s="7">
        <v>143798</v>
      </c>
      <c r="K22" s="7">
        <v>0</v>
      </c>
      <c r="M22" s="7">
        <f>229651528+143798</f>
        <v>229795326</v>
      </c>
      <c r="O22" s="7">
        <f t="shared" si="1"/>
        <v>15876924</v>
      </c>
      <c r="Q22" s="7">
        <v>6848017</v>
      </c>
      <c r="S22" s="7">
        <v>12461572</v>
      </c>
      <c r="U22" s="7">
        <f>10263369+12461572</f>
        <v>22724941</v>
      </c>
      <c r="W22" s="7">
        <v>192554877</v>
      </c>
      <c r="Y22" s="7">
        <f>3100508+430639+4868722+1801442+157804+127974+54338</f>
        <v>10541427</v>
      </c>
      <c r="AA22" s="7">
        <v>3974081</v>
      </c>
      <c r="AC22" s="7">
        <f t="shared" si="2"/>
        <v>207070385</v>
      </c>
      <c r="AF22" s="9">
        <f t="shared" si="0"/>
        <v>0</v>
      </c>
    </row>
    <row r="23" spans="1:32" ht="12.75" customHeight="1" x14ac:dyDescent="0.2">
      <c r="A23" s="7" t="s">
        <v>29</v>
      </c>
      <c r="C23" s="7" t="s">
        <v>25</v>
      </c>
      <c r="E23" s="61">
        <f t="shared" si="3"/>
        <v>24899511</v>
      </c>
      <c r="G23" s="7">
        <f>3048166+28236403</f>
        <v>31284569</v>
      </c>
      <c r="I23" s="7">
        <v>315312</v>
      </c>
      <c r="K23" s="7">
        <v>0</v>
      </c>
      <c r="M23" s="7">
        <f>55868768+315312</f>
        <v>56184080</v>
      </c>
      <c r="O23" s="7">
        <f t="shared" si="1"/>
        <v>8759309</v>
      </c>
      <c r="Q23" s="7">
        <v>12045783</v>
      </c>
      <c r="S23" s="7">
        <v>4710830</v>
      </c>
      <c r="U23" s="7">
        <f>16094262+4710830</f>
        <v>20805092</v>
      </c>
      <c r="W23" s="7">
        <v>19668123</v>
      </c>
      <c r="Y23" s="7">
        <f>147188+509480+830873+1115228+737303+550136+331639+393617</f>
        <v>4615464</v>
      </c>
      <c r="AA23" s="7">
        <v>11095401</v>
      </c>
      <c r="AC23" s="7">
        <f t="shared" si="2"/>
        <v>35378988</v>
      </c>
      <c r="AF23" s="9">
        <f t="shared" si="0"/>
        <v>0</v>
      </c>
    </row>
    <row r="24" spans="1:32" ht="12.75" customHeight="1" x14ac:dyDescent="0.2">
      <c r="A24" s="7" t="s">
        <v>462</v>
      </c>
      <c r="C24" s="7" t="s">
        <v>25</v>
      </c>
      <c r="E24" s="61">
        <f t="shared" si="3"/>
        <v>13073890</v>
      </c>
      <c r="G24" s="7">
        <f>2063971+14967231</f>
        <v>17031202</v>
      </c>
      <c r="I24" s="7">
        <v>0</v>
      </c>
      <c r="K24" s="7">
        <v>0</v>
      </c>
      <c r="M24" s="7">
        <v>30105092</v>
      </c>
      <c r="O24" s="7">
        <f t="shared" si="1"/>
        <v>6970658</v>
      </c>
      <c r="Q24" s="7">
        <v>3659083</v>
      </c>
      <c r="S24" s="7">
        <v>0</v>
      </c>
      <c r="U24" s="7">
        <v>10629741</v>
      </c>
      <c r="W24" s="7">
        <v>13968505</v>
      </c>
      <c r="Y24" s="7">
        <f>19475351-13968505-4435300</f>
        <v>1071546</v>
      </c>
      <c r="AA24" s="7">
        <v>4435300</v>
      </c>
      <c r="AC24" s="7">
        <f t="shared" si="2"/>
        <v>19475351</v>
      </c>
      <c r="AF24" s="9">
        <f t="shared" si="0"/>
        <v>0</v>
      </c>
    </row>
    <row r="25" spans="1:32" ht="12.75" customHeight="1" x14ac:dyDescent="0.2">
      <c r="A25" s="7" t="s">
        <v>32</v>
      </c>
      <c r="B25" s="10" t="s">
        <v>457</v>
      </c>
      <c r="C25" s="7" t="s">
        <v>28</v>
      </c>
      <c r="E25" s="61">
        <f t="shared" si="3"/>
        <v>6473247</v>
      </c>
      <c r="G25" s="7">
        <f>262230+6236163</f>
        <v>6498393</v>
      </c>
      <c r="I25" s="7">
        <v>0</v>
      </c>
      <c r="K25" s="7">
        <v>0</v>
      </c>
      <c r="M25" s="7">
        <v>12971640</v>
      </c>
      <c r="O25" s="7">
        <f t="shared" si="1"/>
        <v>2938662</v>
      </c>
      <c r="Q25" s="7">
        <v>86255</v>
      </c>
      <c r="S25" s="7">
        <v>0</v>
      </c>
      <c r="U25" s="7">
        <v>3024917</v>
      </c>
      <c r="W25" s="7">
        <v>6840945</v>
      </c>
      <c r="Y25" s="7">
        <f>1501938+281192+421861+522</f>
        <v>2205513</v>
      </c>
      <c r="AA25" s="7">
        <v>900265</v>
      </c>
      <c r="AC25" s="7">
        <f t="shared" si="2"/>
        <v>9946723</v>
      </c>
      <c r="AF25" s="9">
        <f t="shared" si="0"/>
        <v>0</v>
      </c>
    </row>
    <row r="26" spans="1:32" ht="12.75" customHeight="1" x14ac:dyDescent="0.2">
      <c r="A26" s="7" t="s">
        <v>33</v>
      </c>
      <c r="C26" s="7" t="s">
        <v>34</v>
      </c>
      <c r="E26" s="61">
        <f t="shared" si="3"/>
        <v>8601595</v>
      </c>
      <c r="G26" s="7">
        <f>6465156+18647195</f>
        <v>25112351</v>
      </c>
      <c r="I26" s="7">
        <v>0</v>
      </c>
      <c r="K26" s="7">
        <v>37037</v>
      </c>
      <c r="M26" s="7">
        <v>33750983</v>
      </c>
      <c r="O26" s="7">
        <f t="shared" si="1"/>
        <v>1701696</v>
      </c>
      <c r="Q26" s="7">
        <v>1612563</v>
      </c>
      <c r="S26" s="7">
        <v>595866</v>
      </c>
      <c r="U26" s="7">
        <f>2718393+595866</f>
        <v>3314259</v>
      </c>
      <c r="W26" s="7">
        <v>24230425</v>
      </c>
      <c r="Y26" s="7">
        <f>59260+231961+280083+251230+581893+396328+169559</f>
        <v>1970314</v>
      </c>
      <c r="AA26" s="7">
        <v>4235985</v>
      </c>
      <c r="AC26" s="7">
        <f t="shared" si="2"/>
        <v>30436724</v>
      </c>
      <c r="AF26" s="9">
        <f t="shared" si="0"/>
        <v>0</v>
      </c>
    </row>
    <row r="27" spans="1:32" ht="12.75" customHeight="1" x14ac:dyDescent="0.2">
      <c r="A27" s="7" t="s">
        <v>35</v>
      </c>
      <c r="C27" s="7" t="s">
        <v>36</v>
      </c>
      <c r="E27" s="61">
        <f t="shared" si="3"/>
        <v>7080715</v>
      </c>
      <c r="G27" s="7">
        <f>856392+11660026</f>
        <v>12516418</v>
      </c>
      <c r="I27" s="7">
        <v>0</v>
      </c>
      <c r="K27" s="7">
        <v>0</v>
      </c>
      <c r="M27" s="7">
        <v>19597133</v>
      </c>
      <c r="O27" s="7">
        <f t="shared" si="1"/>
        <v>1271754</v>
      </c>
      <c r="Q27" s="7">
        <v>1272892</v>
      </c>
      <c r="S27" s="7">
        <v>635642</v>
      </c>
      <c r="U27" s="7">
        <f>1909004+635642</f>
        <v>2544646</v>
      </c>
      <c r="W27" s="7">
        <v>11465093</v>
      </c>
      <c r="Y27" s="7">
        <f>803300+23376+2246758</f>
        <v>3073434</v>
      </c>
      <c r="AA27" s="7">
        <v>2513960</v>
      </c>
      <c r="AC27" s="7">
        <f t="shared" si="2"/>
        <v>17052487</v>
      </c>
      <c r="AF27" s="9">
        <f t="shared" si="0"/>
        <v>0</v>
      </c>
    </row>
    <row r="28" spans="1:32" ht="12.75" customHeight="1" x14ac:dyDescent="0.2">
      <c r="A28" s="7" t="s">
        <v>37</v>
      </c>
      <c r="C28" s="7" t="s">
        <v>38</v>
      </c>
      <c r="E28" s="61">
        <f t="shared" si="3"/>
        <v>3171785</v>
      </c>
      <c r="G28" s="7">
        <f>2725175+9672685</f>
        <v>12397860</v>
      </c>
      <c r="I28" s="7">
        <v>0</v>
      </c>
      <c r="K28" s="7">
        <v>22837</v>
      </c>
      <c r="M28" s="7">
        <v>15592482</v>
      </c>
      <c r="O28" s="7">
        <f t="shared" si="1"/>
        <v>569007</v>
      </c>
      <c r="Q28" s="7">
        <v>674404</v>
      </c>
      <c r="S28" s="7">
        <v>237462</v>
      </c>
      <c r="U28" s="7">
        <f>1005949+237462</f>
        <v>1243411</v>
      </c>
      <c r="W28" s="7">
        <v>11608736</v>
      </c>
      <c r="Y28" s="7">
        <f>14349071-11608736-2345123</f>
        <v>395212</v>
      </c>
      <c r="AA28" s="7">
        <v>2345123</v>
      </c>
      <c r="AC28" s="7">
        <f t="shared" si="2"/>
        <v>14349071</v>
      </c>
      <c r="AF28" s="9">
        <f>+M28-U28-AC28</f>
        <v>0</v>
      </c>
    </row>
    <row r="29" spans="1:32" ht="12.75" customHeight="1" x14ac:dyDescent="0.2">
      <c r="A29" s="7" t="s">
        <v>39</v>
      </c>
      <c r="C29" s="7" t="s">
        <v>25</v>
      </c>
      <c r="E29" s="61">
        <f t="shared" si="3"/>
        <v>19319392</v>
      </c>
      <c r="G29" s="7">
        <f>12152735+59388069</f>
        <v>71540804</v>
      </c>
      <c r="I29" s="7">
        <v>0</v>
      </c>
      <c r="K29" s="7">
        <v>17364</v>
      </c>
      <c r="M29" s="7">
        <v>90877560</v>
      </c>
      <c r="O29" s="7">
        <f t="shared" si="1"/>
        <v>12055299</v>
      </c>
      <c r="Q29" s="7">
        <v>10690318</v>
      </c>
      <c r="S29" s="7">
        <v>0</v>
      </c>
      <c r="U29" s="7">
        <v>22745617</v>
      </c>
      <c r="W29" s="7">
        <v>57295806</v>
      </c>
      <c r="Y29" s="7">
        <f>2642411+1042402+478130+306864+449324</f>
        <v>4919131</v>
      </c>
      <c r="AA29" s="7">
        <v>5917006</v>
      </c>
      <c r="AC29" s="7">
        <f t="shared" si="2"/>
        <v>68131943</v>
      </c>
      <c r="AF29" s="9">
        <f t="shared" si="0"/>
        <v>0</v>
      </c>
    </row>
    <row r="30" spans="1:32" ht="12.75" customHeight="1" x14ac:dyDescent="0.2">
      <c r="A30" s="7" t="s">
        <v>40</v>
      </c>
      <c r="C30" s="7" t="s">
        <v>41</v>
      </c>
      <c r="E30" s="61">
        <f t="shared" si="3"/>
        <v>13584901</v>
      </c>
      <c r="G30" s="7">
        <f>2745208+32401190</f>
        <v>35146398</v>
      </c>
      <c r="I30" s="7">
        <v>76110</v>
      </c>
      <c r="K30" s="7">
        <v>0</v>
      </c>
      <c r="M30" s="7">
        <f>48655189+76110</f>
        <v>48731299</v>
      </c>
      <c r="O30" s="7">
        <f t="shared" si="1"/>
        <v>6160717</v>
      </c>
      <c r="Q30" s="7">
        <v>21216850</v>
      </c>
      <c r="S30" s="7">
        <v>2057415</v>
      </c>
      <c r="U30" s="7">
        <f>25320152+2057415</f>
        <v>27377567</v>
      </c>
      <c r="W30" s="7">
        <v>13388640</v>
      </c>
      <c r="Y30" s="7">
        <f>1829490+117048+20632+752397+18387</f>
        <v>2737954</v>
      </c>
      <c r="AA30" s="7">
        <v>5227138</v>
      </c>
      <c r="AC30" s="7">
        <f t="shared" si="2"/>
        <v>21353732</v>
      </c>
      <c r="AF30" s="9">
        <f t="shared" si="0"/>
        <v>0</v>
      </c>
    </row>
    <row r="31" spans="1:32" ht="12.75" customHeight="1" x14ac:dyDescent="0.2">
      <c r="A31" s="7" t="s">
        <v>42</v>
      </c>
      <c r="C31" s="7" t="s">
        <v>43</v>
      </c>
      <c r="E31" s="61">
        <f t="shared" si="3"/>
        <v>48006779</v>
      </c>
      <c r="G31" s="7">
        <f>41945416+54917397</f>
        <v>96862813</v>
      </c>
      <c r="I31" s="7">
        <v>0</v>
      </c>
      <c r="K31" s="7">
        <v>57959</v>
      </c>
      <c r="M31" s="7">
        <v>144927551</v>
      </c>
      <c r="O31" s="7">
        <f t="shared" si="1"/>
        <v>9969539</v>
      </c>
      <c r="Q31" s="7">
        <v>47864882</v>
      </c>
      <c r="S31" s="7">
        <v>2947927</v>
      </c>
      <c r="U31" s="7">
        <f>54886494+2947927</f>
        <v>57834421</v>
      </c>
      <c r="W31" s="7">
        <v>56238601</v>
      </c>
      <c r="Y31" s="7">
        <f>1804495+867311+1141908+334250</f>
        <v>4147964</v>
      </c>
      <c r="AA31" s="7">
        <v>26706565</v>
      </c>
      <c r="AC31" s="7">
        <f t="shared" si="2"/>
        <v>87093130</v>
      </c>
      <c r="AF31" s="9">
        <f t="shared" si="0"/>
        <v>0</v>
      </c>
    </row>
    <row r="32" spans="1:32" ht="12.75" customHeight="1" x14ac:dyDescent="0.2">
      <c r="A32" s="7" t="s">
        <v>44</v>
      </c>
      <c r="C32" s="7" t="s">
        <v>45</v>
      </c>
      <c r="E32" s="61">
        <f t="shared" si="3"/>
        <v>25014674</v>
      </c>
      <c r="G32" s="7">
        <f>13727857+36499203</f>
        <v>50227060</v>
      </c>
      <c r="I32" s="7">
        <v>239246</v>
      </c>
      <c r="K32" s="7">
        <v>0</v>
      </c>
      <c r="M32" s="7">
        <f>75002488+239246</f>
        <v>75241734</v>
      </c>
      <c r="O32" s="7">
        <f t="shared" si="1"/>
        <v>12677480</v>
      </c>
      <c r="Q32" s="7">
        <v>25535204</v>
      </c>
      <c r="S32" s="7">
        <v>2300093</v>
      </c>
      <c r="U32" s="7">
        <f>35912591+2300093</f>
        <v>38212684</v>
      </c>
      <c r="W32" s="7">
        <v>39374799</v>
      </c>
      <c r="Y32" s="7">
        <f>446507+5904816+1274473+827537+552144+843622+1391860</f>
        <v>11240959</v>
      </c>
      <c r="AA32" s="7">
        <v>-13586708</v>
      </c>
      <c r="AC32" s="7">
        <f t="shared" si="2"/>
        <v>37029050</v>
      </c>
      <c r="AF32" s="9">
        <f t="shared" si="0"/>
        <v>0</v>
      </c>
    </row>
    <row r="33" spans="1:51" ht="12.75" customHeight="1" x14ac:dyDescent="0.2">
      <c r="A33" s="7" t="s">
        <v>46</v>
      </c>
      <c r="C33" s="7" t="s">
        <v>25</v>
      </c>
      <c r="E33" s="61">
        <f t="shared" si="3"/>
        <v>30284112</v>
      </c>
      <c r="G33" s="7">
        <f>10413676+71612446</f>
        <v>82026122</v>
      </c>
      <c r="I33" s="7">
        <v>315961</v>
      </c>
      <c r="K33" s="7">
        <v>0</v>
      </c>
      <c r="M33" s="7">
        <f>111994273+315961</f>
        <v>112310234</v>
      </c>
      <c r="O33" s="7">
        <f t="shared" si="1"/>
        <v>7720183</v>
      </c>
      <c r="Q33" s="7">
        <v>11969452</v>
      </c>
      <c r="S33" s="7">
        <v>4241286</v>
      </c>
      <c r="U33" s="7">
        <f>15448349+4241286</f>
        <v>19689635</v>
      </c>
      <c r="W33" s="7">
        <v>70119261</v>
      </c>
      <c r="Y33" s="7">
        <f>232792+4901981+116628+345691+853116+860505</f>
        <v>7310713</v>
      </c>
      <c r="AA33" s="7">
        <v>15190625</v>
      </c>
      <c r="AC33" s="7">
        <f t="shared" si="2"/>
        <v>92620599</v>
      </c>
      <c r="AF33" s="9">
        <f t="shared" si="0"/>
        <v>0</v>
      </c>
    </row>
    <row r="34" spans="1:51" ht="12.75" customHeight="1" x14ac:dyDescent="0.2">
      <c r="A34" s="7" t="s">
        <v>47</v>
      </c>
      <c r="C34" s="7" t="s">
        <v>25</v>
      </c>
      <c r="E34" s="61">
        <f t="shared" si="3"/>
        <v>19161414</v>
      </c>
      <c r="G34" s="7">
        <f>4471615+27845282</f>
        <v>32316897</v>
      </c>
      <c r="I34" s="7">
        <v>0</v>
      </c>
      <c r="K34" s="7">
        <v>0</v>
      </c>
      <c r="M34" s="7">
        <v>51478311</v>
      </c>
      <c r="O34" s="7">
        <f t="shared" si="1"/>
        <v>8604143</v>
      </c>
      <c r="Q34" s="7">
        <v>7181582</v>
      </c>
      <c r="S34" s="7">
        <v>0</v>
      </c>
      <c r="U34" s="7">
        <v>15785725</v>
      </c>
      <c r="W34" s="7">
        <v>25101227</v>
      </c>
      <c r="Y34" s="7">
        <f>3814741+43743+235365+313909+33860</f>
        <v>4441618</v>
      </c>
      <c r="AA34" s="7">
        <v>6149741</v>
      </c>
      <c r="AC34" s="7">
        <f t="shared" si="2"/>
        <v>35692586</v>
      </c>
      <c r="AF34" s="9">
        <f t="shared" si="0"/>
        <v>0</v>
      </c>
    </row>
    <row r="35" spans="1:51" ht="12.75" customHeight="1" x14ac:dyDescent="0.2">
      <c r="A35" s="7" t="s">
        <v>48</v>
      </c>
      <c r="C35" s="7" t="s">
        <v>25</v>
      </c>
      <c r="E35" s="61">
        <f t="shared" si="3"/>
        <v>21978209</v>
      </c>
      <c r="G35" s="7">
        <f>9754149+65285864</f>
        <v>75040013</v>
      </c>
      <c r="I35" s="7">
        <v>0</v>
      </c>
      <c r="K35" s="7">
        <v>231563</v>
      </c>
      <c r="M35" s="7">
        <v>97249785</v>
      </c>
      <c r="O35" s="7">
        <f t="shared" si="1"/>
        <v>6652443</v>
      </c>
      <c r="Q35" s="7">
        <v>7198771</v>
      </c>
      <c r="S35" s="7">
        <v>1587107</v>
      </c>
      <c r="U35" s="7">
        <f>12264107+1587107</f>
        <v>13851214</v>
      </c>
      <c r="W35" s="7">
        <v>70178198</v>
      </c>
      <c r="Y35" s="7">
        <f>730029+5201068+456696+1646532+1180925</f>
        <v>9215250</v>
      </c>
      <c r="AA35" s="7">
        <v>4005123</v>
      </c>
      <c r="AC35" s="7">
        <f t="shared" si="2"/>
        <v>83398571</v>
      </c>
      <c r="AF35" s="9">
        <f t="shared" si="0"/>
        <v>0</v>
      </c>
    </row>
    <row r="36" spans="1:51" ht="12.75" customHeight="1" x14ac:dyDescent="0.2">
      <c r="A36" s="7" t="s">
        <v>49</v>
      </c>
      <c r="C36" s="7" t="s">
        <v>25</v>
      </c>
      <c r="E36" s="61">
        <f t="shared" si="3"/>
        <v>23710940</v>
      </c>
      <c r="G36" s="7">
        <f>3017366+26828142</f>
        <v>29845508</v>
      </c>
      <c r="I36" s="7">
        <v>0</v>
      </c>
      <c r="K36" s="7">
        <v>35579</v>
      </c>
      <c r="M36" s="7">
        <v>53592027</v>
      </c>
      <c r="O36" s="7">
        <f t="shared" si="1"/>
        <v>3703068</v>
      </c>
      <c r="Q36" s="7">
        <v>13903649</v>
      </c>
      <c r="S36" s="7">
        <v>1417532</v>
      </c>
      <c r="U36" s="7">
        <f>16189185+1417532</f>
        <v>17606717</v>
      </c>
      <c r="W36" s="7">
        <v>23908767</v>
      </c>
      <c r="Y36" s="7">
        <f>447019+46618+869775+282201+62672+527641+4319476+210306</f>
        <v>6765708</v>
      </c>
      <c r="AA36" s="7">
        <v>5310835</v>
      </c>
      <c r="AC36" s="7">
        <f t="shared" si="2"/>
        <v>35985310</v>
      </c>
      <c r="AF36" s="9">
        <f t="shared" si="0"/>
        <v>0</v>
      </c>
    </row>
    <row r="37" spans="1:51" ht="12.75" customHeight="1" x14ac:dyDescent="0.2">
      <c r="A37" s="7" t="s">
        <v>458</v>
      </c>
      <c r="C37" s="7" t="s">
        <v>64</v>
      </c>
      <c r="E37" s="61">
        <f t="shared" si="3"/>
        <v>3585264</v>
      </c>
      <c r="G37" s="7">
        <f>2502218+6152719</f>
        <v>8654937</v>
      </c>
      <c r="I37" s="7">
        <v>0</v>
      </c>
      <c r="K37" s="7">
        <v>45093</v>
      </c>
      <c r="M37" s="7">
        <v>12285294</v>
      </c>
      <c r="O37" s="7">
        <f t="shared" si="1"/>
        <v>877935</v>
      </c>
      <c r="Q37" s="7">
        <v>1051177</v>
      </c>
      <c r="S37" s="7">
        <v>126700</v>
      </c>
      <c r="U37" s="7">
        <f>1802412+126700</f>
        <v>1929112</v>
      </c>
      <c r="W37" s="7">
        <v>7158314</v>
      </c>
      <c r="Y37" s="7">
        <f>244+343862+293641</f>
        <v>637747</v>
      </c>
      <c r="AA37" s="7">
        <v>2560121</v>
      </c>
      <c r="AC37" s="7">
        <f t="shared" si="2"/>
        <v>10356182</v>
      </c>
      <c r="AF37" s="9">
        <f t="shared" si="0"/>
        <v>0</v>
      </c>
      <c r="AG37" s="10"/>
      <c r="AH37" s="10"/>
      <c r="AI37" s="10"/>
      <c r="AJ37" s="10"/>
      <c r="AK37" s="11"/>
      <c r="AL37" s="10"/>
      <c r="AM37" s="10"/>
      <c r="AN37" s="10"/>
      <c r="AO37" s="11"/>
      <c r="AP37" s="11"/>
      <c r="AQ37" s="11"/>
      <c r="AR37" s="11"/>
      <c r="AS37" s="8"/>
      <c r="AT37" s="8"/>
      <c r="AU37" s="8"/>
      <c r="AV37" s="8"/>
      <c r="AW37" s="8"/>
      <c r="AX37" s="8"/>
      <c r="AY37" s="8"/>
    </row>
    <row r="38" spans="1:51" ht="12.75" customHeight="1" x14ac:dyDescent="0.2">
      <c r="A38" s="7" t="s">
        <v>50</v>
      </c>
      <c r="C38" s="7" t="s">
        <v>51</v>
      </c>
      <c r="E38" s="61">
        <f t="shared" si="3"/>
        <v>32879439</v>
      </c>
      <c r="G38" s="7">
        <f>10316181+28017308</f>
        <v>38333489</v>
      </c>
      <c r="I38" s="7">
        <v>0</v>
      </c>
      <c r="K38" s="7">
        <v>0</v>
      </c>
      <c r="M38" s="7">
        <v>71212928</v>
      </c>
      <c r="O38" s="7">
        <f t="shared" si="1"/>
        <v>3387125</v>
      </c>
      <c r="Q38" s="7">
        <v>3344986</v>
      </c>
      <c r="S38" s="7">
        <v>1585979</v>
      </c>
      <c r="U38" s="7">
        <f>5146132+1585979</f>
        <v>6732111</v>
      </c>
      <c r="W38" s="7">
        <v>35268325</v>
      </c>
      <c r="Y38" s="7">
        <f>4248609+2133143+4542196+3090053+3382089+55920+38975</f>
        <v>17490985</v>
      </c>
      <c r="AA38" s="7">
        <v>11721507</v>
      </c>
      <c r="AC38" s="7">
        <f t="shared" si="2"/>
        <v>64480817</v>
      </c>
      <c r="AF38" s="9">
        <f t="shared" si="0"/>
        <v>0</v>
      </c>
    </row>
    <row r="39" spans="1:51" ht="12.75" customHeight="1" x14ac:dyDescent="0.2">
      <c r="A39" s="7" t="s">
        <v>52</v>
      </c>
      <c r="C39" s="7" t="s">
        <v>53</v>
      </c>
      <c r="E39" s="61">
        <f t="shared" si="3"/>
        <v>16363516</v>
      </c>
      <c r="G39" s="7">
        <v>29993070</v>
      </c>
      <c r="I39" s="7">
        <v>0</v>
      </c>
      <c r="K39" s="7">
        <v>51915</v>
      </c>
      <c r="M39" s="7">
        <v>46408501</v>
      </c>
      <c r="O39" s="7">
        <f t="shared" si="1"/>
        <v>1786021</v>
      </c>
      <c r="Q39" s="7">
        <v>5502739</v>
      </c>
      <c r="S39" s="7">
        <v>365476</v>
      </c>
      <c r="U39" s="7">
        <f>6923284+365476</f>
        <v>7288760</v>
      </c>
      <c r="W39" s="7">
        <v>24594149</v>
      </c>
      <c r="Y39" s="7">
        <f>1553583+112227+5990529</f>
        <v>7656339</v>
      </c>
      <c r="AA39" s="7">
        <v>6869253</v>
      </c>
      <c r="AC39" s="7">
        <f t="shared" si="2"/>
        <v>39119741</v>
      </c>
      <c r="AF39" s="9">
        <f t="shared" si="0"/>
        <v>0</v>
      </c>
    </row>
    <row r="40" spans="1:51" ht="12.75" customHeight="1" x14ac:dyDescent="0.2">
      <c r="A40" s="7" t="s">
        <v>54</v>
      </c>
      <c r="C40" s="7" t="s">
        <v>55</v>
      </c>
      <c r="E40" s="61">
        <f t="shared" si="3"/>
        <v>7119050</v>
      </c>
      <c r="G40" s="7">
        <f>2140420+13786001</f>
        <v>15926421</v>
      </c>
      <c r="I40" s="7">
        <v>0</v>
      </c>
      <c r="K40" s="7">
        <v>70328</v>
      </c>
      <c r="M40" s="7">
        <v>23115799</v>
      </c>
      <c r="O40" s="7">
        <f t="shared" si="1"/>
        <v>1509686</v>
      </c>
      <c r="Q40" s="7">
        <v>914946</v>
      </c>
      <c r="S40" s="7">
        <v>518861</v>
      </c>
      <c r="U40" s="7">
        <f>1905771+518861</f>
        <v>2424632</v>
      </c>
      <c r="W40" s="7">
        <v>15722421</v>
      </c>
      <c r="Y40" s="7">
        <f>461737+21464+3589849+102709</f>
        <v>4175759</v>
      </c>
      <c r="AA40" s="7">
        <v>792987</v>
      </c>
      <c r="AC40" s="7">
        <f t="shared" si="2"/>
        <v>20691167</v>
      </c>
      <c r="AF40" s="9">
        <f t="shared" si="0"/>
        <v>0</v>
      </c>
    </row>
    <row r="41" spans="1:51" ht="12.75" customHeight="1" x14ac:dyDescent="0.2">
      <c r="A41" s="7" t="s">
        <v>56</v>
      </c>
      <c r="C41" s="7" t="s">
        <v>57</v>
      </c>
      <c r="E41" s="61">
        <f t="shared" si="3"/>
        <v>11773431</v>
      </c>
      <c r="G41" s="7">
        <f>2755862+22481117</f>
        <v>25236979</v>
      </c>
      <c r="I41" s="7">
        <v>0</v>
      </c>
      <c r="K41" s="7">
        <v>10235</v>
      </c>
      <c r="M41" s="7">
        <v>37020645</v>
      </c>
      <c r="O41" s="7">
        <f t="shared" si="1"/>
        <v>2718774</v>
      </c>
      <c r="Q41" s="7">
        <v>5177666</v>
      </c>
      <c r="S41" s="7">
        <v>0</v>
      </c>
      <c r="U41" s="7">
        <v>7896440</v>
      </c>
      <c r="W41" s="7">
        <v>21338304</v>
      </c>
      <c r="Y41" s="7">
        <f>52258+2468268+2876740</f>
        <v>5397266</v>
      </c>
      <c r="AA41" s="7">
        <v>2388635</v>
      </c>
      <c r="AC41" s="7">
        <f t="shared" si="2"/>
        <v>29124205</v>
      </c>
      <c r="AF41" s="9">
        <f t="shared" si="0"/>
        <v>0</v>
      </c>
    </row>
    <row r="42" spans="1:51" ht="12.75" customHeight="1" x14ac:dyDescent="0.2">
      <c r="A42" s="7" t="s">
        <v>509</v>
      </c>
      <c r="C42" s="7" t="s">
        <v>59</v>
      </c>
      <c r="E42" s="61">
        <f t="shared" ref="E42" si="7">+M42-G42-K42</f>
        <v>5463981</v>
      </c>
      <c r="G42" s="7">
        <f>800625+2057993</f>
        <v>2858618</v>
      </c>
      <c r="I42" s="7">
        <v>0</v>
      </c>
      <c r="K42" s="7">
        <v>0</v>
      </c>
      <c r="M42" s="7">
        <v>8322599</v>
      </c>
      <c r="O42" s="7">
        <f t="shared" ref="O42" si="8">+U42-Q42</f>
        <v>1641263</v>
      </c>
      <c r="Q42" s="7">
        <v>726552</v>
      </c>
      <c r="S42" s="7">
        <v>656607</v>
      </c>
      <c r="U42" s="7">
        <f>1711208+656607</f>
        <v>2367815</v>
      </c>
      <c r="W42" s="7">
        <v>2858618</v>
      </c>
      <c r="Y42" s="7">
        <f>8245+157766+465200+234986+617328</f>
        <v>1483525</v>
      </c>
      <c r="AA42" s="7">
        <v>1612641</v>
      </c>
      <c r="AC42" s="7">
        <f t="shared" ref="AC42" si="9">W42+Y42+AA42</f>
        <v>5954784</v>
      </c>
      <c r="AF42" s="9">
        <f t="shared" ref="AF42" si="10">+M42-U42-AC42</f>
        <v>0</v>
      </c>
    </row>
    <row r="43" spans="1:51" ht="12.75" customHeight="1" x14ac:dyDescent="0.2">
      <c r="A43" s="7" t="s">
        <v>470</v>
      </c>
      <c r="C43" s="7" t="s">
        <v>13</v>
      </c>
      <c r="E43" s="61">
        <f t="shared" si="3"/>
        <v>3252040</v>
      </c>
      <c r="G43" s="7">
        <f>3045501+6541409</f>
        <v>9586910</v>
      </c>
      <c r="I43" s="7">
        <v>0</v>
      </c>
      <c r="K43" s="7">
        <v>0</v>
      </c>
      <c r="M43" s="7">
        <v>12838950</v>
      </c>
      <c r="O43" s="7">
        <f t="shared" si="1"/>
        <v>520276</v>
      </c>
      <c r="Q43" s="7">
        <v>1154662</v>
      </c>
      <c r="S43" s="7">
        <v>281060</v>
      </c>
      <c r="U43" s="7">
        <f>1393878+281060</f>
        <v>1674938</v>
      </c>
      <c r="W43" s="7">
        <v>8417409</v>
      </c>
      <c r="Y43" s="7">
        <f>203907+448063+204411+11386+2825</f>
        <v>870592</v>
      </c>
      <c r="AA43" s="7">
        <v>1876011</v>
      </c>
      <c r="AC43" s="7">
        <f t="shared" si="2"/>
        <v>11164012</v>
      </c>
      <c r="AF43" s="9">
        <f t="shared" si="0"/>
        <v>0</v>
      </c>
    </row>
    <row r="44" spans="1:51" ht="12.75" customHeight="1" x14ac:dyDescent="0.2">
      <c r="A44" s="7" t="s">
        <v>493</v>
      </c>
      <c r="C44" s="7" t="s">
        <v>41</v>
      </c>
      <c r="E44" s="61">
        <f t="shared" ref="E44" si="11">+M44-G44-K44</f>
        <v>6066861</v>
      </c>
      <c r="G44" s="7">
        <f>1743715+7329412</f>
        <v>9073127</v>
      </c>
      <c r="I44" s="7">
        <v>0</v>
      </c>
      <c r="K44" s="7">
        <v>22729</v>
      </c>
      <c r="M44" s="7">
        <v>15162717</v>
      </c>
      <c r="O44" s="7">
        <f t="shared" ref="O44" si="12">+U44-Q44</f>
        <v>3597522</v>
      </c>
      <c r="Q44" s="7">
        <v>7031916</v>
      </c>
      <c r="S44" s="7">
        <v>435493</v>
      </c>
      <c r="U44" s="7">
        <v>10629438</v>
      </c>
      <c r="W44" s="7">
        <v>-423019</v>
      </c>
      <c r="Y44" s="7">
        <f>65652+701445+82051+313380+12650</f>
        <v>1175178</v>
      </c>
      <c r="AA44" s="7">
        <v>3781120</v>
      </c>
      <c r="AC44" s="7">
        <f t="shared" ref="AC44" si="13">W44+Y44+AA44</f>
        <v>4533279</v>
      </c>
      <c r="AF44" s="9">
        <f t="shared" si="0"/>
        <v>0</v>
      </c>
    </row>
    <row r="45" spans="1:51" ht="12.75" customHeight="1" x14ac:dyDescent="0.2">
      <c r="A45" s="7" t="s">
        <v>58</v>
      </c>
      <c r="C45" s="7" t="s">
        <v>59</v>
      </c>
      <c r="E45" s="61">
        <f t="shared" si="3"/>
        <v>5220974</v>
      </c>
      <c r="G45" s="7">
        <f>3132018+10639920</f>
        <v>13771938</v>
      </c>
      <c r="I45" s="7">
        <v>0</v>
      </c>
      <c r="K45" s="7">
        <v>0</v>
      </c>
      <c r="M45" s="7">
        <v>18992912</v>
      </c>
      <c r="O45" s="7">
        <f t="shared" si="1"/>
        <v>1146543</v>
      </c>
      <c r="Q45" s="7">
        <v>843888</v>
      </c>
      <c r="S45" s="7">
        <v>490817</v>
      </c>
      <c r="U45" s="7">
        <f>1499614+490817</f>
        <v>1990431</v>
      </c>
      <c r="W45" s="7">
        <v>12899624</v>
      </c>
      <c r="Y45" s="7">
        <f>125817+54193+1463539+17395+102627+20956</f>
        <v>1784527</v>
      </c>
      <c r="AA45" s="7">
        <v>2318330</v>
      </c>
      <c r="AC45" s="7">
        <f t="shared" si="2"/>
        <v>17002481</v>
      </c>
      <c r="AF45" s="9">
        <f t="shared" si="0"/>
        <v>0</v>
      </c>
    </row>
    <row r="46" spans="1:51" ht="12.75" hidden="1" customHeight="1" x14ac:dyDescent="0.2">
      <c r="A46" s="7" t="s">
        <v>60</v>
      </c>
      <c r="C46" s="7" t="s">
        <v>13</v>
      </c>
      <c r="E46" s="61">
        <v>54030179</v>
      </c>
      <c r="G46" s="7">
        <v>107333141</v>
      </c>
      <c r="I46" s="7">
        <v>0</v>
      </c>
      <c r="K46" s="7">
        <v>0</v>
      </c>
      <c r="M46" s="7">
        <v>161363320</v>
      </c>
      <c r="O46" s="7">
        <v>12642389</v>
      </c>
      <c r="Q46" s="7">
        <v>18300055</v>
      </c>
      <c r="S46" s="7">
        <v>1909420</v>
      </c>
      <c r="U46" s="7">
        <v>32851864</v>
      </c>
      <c r="W46" s="7">
        <v>96544493</v>
      </c>
      <c r="Y46" s="7">
        <f>128511456-96544493-5978878</f>
        <v>25988085</v>
      </c>
      <c r="AA46" s="7">
        <v>5978878</v>
      </c>
      <c r="AC46" s="7">
        <f t="shared" si="2"/>
        <v>128511456</v>
      </c>
      <c r="AF46" s="9">
        <f>+M46-U46-AC46</f>
        <v>0</v>
      </c>
    </row>
    <row r="47" spans="1:51" ht="12.75" hidden="1" customHeight="1" x14ac:dyDescent="0.2">
      <c r="A47" s="7" t="s">
        <v>479</v>
      </c>
      <c r="C47" s="7" t="s">
        <v>109</v>
      </c>
      <c r="E47" s="61">
        <f t="shared" si="3"/>
        <v>0</v>
      </c>
      <c r="O47" s="7">
        <f t="shared" si="1"/>
        <v>0</v>
      </c>
      <c r="AC47" s="7">
        <f t="shared" si="2"/>
        <v>0</v>
      </c>
      <c r="AF47" s="9">
        <f t="shared" si="0"/>
        <v>0</v>
      </c>
    </row>
    <row r="48" spans="1:51" ht="12.75" customHeight="1" x14ac:dyDescent="0.2">
      <c r="A48" s="7" t="s">
        <v>465</v>
      </c>
      <c r="C48" s="7" t="s">
        <v>62</v>
      </c>
      <c r="E48" s="61">
        <f t="shared" si="3"/>
        <v>9268384</v>
      </c>
      <c r="G48" s="7">
        <f>10665604+11506557</f>
        <v>22172161</v>
      </c>
      <c r="I48" s="7">
        <v>0</v>
      </c>
      <c r="K48" s="7">
        <v>0</v>
      </c>
      <c r="M48" s="7">
        <v>31440545</v>
      </c>
      <c r="O48" s="7">
        <f t="shared" si="1"/>
        <v>4121159</v>
      </c>
      <c r="Q48" s="7">
        <v>4052603</v>
      </c>
      <c r="S48" s="7">
        <v>1376681</v>
      </c>
      <c r="U48" s="7">
        <f>6797081+1376681</f>
        <v>8173762</v>
      </c>
      <c r="W48" s="7">
        <v>17118443</v>
      </c>
      <c r="Y48" s="7">
        <f>32607+1515369+1125351</f>
        <v>2673327</v>
      </c>
      <c r="AA48" s="7">
        <v>3475013</v>
      </c>
      <c r="AC48" s="7">
        <f t="shared" si="2"/>
        <v>23266783</v>
      </c>
      <c r="AF48" s="9">
        <f t="shared" si="0"/>
        <v>0</v>
      </c>
    </row>
    <row r="49" spans="1:33" ht="12.75" customHeight="1" x14ac:dyDescent="0.2">
      <c r="A49" s="7" t="s">
        <v>63</v>
      </c>
      <c r="C49" s="7" t="s">
        <v>64</v>
      </c>
      <c r="E49" s="61">
        <f t="shared" si="3"/>
        <v>33631261</v>
      </c>
      <c r="G49" s="7">
        <f>4245419+40874832</f>
        <v>45120251</v>
      </c>
      <c r="I49" s="7">
        <v>0</v>
      </c>
      <c r="K49" s="7">
        <v>87204</v>
      </c>
      <c r="M49" s="7">
        <v>78838716</v>
      </c>
      <c r="O49" s="7">
        <f t="shared" si="1"/>
        <v>3218278</v>
      </c>
      <c r="Q49" s="7">
        <v>7123635</v>
      </c>
      <c r="S49" s="7">
        <v>0</v>
      </c>
      <c r="U49" s="7">
        <v>10341913</v>
      </c>
      <c r="W49" s="7">
        <v>38096137</v>
      </c>
      <c r="Y49" s="7">
        <f>10077085+416705+1047651+704951</f>
        <v>12246392</v>
      </c>
      <c r="AA49" s="7">
        <v>18154274</v>
      </c>
      <c r="AC49" s="7">
        <f t="shared" si="2"/>
        <v>68496803</v>
      </c>
      <c r="AF49" s="9">
        <f t="shared" si="0"/>
        <v>0</v>
      </c>
    </row>
    <row r="50" spans="1:33" ht="12.75" hidden="1" customHeight="1" x14ac:dyDescent="0.2">
      <c r="A50" s="7" t="s">
        <v>65</v>
      </c>
      <c r="C50" s="7" t="s">
        <v>373</v>
      </c>
      <c r="E50" s="61">
        <f t="shared" si="3"/>
        <v>7481577</v>
      </c>
      <c r="G50" s="7">
        <f>3155990+35331034</f>
        <v>38487024</v>
      </c>
      <c r="K50" s="7">
        <v>0</v>
      </c>
      <c r="M50" s="7">
        <v>45968601</v>
      </c>
      <c r="O50" s="7">
        <f t="shared" si="1"/>
        <v>2159784</v>
      </c>
      <c r="Q50" s="7">
        <v>1791297</v>
      </c>
      <c r="U50" s="7">
        <v>3951081</v>
      </c>
      <c r="W50" s="7">
        <v>36762288</v>
      </c>
      <c r="Y50" s="7">
        <f>842920+475314+255095+234315</f>
        <v>1807644</v>
      </c>
      <c r="AA50" s="7">
        <v>3447588</v>
      </c>
      <c r="AC50" s="7">
        <f t="shared" si="2"/>
        <v>42017520</v>
      </c>
      <c r="AF50" s="9">
        <f t="shared" si="0"/>
        <v>0</v>
      </c>
    </row>
    <row r="51" spans="1:33" ht="12.75" customHeight="1" x14ac:dyDescent="0.2">
      <c r="A51" s="7" t="s">
        <v>66</v>
      </c>
      <c r="C51" s="7" t="s">
        <v>43</v>
      </c>
      <c r="E51" s="61">
        <f t="shared" si="3"/>
        <v>4471097</v>
      </c>
      <c r="G51" s="7">
        <f>274086+3853286</f>
        <v>4127372</v>
      </c>
      <c r="I51" s="7">
        <v>0</v>
      </c>
      <c r="K51" s="7">
        <v>18658</v>
      </c>
      <c r="M51" s="7">
        <v>8617127</v>
      </c>
      <c r="O51" s="7">
        <f t="shared" si="1"/>
        <v>1892315</v>
      </c>
      <c r="Q51" s="7">
        <v>559104</v>
      </c>
      <c r="S51" s="7">
        <v>1546053</v>
      </c>
      <c r="U51" s="7">
        <f>905366+1546053</f>
        <v>2451419</v>
      </c>
      <c r="W51" s="7">
        <v>4127372</v>
      </c>
      <c r="Y51" s="7">
        <f>732881+20123+546788</f>
        <v>1299792</v>
      </c>
      <c r="AA51" s="7">
        <v>738544</v>
      </c>
      <c r="AC51" s="7">
        <f t="shared" si="2"/>
        <v>6165708</v>
      </c>
      <c r="AF51" s="9">
        <f t="shared" si="0"/>
        <v>0</v>
      </c>
    </row>
    <row r="52" spans="1:33" ht="12.75" hidden="1" customHeight="1" x14ac:dyDescent="0.2">
      <c r="A52" s="7" t="s">
        <v>67</v>
      </c>
      <c r="C52" s="7" t="s">
        <v>68</v>
      </c>
      <c r="E52" s="61">
        <f t="shared" si="3"/>
        <v>11131551</v>
      </c>
      <c r="G52" s="7">
        <f>6864490+34524417</f>
        <v>41388907</v>
      </c>
      <c r="K52" s="7">
        <v>0</v>
      </c>
      <c r="M52" s="7">
        <v>52520458</v>
      </c>
      <c r="O52" s="7">
        <f t="shared" si="1"/>
        <v>9255149</v>
      </c>
      <c r="Q52" s="7">
        <v>2145309</v>
      </c>
      <c r="U52" s="7">
        <v>11400458</v>
      </c>
      <c r="W52" s="7">
        <v>36905390</v>
      </c>
      <c r="Y52" s="7">
        <f>14670+2419328+377749+208274+655388+943547+2235+1000</f>
        <v>4622191</v>
      </c>
      <c r="AA52" s="7">
        <v>-407581</v>
      </c>
      <c r="AC52" s="7">
        <f t="shared" si="2"/>
        <v>41120000</v>
      </c>
      <c r="AF52" s="9">
        <f t="shared" si="0"/>
        <v>0</v>
      </c>
    </row>
    <row r="53" spans="1:33" ht="12.75" customHeight="1" x14ac:dyDescent="0.2">
      <c r="A53" s="7" t="s">
        <v>69</v>
      </c>
      <c r="C53" s="7" t="s">
        <v>43</v>
      </c>
      <c r="E53" s="61">
        <v>421948000</v>
      </c>
      <c r="G53" s="7">
        <v>1542656000</v>
      </c>
      <c r="I53" s="7">
        <v>0</v>
      </c>
      <c r="K53" s="7">
        <v>0</v>
      </c>
      <c r="M53" s="7">
        <v>1964604000</v>
      </c>
      <c r="O53" s="7">
        <v>183995000</v>
      </c>
      <c r="Q53" s="7">
        <v>811071000</v>
      </c>
      <c r="S53" s="7">
        <v>95843000</v>
      </c>
      <c r="U53" s="7">
        <f>995066000+95843000</f>
        <v>1090909000</v>
      </c>
      <c r="W53" s="7">
        <v>761211000</v>
      </c>
      <c r="Y53" s="7">
        <f>25594000+16411000+99794000+17611000+6415000+7978000+10086000+8872000+143000+19442000+7768000+2355000</f>
        <v>222469000</v>
      </c>
      <c r="AA53" s="7">
        <v>-109985000</v>
      </c>
      <c r="AC53" s="7">
        <f t="shared" si="2"/>
        <v>873695000</v>
      </c>
      <c r="AF53" s="9">
        <f t="shared" si="0"/>
        <v>0</v>
      </c>
    </row>
    <row r="54" spans="1:33" ht="12.75" customHeight="1" x14ac:dyDescent="0.2">
      <c r="A54" s="7" t="s">
        <v>459</v>
      </c>
      <c r="C54" s="7" t="s">
        <v>460</v>
      </c>
      <c r="E54" s="61">
        <f t="shared" si="3"/>
        <v>10331265</v>
      </c>
      <c r="G54" s="7">
        <f>1156910+21798382</f>
        <v>22955292</v>
      </c>
      <c r="I54" s="7">
        <v>31033</v>
      </c>
      <c r="K54" s="7">
        <v>0</v>
      </c>
      <c r="M54" s="7">
        <f>33255524+31033</f>
        <v>33286557</v>
      </c>
      <c r="O54" s="7">
        <f t="shared" si="1"/>
        <v>4325861</v>
      </c>
      <c r="Q54" s="7">
        <v>3028892</v>
      </c>
      <c r="S54" s="7">
        <v>803917</v>
      </c>
      <c r="U54" s="7">
        <f>6550836+803917</f>
        <v>7354753</v>
      </c>
      <c r="W54" s="7">
        <v>20409644</v>
      </c>
      <c r="Y54" s="7">
        <f>837+137445+586456+634139+824750</f>
        <v>2183627</v>
      </c>
      <c r="AA54" s="7">
        <v>3338533</v>
      </c>
      <c r="AC54" s="7">
        <f t="shared" si="2"/>
        <v>25931804</v>
      </c>
      <c r="AF54" s="9">
        <f t="shared" si="0"/>
        <v>0</v>
      </c>
    </row>
    <row r="55" spans="1:33" ht="12.75" customHeight="1" x14ac:dyDescent="0.2">
      <c r="A55" s="7" t="s">
        <v>70</v>
      </c>
      <c r="C55" s="7" t="s">
        <v>64</v>
      </c>
      <c r="E55" s="61">
        <f t="shared" si="3"/>
        <v>12006573</v>
      </c>
      <c r="G55" s="7">
        <f>4069825+8166071</f>
        <v>12235896</v>
      </c>
      <c r="I55" s="7">
        <v>0</v>
      </c>
      <c r="K55" s="7">
        <v>80806</v>
      </c>
      <c r="M55" s="7">
        <v>24323275</v>
      </c>
      <c r="O55" s="7">
        <f t="shared" si="1"/>
        <v>3867846</v>
      </c>
      <c r="Q55" s="7">
        <v>5662439</v>
      </c>
      <c r="S55" s="7">
        <v>2603600</v>
      </c>
      <c r="U55" s="7">
        <f>6926685+2603600</f>
        <v>9530285</v>
      </c>
      <c r="W55" s="7">
        <v>7019165</v>
      </c>
      <c r="Y55" s="7">
        <f>709166+661296+713935+28765+584376+125752</f>
        <v>2823290</v>
      </c>
      <c r="AA55" s="7">
        <v>4950535</v>
      </c>
      <c r="AC55" s="7">
        <f t="shared" si="2"/>
        <v>14792990</v>
      </c>
      <c r="AF55" s="9">
        <f t="shared" si="0"/>
        <v>0</v>
      </c>
    </row>
    <row r="56" spans="1:33" ht="12.75" customHeight="1" x14ac:dyDescent="0.2">
      <c r="A56" s="7" t="s">
        <v>71</v>
      </c>
      <c r="C56" s="7" t="s">
        <v>25</v>
      </c>
      <c r="E56" s="61">
        <f t="shared" si="3"/>
        <v>764489000</v>
      </c>
      <c r="G56" s="7">
        <v>929462000</v>
      </c>
      <c r="I56" s="7">
        <v>0</v>
      </c>
      <c r="K56" s="7">
        <v>0</v>
      </c>
      <c r="M56" s="7">
        <v>1693951000</v>
      </c>
      <c r="O56" s="7">
        <f t="shared" si="1"/>
        <v>314943000</v>
      </c>
      <c r="Q56" s="7">
        <v>696690000</v>
      </c>
      <c r="S56" s="7">
        <v>239000</v>
      </c>
      <c r="U56" s="7">
        <v>1011633000</v>
      </c>
      <c r="W56" s="7">
        <v>572213000</v>
      </c>
      <c r="Y56" s="7">
        <f>18018000+40097000+31448000+32925000</f>
        <v>122488000</v>
      </c>
      <c r="AA56" s="7">
        <v>-12383000</v>
      </c>
      <c r="AC56" s="7">
        <f t="shared" si="2"/>
        <v>682318000</v>
      </c>
      <c r="AF56" s="9">
        <f t="shared" si="0"/>
        <v>0</v>
      </c>
    </row>
    <row r="57" spans="1:33" ht="12.75" customHeight="1" x14ac:dyDescent="0.2">
      <c r="A57" s="7" t="s">
        <v>72</v>
      </c>
      <c r="C57" s="7" t="s">
        <v>25</v>
      </c>
      <c r="E57" s="61">
        <f t="shared" si="3"/>
        <v>48519948</v>
      </c>
      <c r="G57" s="7">
        <f>7704922+72752517</f>
        <v>80457439</v>
      </c>
      <c r="I57" s="7">
        <v>0</v>
      </c>
      <c r="K57" s="7">
        <v>250612</v>
      </c>
      <c r="M57" s="7">
        <v>129227999</v>
      </c>
      <c r="O57" s="7">
        <f t="shared" si="1"/>
        <v>19821954</v>
      </c>
      <c r="Q57" s="7">
        <v>18249960</v>
      </c>
      <c r="S57" s="7">
        <v>9141581</v>
      </c>
      <c r="U57" s="7">
        <v>38071914</v>
      </c>
      <c r="W57" s="7">
        <v>62188479</v>
      </c>
      <c r="Y57" s="7">
        <f>1583170+3652948+1823792+1509509+1985699+3835462</f>
        <v>14390580</v>
      </c>
      <c r="AA57" s="7">
        <v>14577026</v>
      </c>
      <c r="AC57" s="7">
        <f t="shared" si="2"/>
        <v>91156085</v>
      </c>
      <c r="AF57" s="9">
        <f t="shared" si="0"/>
        <v>0</v>
      </c>
      <c r="AG57" s="10"/>
    </row>
    <row r="58" spans="1:33" ht="12.75" customHeight="1" x14ac:dyDescent="0.2">
      <c r="A58" s="7" t="s">
        <v>73</v>
      </c>
      <c r="C58" s="7" t="s">
        <v>74</v>
      </c>
      <c r="E58" s="61">
        <f t="shared" si="3"/>
        <v>4180966</v>
      </c>
      <c r="G58" s="7">
        <f>1434049+16118099</f>
        <v>17552148</v>
      </c>
      <c r="I58" s="7">
        <v>0</v>
      </c>
      <c r="K58" s="7">
        <v>23687</v>
      </c>
      <c r="M58" s="7">
        <v>21756801</v>
      </c>
      <c r="O58" s="7">
        <f t="shared" si="1"/>
        <v>918232</v>
      </c>
      <c r="Q58" s="7">
        <v>3577710</v>
      </c>
      <c r="S58" s="7">
        <v>293670</v>
      </c>
      <c r="U58" s="7">
        <f>4202272+293670</f>
        <v>4495942</v>
      </c>
      <c r="W58" s="7">
        <v>14046024</v>
      </c>
      <c r="Y58" s="7">
        <f>535932+81422+52745</f>
        <v>670099</v>
      </c>
      <c r="AA58" s="7">
        <v>2544736</v>
      </c>
      <c r="AC58" s="7">
        <f t="shared" si="2"/>
        <v>17260859</v>
      </c>
      <c r="AF58" s="9">
        <f t="shared" si="0"/>
        <v>0</v>
      </c>
    </row>
    <row r="59" spans="1:33" ht="12.75" hidden="1" customHeight="1" x14ac:dyDescent="0.2">
      <c r="A59" s="7" t="s">
        <v>75</v>
      </c>
      <c r="C59" s="7" t="s">
        <v>464</v>
      </c>
      <c r="E59" s="61">
        <f t="shared" si="3"/>
        <v>1027241000</v>
      </c>
      <c r="G59" s="7">
        <f>271118000+1779389000</f>
        <v>2050507000</v>
      </c>
      <c r="I59" s="7">
        <v>32225000</v>
      </c>
      <c r="K59" s="7">
        <v>0</v>
      </c>
      <c r="M59" s="7">
        <f>3045523000+32225000</f>
        <v>3077748000</v>
      </c>
      <c r="O59" s="7">
        <f t="shared" si="1"/>
        <v>370631000</v>
      </c>
      <c r="Q59" s="7">
        <f>19677000+41093000+22822000+1169590000</f>
        <v>1253182000</v>
      </c>
      <c r="S59" s="7">
        <v>73728000</v>
      </c>
      <c r="U59" s="7">
        <f>1550085000+73728000</f>
        <v>1623813000</v>
      </c>
      <c r="W59" s="7">
        <v>1087998000</v>
      </c>
      <c r="Y59" s="7">
        <f>22430000+36838000+51910000</f>
        <v>111178000</v>
      </c>
      <c r="AA59" s="7">
        <v>254759000</v>
      </c>
      <c r="AC59" s="7">
        <f t="shared" si="2"/>
        <v>1453935000</v>
      </c>
      <c r="AF59" s="9">
        <f t="shared" si="0"/>
        <v>0</v>
      </c>
    </row>
    <row r="60" spans="1:33" ht="12.75" customHeight="1" x14ac:dyDescent="0.2">
      <c r="A60" s="7" t="s">
        <v>92</v>
      </c>
      <c r="C60" s="7" t="s">
        <v>92</v>
      </c>
      <c r="E60" s="61">
        <f t="shared" ref="E60" si="14">+M60-G60-K60</f>
        <v>4604647</v>
      </c>
      <c r="G60" s="7">
        <v>7211213</v>
      </c>
      <c r="I60" s="7">
        <v>0</v>
      </c>
      <c r="K60" s="7">
        <v>22357</v>
      </c>
      <c r="M60" s="7">
        <v>11838217</v>
      </c>
      <c r="O60" s="7">
        <f t="shared" ref="O60" si="15">+U60-Q60</f>
        <v>826496</v>
      </c>
      <c r="Q60" s="7">
        <v>412806</v>
      </c>
      <c r="S60" s="7">
        <v>548317</v>
      </c>
      <c r="U60" s="7">
        <f>548317+690985</f>
        <v>1239302</v>
      </c>
      <c r="W60" s="7">
        <v>6888447</v>
      </c>
      <c r="Y60" s="7">
        <f>1206364+74750+805245</f>
        <v>2086359</v>
      </c>
      <c r="AA60" s="7">
        <v>1624109</v>
      </c>
      <c r="AC60" s="7">
        <f t="shared" ref="AC60" si="16">W60+Y60+AA60</f>
        <v>10598915</v>
      </c>
      <c r="AF60" s="9">
        <f t="shared" si="0"/>
        <v>0</v>
      </c>
    </row>
    <row r="61" spans="1:33" ht="12.75" customHeight="1" x14ac:dyDescent="0.2">
      <c r="A61" s="7" t="s">
        <v>76</v>
      </c>
      <c r="C61" s="7" t="s">
        <v>17</v>
      </c>
      <c r="E61" s="61">
        <f t="shared" si="3"/>
        <v>6985504</v>
      </c>
      <c r="G61" s="7">
        <f>1276867+28121367</f>
        <v>29398234</v>
      </c>
      <c r="I61" s="7">
        <v>0</v>
      </c>
      <c r="K61" s="7">
        <v>0</v>
      </c>
      <c r="M61" s="7">
        <v>36383738</v>
      </c>
      <c r="O61" s="7">
        <f t="shared" si="1"/>
        <v>2443501</v>
      </c>
      <c r="Q61" s="7">
        <v>3298751</v>
      </c>
      <c r="S61" s="7">
        <v>1076169</v>
      </c>
      <c r="U61" s="7">
        <f>4666083+1076169</f>
        <v>5742252</v>
      </c>
      <c r="W61" s="7">
        <v>27055197</v>
      </c>
      <c r="Y61" s="7">
        <f>791746+329277+347209+72220+525874</f>
        <v>2066326</v>
      </c>
      <c r="AA61" s="7">
        <v>1519963</v>
      </c>
      <c r="AC61" s="7">
        <f t="shared" si="2"/>
        <v>30641486</v>
      </c>
      <c r="AF61" s="9">
        <f t="shared" si="0"/>
        <v>0</v>
      </c>
    </row>
    <row r="62" spans="1:33" ht="12.75" customHeight="1" x14ac:dyDescent="0.2">
      <c r="A62" s="7" t="s">
        <v>77</v>
      </c>
      <c r="C62" s="7" t="s">
        <v>78</v>
      </c>
      <c r="E62" s="61">
        <f t="shared" si="3"/>
        <v>4283194</v>
      </c>
      <c r="G62" s="7">
        <f>17576+4997351</f>
        <v>5014927</v>
      </c>
      <c r="I62" s="7">
        <v>0</v>
      </c>
      <c r="K62" s="7">
        <v>28459</v>
      </c>
      <c r="M62" s="7">
        <v>9326580</v>
      </c>
      <c r="O62" s="7">
        <f t="shared" si="1"/>
        <v>2372688</v>
      </c>
      <c r="Q62" s="7">
        <v>209738</v>
      </c>
      <c r="S62" s="7">
        <v>2131151</v>
      </c>
      <c r="U62" s="7">
        <f>451275+2131151</f>
        <v>2582426</v>
      </c>
      <c r="W62" s="7">
        <v>5014927</v>
      </c>
      <c r="Y62" s="7">
        <f>303444+104616+216527+400437+144211</f>
        <v>1169235</v>
      </c>
      <c r="AA62" s="7">
        <v>559992</v>
      </c>
      <c r="AC62" s="7">
        <f t="shared" si="2"/>
        <v>6744154</v>
      </c>
      <c r="AF62" s="9">
        <f t="shared" si="0"/>
        <v>0</v>
      </c>
    </row>
    <row r="63" spans="1:33" ht="12.75" customHeight="1" x14ac:dyDescent="0.2">
      <c r="A63" s="7" t="s">
        <v>79</v>
      </c>
      <c r="C63" s="7" t="s">
        <v>79</v>
      </c>
      <c r="E63" s="61">
        <f t="shared" si="3"/>
        <v>5195745</v>
      </c>
      <c r="G63" s="7">
        <v>5481750</v>
      </c>
      <c r="I63" s="7">
        <v>0</v>
      </c>
      <c r="K63" s="7">
        <v>0</v>
      </c>
      <c r="M63" s="7">
        <v>10677495</v>
      </c>
      <c r="O63" s="7">
        <f t="shared" si="1"/>
        <v>1088204</v>
      </c>
      <c r="Q63" s="7">
        <v>667852</v>
      </c>
      <c r="S63" s="7">
        <v>443169</v>
      </c>
      <c r="U63" s="7">
        <v>1756056</v>
      </c>
      <c r="W63" s="7">
        <v>5280804</v>
      </c>
      <c r="Y63" s="7">
        <f>724146+172134+250000+607548+648499+253378+284871</f>
        <v>2940576</v>
      </c>
      <c r="AA63" s="7">
        <v>700059</v>
      </c>
      <c r="AC63" s="7">
        <f t="shared" si="2"/>
        <v>8921439</v>
      </c>
      <c r="AF63" s="9">
        <f t="shared" si="0"/>
        <v>0</v>
      </c>
    </row>
    <row r="64" spans="1:33" ht="12.75" hidden="1" customHeight="1" x14ac:dyDescent="0.2">
      <c r="A64" s="10" t="s">
        <v>461</v>
      </c>
      <c r="C64" s="10" t="s">
        <v>55</v>
      </c>
      <c r="E64" s="61">
        <f t="shared" si="3"/>
        <v>0</v>
      </c>
      <c r="O64" s="7">
        <f t="shared" si="1"/>
        <v>0</v>
      </c>
      <c r="AC64" s="7">
        <f t="shared" si="2"/>
        <v>0</v>
      </c>
      <c r="AF64" s="9">
        <f t="shared" si="0"/>
        <v>0</v>
      </c>
    </row>
    <row r="65" spans="1:36" ht="12.75" hidden="1" customHeight="1" x14ac:dyDescent="0.2">
      <c r="A65" s="7" t="s">
        <v>80</v>
      </c>
      <c r="C65" s="7" t="s">
        <v>11</v>
      </c>
      <c r="E65" s="61">
        <f t="shared" si="3"/>
        <v>57128013</v>
      </c>
      <c r="G65" s="7">
        <f>15508990+76577494</f>
        <v>92086484</v>
      </c>
      <c r="I65" s="7">
        <v>0</v>
      </c>
      <c r="K65" s="7">
        <v>221748</v>
      </c>
      <c r="M65" s="7">
        <v>149436245</v>
      </c>
      <c r="O65" s="7">
        <f t="shared" si="1"/>
        <v>26089293</v>
      </c>
      <c r="Q65" s="7">
        <f>5016590+349885+1346218+1264246+2812552</f>
        <v>10789491</v>
      </c>
      <c r="S65" s="7">
        <v>0</v>
      </c>
      <c r="U65" s="7">
        <v>36878784</v>
      </c>
      <c r="W65" s="7">
        <v>83694616</v>
      </c>
      <c r="Y65" s="7">
        <f>11336227+6179+2536928+229900</f>
        <v>14109234</v>
      </c>
      <c r="AA65" s="7">
        <v>14753611</v>
      </c>
      <c r="AC65" s="7">
        <f t="shared" si="2"/>
        <v>112557461</v>
      </c>
      <c r="AF65" s="9">
        <f t="shared" si="0"/>
        <v>0</v>
      </c>
    </row>
    <row r="66" spans="1:36" ht="12.75" customHeight="1" x14ac:dyDescent="0.2">
      <c r="A66" s="7" t="s">
        <v>81</v>
      </c>
      <c r="C66" s="7" t="s">
        <v>64</v>
      </c>
      <c r="E66" s="61">
        <f t="shared" si="3"/>
        <v>223198741</v>
      </c>
      <c r="G66" s="7">
        <v>389020000</v>
      </c>
      <c r="I66" s="7">
        <v>1943071</v>
      </c>
      <c r="K66" s="7">
        <v>0</v>
      </c>
      <c r="M66" s="7">
        <f>610275670+1943071</f>
        <v>612218741</v>
      </c>
      <c r="O66" s="7">
        <f t="shared" si="1"/>
        <v>48151255</v>
      </c>
      <c r="Q66" s="7">
        <v>89740490</v>
      </c>
      <c r="S66" s="7">
        <v>14327870</v>
      </c>
      <c r="U66" s="7">
        <f>123563875+14327870</f>
        <v>137891745</v>
      </c>
      <c r="W66" s="7">
        <v>340108111</v>
      </c>
      <c r="Y66" s="7">
        <f>474326996-340108111-58288923</f>
        <v>75929962</v>
      </c>
      <c r="AA66" s="7">
        <v>58288923</v>
      </c>
      <c r="AC66" s="7">
        <f t="shared" si="2"/>
        <v>474326996</v>
      </c>
      <c r="AF66" s="7">
        <f t="shared" ref="AF66:AF67" si="17">+M66-U66-AC66</f>
        <v>0</v>
      </c>
    </row>
    <row r="67" spans="1:36" ht="12.75" customHeight="1" x14ac:dyDescent="0.2">
      <c r="A67" s="7" t="s">
        <v>82</v>
      </c>
      <c r="C67" s="7" t="s">
        <v>43</v>
      </c>
      <c r="E67" s="61">
        <f t="shared" si="3"/>
        <v>4006257</v>
      </c>
      <c r="G67" s="7">
        <f>817936+3626079</f>
        <v>4444015</v>
      </c>
      <c r="I67" s="7">
        <v>0</v>
      </c>
      <c r="K67" s="7">
        <v>0</v>
      </c>
      <c r="M67" s="7">
        <v>8450272</v>
      </c>
      <c r="O67" s="7">
        <f t="shared" si="1"/>
        <v>1533840</v>
      </c>
      <c r="Q67" s="7">
        <v>2698900</v>
      </c>
      <c r="S67" s="7">
        <v>0</v>
      </c>
      <c r="U67" s="7">
        <v>4232740</v>
      </c>
      <c r="W67" s="7">
        <v>2175832</v>
      </c>
      <c r="Y67" s="7">
        <f>52807+289542+86928+31000</f>
        <v>460277</v>
      </c>
      <c r="AA67" s="7">
        <v>1581423</v>
      </c>
      <c r="AC67" s="7">
        <f t="shared" si="2"/>
        <v>4217532</v>
      </c>
      <c r="AF67" s="7">
        <f t="shared" si="17"/>
        <v>0</v>
      </c>
    </row>
    <row r="68" spans="1:36" s="9" customFormat="1" ht="12.75" customHeight="1" x14ac:dyDescent="0.2">
      <c r="A68" s="9" t="s">
        <v>83</v>
      </c>
      <c r="C68" s="9" t="s">
        <v>83</v>
      </c>
      <c r="E68" s="7">
        <f t="shared" ref="E68:E75" si="18">+M68-G68-K68</f>
        <v>9613265</v>
      </c>
      <c r="F68" s="7"/>
      <c r="G68" s="7">
        <v>19956491</v>
      </c>
      <c r="H68" s="7"/>
      <c r="I68" s="7">
        <v>0</v>
      </c>
      <c r="J68" s="7"/>
      <c r="K68" s="7">
        <v>0</v>
      </c>
      <c r="L68" s="7"/>
      <c r="M68" s="7">
        <v>29569756</v>
      </c>
      <c r="N68" s="7"/>
      <c r="O68" s="7">
        <f>+U68-Q68</f>
        <v>2071471</v>
      </c>
      <c r="P68" s="7"/>
      <c r="Q68" s="7">
        <v>5275447</v>
      </c>
      <c r="R68" s="7"/>
      <c r="S68" s="7">
        <v>697805</v>
      </c>
      <c r="T68" s="7"/>
      <c r="U68" s="7">
        <f>6649113+697805</f>
        <v>7346918</v>
      </c>
      <c r="V68" s="7"/>
      <c r="W68" s="7">
        <v>15963829</v>
      </c>
      <c r="X68" s="7"/>
      <c r="Y68" s="7">
        <f>22222838-15963829-1738572</f>
        <v>4520437</v>
      </c>
      <c r="Z68" s="7"/>
      <c r="AA68" s="7">
        <v>1738572</v>
      </c>
      <c r="AB68" s="7"/>
      <c r="AC68" s="7">
        <f t="shared" ref="AC68:AC75" si="19">W68+Y68+AA68</f>
        <v>22222838</v>
      </c>
      <c r="AF68" s="9">
        <f t="shared" ref="AF68:AF79" si="20">+M68-U68-AC68</f>
        <v>0</v>
      </c>
      <c r="AG68" s="7"/>
    </row>
    <row r="69" spans="1:36" ht="12.75" hidden="1" customHeight="1" x14ac:dyDescent="0.2">
      <c r="A69" s="7" t="s">
        <v>84</v>
      </c>
      <c r="C69" s="7" t="s">
        <v>84</v>
      </c>
      <c r="E69" s="61">
        <f t="shared" si="18"/>
        <v>39865578</v>
      </c>
      <c r="G69" s="7">
        <f>10011171+77646129</f>
        <v>87657300</v>
      </c>
      <c r="K69" s="7">
        <v>264338</v>
      </c>
      <c r="M69" s="7">
        <v>127787216</v>
      </c>
      <c r="O69" s="7">
        <f>+U69-Q69</f>
        <v>27336526</v>
      </c>
      <c r="Q69" s="7">
        <v>29445836</v>
      </c>
      <c r="U69" s="7">
        <v>56782362</v>
      </c>
      <c r="W69" s="7">
        <v>44178680</v>
      </c>
      <c r="Y69" s="7">
        <f>71004854-44178680-15814619</f>
        <v>11011555</v>
      </c>
      <c r="AA69" s="7">
        <v>15814619</v>
      </c>
      <c r="AC69" s="7">
        <f t="shared" si="19"/>
        <v>71004854</v>
      </c>
      <c r="AF69" s="7">
        <f t="shared" si="20"/>
        <v>0</v>
      </c>
    </row>
    <row r="70" spans="1:36" ht="12.75" customHeight="1" x14ac:dyDescent="0.2">
      <c r="A70" s="9" t="s">
        <v>85</v>
      </c>
      <c r="B70" s="9"/>
      <c r="C70" s="9" t="s">
        <v>86</v>
      </c>
      <c r="D70" s="7"/>
      <c r="E70" s="61">
        <f t="shared" si="18"/>
        <v>2355670</v>
      </c>
      <c r="G70" s="7">
        <f>486960+2512094</f>
        <v>2999054</v>
      </c>
      <c r="I70" s="7">
        <v>0</v>
      </c>
      <c r="K70" s="7">
        <v>26588</v>
      </c>
      <c r="M70" s="7">
        <v>5381312</v>
      </c>
      <c r="O70" s="7">
        <f>+U70-Q70</f>
        <v>729872</v>
      </c>
      <c r="Q70" s="7">
        <v>386796</v>
      </c>
      <c r="S70" s="7">
        <v>0</v>
      </c>
      <c r="U70" s="7">
        <v>1116668</v>
      </c>
      <c r="W70" s="7">
        <v>2955774</v>
      </c>
      <c r="Y70" s="7">
        <v>662504</v>
      </c>
      <c r="AA70" s="7">
        <v>646366</v>
      </c>
      <c r="AC70" s="7">
        <f t="shared" si="19"/>
        <v>4264644</v>
      </c>
      <c r="AF70" s="7">
        <f t="shared" si="20"/>
        <v>0</v>
      </c>
    </row>
    <row r="71" spans="1:36" ht="12.75" customHeight="1" x14ac:dyDescent="0.2">
      <c r="A71" s="7" t="s">
        <v>392</v>
      </c>
      <c r="C71" s="7" t="s">
        <v>87</v>
      </c>
      <c r="E71" s="61">
        <f t="shared" si="18"/>
        <v>9162995</v>
      </c>
      <c r="G71" s="7">
        <f>1317313+16058730</f>
        <v>17376043</v>
      </c>
      <c r="I71" s="7">
        <v>0</v>
      </c>
      <c r="K71" s="7">
        <v>76390</v>
      </c>
      <c r="M71" s="7">
        <v>26615428</v>
      </c>
      <c r="O71" s="7">
        <f t="shared" ref="O71" si="21">+U71-Q71</f>
        <v>2343701</v>
      </c>
      <c r="Q71" s="7">
        <v>4498770</v>
      </c>
      <c r="S71" s="7">
        <v>855320</v>
      </c>
      <c r="U71" s="7">
        <f>5987151+855320</f>
        <v>6842471</v>
      </c>
      <c r="W71" s="7">
        <v>14711043</v>
      </c>
      <c r="Y71" s="7">
        <f>761140+365516+472259+40207+52257</f>
        <v>1691379</v>
      </c>
      <c r="AA71" s="7">
        <v>3370535</v>
      </c>
      <c r="AC71" s="7">
        <f t="shared" si="19"/>
        <v>19772957</v>
      </c>
      <c r="AF71" s="7">
        <f t="shared" si="20"/>
        <v>0</v>
      </c>
    </row>
    <row r="72" spans="1:36" ht="12.75" customHeight="1" x14ac:dyDescent="0.2">
      <c r="A72" s="7" t="s">
        <v>88</v>
      </c>
      <c r="C72" s="7" t="s">
        <v>41</v>
      </c>
      <c r="E72" s="61">
        <f t="shared" si="18"/>
        <v>143207827</v>
      </c>
      <c r="G72" s="7">
        <f>280856815+127913989</f>
        <v>408770804</v>
      </c>
      <c r="I72" s="7">
        <v>833971</v>
      </c>
      <c r="K72" s="7">
        <v>0</v>
      </c>
      <c r="M72" s="7">
        <f>551144660+833971</f>
        <v>551978631</v>
      </c>
      <c r="O72" s="7">
        <f>+U72-Q72</f>
        <v>31776205</v>
      </c>
      <c r="Q72" s="7">
        <v>40213591</v>
      </c>
      <c r="S72" s="7">
        <v>12243732</v>
      </c>
      <c r="U72" s="7">
        <f>59746064+12243732</f>
        <v>71989796</v>
      </c>
      <c r="W72" s="7">
        <v>370705707</v>
      </c>
      <c r="Y72" s="7">
        <f>9492384+975561+1724676</f>
        <v>12192621</v>
      </c>
      <c r="AA72" s="7">
        <v>97090507</v>
      </c>
      <c r="AC72" s="7">
        <f t="shared" si="19"/>
        <v>479988835</v>
      </c>
      <c r="AF72" s="7">
        <f t="shared" si="20"/>
        <v>0</v>
      </c>
    </row>
    <row r="73" spans="1:36" ht="12.75" customHeight="1" x14ac:dyDescent="0.2">
      <c r="A73" s="10" t="s">
        <v>482</v>
      </c>
      <c r="C73" s="10" t="s">
        <v>25</v>
      </c>
      <c r="E73" s="61">
        <f t="shared" si="18"/>
        <v>13581700</v>
      </c>
      <c r="G73" s="7">
        <f>1200478+16337816</f>
        <v>17538294</v>
      </c>
      <c r="I73" s="7">
        <v>0</v>
      </c>
      <c r="K73" s="7">
        <v>0</v>
      </c>
      <c r="M73" s="7">
        <v>31119994</v>
      </c>
      <c r="O73" s="7">
        <f>+U73-Q73</f>
        <v>3561043</v>
      </c>
      <c r="Q73" s="7">
        <v>5638385</v>
      </c>
      <c r="S73" s="7">
        <v>1028294</v>
      </c>
      <c r="U73" s="7">
        <f>1028294+8171134</f>
        <v>9199428</v>
      </c>
      <c r="W73" s="7">
        <v>13797927</v>
      </c>
      <c r="Y73" s="7">
        <f>21920566-13797927-1628845</f>
        <v>6493794</v>
      </c>
      <c r="AA73" s="7">
        <v>1628845</v>
      </c>
      <c r="AC73" s="7">
        <f t="shared" si="19"/>
        <v>21920566</v>
      </c>
      <c r="AF73" s="7">
        <f t="shared" si="20"/>
        <v>0</v>
      </c>
    </row>
    <row r="74" spans="1:36" ht="12.75" customHeight="1" x14ac:dyDescent="0.2">
      <c r="A74" s="7" t="s">
        <v>91</v>
      </c>
      <c r="C74" s="7" t="s">
        <v>92</v>
      </c>
      <c r="E74" s="61">
        <f t="shared" si="18"/>
        <v>5493311</v>
      </c>
      <c r="G74" s="7">
        <f>2644383+7552015</f>
        <v>10196398</v>
      </c>
      <c r="I74" s="7">
        <v>0</v>
      </c>
      <c r="K74" s="7">
        <v>0</v>
      </c>
      <c r="M74" s="7">
        <v>15689709</v>
      </c>
      <c r="O74" s="7">
        <f>+U74-Q74</f>
        <v>2389568</v>
      </c>
      <c r="Q74" s="7">
        <v>2042699</v>
      </c>
      <c r="S74" s="7">
        <v>810258</v>
      </c>
      <c r="U74" s="7">
        <f>3622009+810258</f>
        <v>4432267</v>
      </c>
      <c r="W74" s="7">
        <v>8357696</v>
      </c>
      <c r="Y74" s="7">
        <f>11257442-8357696-1236609</f>
        <v>1663137</v>
      </c>
      <c r="AA74" s="7">
        <v>1236609</v>
      </c>
      <c r="AC74" s="7">
        <f t="shared" si="19"/>
        <v>11257442</v>
      </c>
      <c r="AF74" s="7">
        <f t="shared" si="20"/>
        <v>0</v>
      </c>
    </row>
    <row r="75" spans="1:36" s="9" customFormat="1" ht="12.75" hidden="1" customHeight="1" x14ac:dyDescent="0.2">
      <c r="A75" s="9" t="s">
        <v>93</v>
      </c>
      <c r="C75" s="9" t="s">
        <v>92</v>
      </c>
      <c r="E75" s="61">
        <f t="shared" si="18"/>
        <v>2275904</v>
      </c>
      <c r="F75" s="7"/>
      <c r="G75" s="7">
        <v>5043642</v>
      </c>
      <c r="H75" s="7"/>
      <c r="I75" s="7"/>
      <c r="J75" s="7"/>
      <c r="K75" s="7">
        <v>0</v>
      </c>
      <c r="L75" s="7"/>
      <c r="M75" s="7">
        <v>7319546</v>
      </c>
      <c r="N75" s="7"/>
      <c r="O75" s="7">
        <f>+U75-Q75</f>
        <v>929923</v>
      </c>
      <c r="P75" s="7"/>
      <c r="Q75" s="7">
        <v>1144233</v>
      </c>
      <c r="R75" s="7"/>
      <c r="S75" s="7"/>
      <c r="T75" s="7"/>
      <c r="U75" s="7">
        <v>2074156</v>
      </c>
      <c r="V75" s="7"/>
      <c r="W75" s="7">
        <v>3940447</v>
      </c>
      <c r="X75" s="7"/>
      <c r="Y75" s="7">
        <v>3613939</v>
      </c>
      <c r="Z75" s="7"/>
      <c r="AA75" s="7">
        <v>-2308996</v>
      </c>
      <c r="AB75" s="7"/>
      <c r="AC75" s="7">
        <f t="shared" si="19"/>
        <v>5245390</v>
      </c>
      <c r="AD75" s="7"/>
      <c r="AE75" s="7"/>
      <c r="AF75" s="7">
        <f t="shared" si="20"/>
        <v>0</v>
      </c>
      <c r="AJ75" s="7"/>
    </row>
    <row r="76" spans="1:36" ht="12.75" customHeight="1" x14ac:dyDescent="0.2">
      <c r="A76" s="7" t="s">
        <v>89</v>
      </c>
      <c r="C76" s="7" t="s">
        <v>90</v>
      </c>
      <c r="E76" s="61">
        <f t="shared" ref="E76" si="22">+M76-G76-K76</f>
        <v>10572614</v>
      </c>
      <c r="G76" s="7">
        <f>7044735+29434995</f>
        <v>36479730</v>
      </c>
      <c r="I76" s="7">
        <v>331646</v>
      </c>
      <c r="K76" s="7">
        <v>0</v>
      </c>
      <c r="M76" s="7">
        <f>46720698+331646</f>
        <v>47052344</v>
      </c>
      <c r="O76" s="7">
        <f t="shared" ref="O76" si="23">+U76-Q76</f>
        <v>4853966</v>
      </c>
      <c r="Q76" s="7">
        <v>15180893</v>
      </c>
      <c r="S76" s="7">
        <v>2479603</v>
      </c>
      <c r="U76" s="7">
        <f>2479603+17555256</f>
        <v>20034859</v>
      </c>
      <c r="W76" s="7">
        <v>21838866</v>
      </c>
      <c r="Y76" s="7">
        <f>27017485-21838866-1716913</f>
        <v>3461706</v>
      </c>
      <c r="AA76" s="7">
        <v>1716913</v>
      </c>
      <c r="AC76" s="7">
        <f t="shared" ref="AC76" si="24">W76+Y76+AA76</f>
        <v>27017485</v>
      </c>
      <c r="AF76" s="7">
        <f t="shared" si="20"/>
        <v>0</v>
      </c>
    </row>
    <row r="77" spans="1:36" ht="12.75" customHeight="1" x14ac:dyDescent="0.2">
      <c r="A77" s="7" t="s">
        <v>94</v>
      </c>
      <c r="C77" s="7" t="s">
        <v>95</v>
      </c>
      <c r="E77" s="61">
        <f t="shared" ref="E77:E86" si="25">+M77-G77-K77</f>
        <v>7402318</v>
      </c>
      <c r="G77" s="7">
        <f>1653903+7334337</f>
        <v>8988240</v>
      </c>
      <c r="I77" s="7">
        <v>0</v>
      </c>
      <c r="K77" s="7">
        <v>0</v>
      </c>
      <c r="M77" s="7">
        <v>16390558</v>
      </c>
      <c r="O77" s="7">
        <f t="shared" ref="O77:O86" si="26">+U77-Q77</f>
        <v>1479126</v>
      </c>
      <c r="Q77" s="7">
        <v>1507320</v>
      </c>
      <c r="S77" s="7">
        <v>610000</v>
      </c>
      <c r="U77" s="7">
        <f>610000+2376446</f>
        <v>2986446</v>
      </c>
      <c r="W77" s="7">
        <v>7616661</v>
      </c>
      <c r="Y77" s="7">
        <f>13404112-7616661-1436394</f>
        <v>4351057</v>
      </c>
      <c r="AA77" s="7">
        <v>1436394</v>
      </c>
      <c r="AC77" s="7">
        <f t="shared" ref="AC77:AC86" si="27">W77+Y77+AA77</f>
        <v>13404112</v>
      </c>
      <c r="AF77" s="7">
        <f t="shared" si="20"/>
        <v>0</v>
      </c>
    </row>
    <row r="78" spans="1:36" ht="12.75" customHeight="1" x14ac:dyDescent="0.2">
      <c r="A78" s="7" t="s">
        <v>96</v>
      </c>
      <c r="C78" s="7" t="s">
        <v>15</v>
      </c>
      <c r="E78" s="61">
        <f t="shared" si="25"/>
        <v>28944588</v>
      </c>
      <c r="G78" s="7">
        <f>6775330+23688112+2411969+4846340+43684518+2710185+3984268</f>
        <v>88100722</v>
      </c>
      <c r="I78" s="7">
        <v>0</v>
      </c>
      <c r="K78" s="7">
        <v>178938</v>
      </c>
      <c r="M78" s="7">
        <v>117224248</v>
      </c>
      <c r="O78" s="7">
        <f t="shared" si="26"/>
        <v>14529230</v>
      </c>
      <c r="Q78" s="7">
        <v>30827329</v>
      </c>
      <c r="S78" s="7">
        <v>0</v>
      </c>
      <c r="U78" s="7">
        <v>45356559</v>
      </c>
      <c r="W78" s="7">
        <v>56310746</v>
      </c>
      <c r="Y78" s="7">
        <f>71867689-56310746-5307892</f>
        <v>10249051</v>
      </c>
      <c r="AA78" s="7">
        <v>5307892</v>
      </c>
      <c r="AC78" s="7">
        <f t="shared" si="27"/>
        <v>71867689</v>
      </c>
      <c r="AF78" s="7">
        <f t="shared" si="20"/>
        <v>0</v>
      </c>
    </row>
    <row r="79" spans="1:36" ht="12.75" customHeight="1" x14ac:dyDescent="0.2">
      <c r="A79" s="7" t="s">
        <v>97</v>
      </c>
      <c r="C79" s="7" t="s">
        <v>64</v>
      </c>
      <c r="E79" s="61">
        <f t="shared" si="25"/>
        <v>19336758</v>
      </c>
      <c r="G79" s="7">
        <f>4960605+31124566</f>
        <v>36085171</v>
      </c>
      <c r="I79" s="7">
        <v>0</v>
      </c>
      <c r="K79" s="7">
        <v>0</v>
      </c>
      <c r="M79" s="7">
        <v>55421929</v>
      </c>
      <c r="O79" s="7">
        <f t="shared" si="26"/>
        <v>2241011</v>
      </c>
      <c r="Q79" s="7">
        <v>193077</v>
      </c>
      <c r="S79" s="7">
        <v>1435594</v>
      </c>
      <c r="U79" s="7">
        <f>998494+1435594</f>
        <v>2434088</v>
      </c>
      <c r="W79" s="7">
        <v>36085171</v>
      </c>
      <c r="Y79" s="7">
        <f>52987841-36085171-13780014</f>
        <v>3122656</v>
      </c>
      <c r="AA79" s="7">
        <v>13780014</v>
      </c>
      <c r="AC79" s="7">
        <f t="shared" si="27"/>
        <v>52987841</v>
      </c>
      <c r="AF79" s="7">
        <f t="shared" si="20"/>
        <v>0</v>
      </c>
    </row>
    <row r="80" spans="1:36" ht="12.75" customHeight="1" x14ac:dyDescent="0.2">
      <c r="A80" s="7" t="s">
        <v>98</v>
      </c>
      <c r="C80" s="7" t="s">
        <v>25</v>
      </c>
      <c r="E80" s="61">
        <f t="shared" si="25"/>
        <v>38452479</v>
      </c>
      <c r="G80" s="7">
        <f>14991444+47227681</f>
        <v>62219125</v>
      </c>
      <c r="I80" s="7">
        <v>566345</v>
      </c>
      <c r="K80" s="7">
        <v>0</v>
      </c>
      <c r="M80" s="7">
        <f>100105259+566345</f>
        <v>100671604</v>
      </c>
      <c r="O80" s="7">
        <f t="shared" si="26"/>
        <v>17085773</v>
      </c>
      <c r="Q80" s="7">
        <v>29903974</v>
      </c>
      <c r="S80" s="7">
        <v>4269263</v>
      </c>
      <c r="U80" s="7">
        <f>42720484+4269263</f>
        <v>46989747</v>
      </c>
      <c r="W80" s="7">
        <v>32146243</v>
      </c>
      <c r="Y80" s="7">
        <f>4521164+3258867+799857+957208+747071</f>
        <v>10284167</v>
      </c>
      <c r="AA80" s="7">
        <v>11251447</v>
      </c>
      <c r="AC80" s="7">
        <f t="shared" si="27"/>
        <v>53681857</v>
      </c>
      <c r="AF80" s="7">
        <f t="shared" ref="AF80:AF81" si="28">+M80-U80-AC80</f>
        <v>0</v>
      </c>
    </row>
    <row r="81" spans="1:32" ht="12.75" customHeight="1" x14ac:dyDescent="0.2">
      <c r="A81" s="7" t="s">
        <v>99</v>
      </c>
      <c r="C81" s="7" t="s">
        <v>28</v>
      </c>
      <c r="E81" s="61">
        <f t="shared" si="25"/>
        <v>33532375</v>
      </c>
      <c r="G81" s="7">
        <f>14870814+51125217</f>
        <v>65996031</v>
      </c>
      <c r="I81" s="7">
        <v>0</v>
      </c>
      <c r="K81" s="7">
        <v>0</v>
      </c>
      <c r="M81" s="7">
        <v>99528406</v>
      </c>
      <c r="O81" s="7">
        <f t="shared" si="26"/>
        <v>10072822</v>
      </c>
      <c r="Q81" s="7">
        <v>4676117</v>
      </c>
      <c r="S81" s="7">
        <v>5241446</v>
      </c>
      <c r="U81" s="7">
        <f>9507493+5241446</f>
        <v>14748939</v>
      </c>
      <c r="W81" s="7">
        <v>59885657</v>
      </c>
      <c r="Y81" s="7">
        <f>84779467-59885657-11621608</f>
        <v>13272202</v>
      </c>
      <c r="AA81" s="7">
        <v>11621608</v>
      </c>
      <c r="AC81" s="7">
        <f t="shared" si="27"/>
        <v>84779467</v>
      </c>
      <c r="AF81" s="7">
        <f t="shared" si="28"/>
        <v>0</v>
      </c>
    </row>
    <row r="82" spans="1:32" ht="12.75" customHeight="1" x14ac:dyDescent="0.2">
      <c r="A82" s="7" t="s">
        <v>100</v>
      </c>
      <c r="C82" s="7" t="s">
        <v>101</v>
      </c>
      <c r="E82" s="61">
        <f t="shared" si="25"/>
        <v>41509264</v>
      </c>
      <c r="G82" s="7">
        <f>27543004+59958406</f>
        <v>87501410</v>
      </c>
      <c r="I82" s="7">
        <v>0</v>
      </c>
      <c r="K82" s="7">
        <v>0</v>
      </c>
      <c r="M82" s="7">
        <v>129010674</v>
      </c>
      <c r="O82" s="7">
        <f t="shared" si="26"/>
        <v>10523548</v>
      </c>
      <c r="Q82" s="7">
        <v>24425820</v>
      </c>
      <c r="S82" s="7">
        <v>0</v>
      </c>
      <c r="U82" s="7">
        <v>34949368</v>
      </c>
      <c r="W82" s="7">
        <v>63883719</v>
      </c>
      <c r="Y82" s="7">
        <f>1643535+7966788+1901601+4173682</f>
        <v>15685606</v>
      </c>
      <c r="AA82" s="7">
        <v>14491981</v>
      </c>
      <c r="AC82" s="7">
        <f t="shared" si="27"/>
        <v>94061306</v>
      </c>
      <c r="AF82" s="7">
        <f>+M82-U82-AC82</f>
        <v>0</v>
      </c>
    </row>
    <row r="83" spans="1:32" ht="12.75" customHeight="1" x14ac:dyDescent="0.2">
      <c r="A83" s="7" t="s">
        <v>102</v>
      </c>
      <c r="C83" s="7" t="s">
        <v>11</v>
      </c>
      <c r="E83" s="61">
        <f t="shared" si="25"/>
        <v>21750038</v>
      </c>
      <c r="G83" s="7">
        <v>61153632</v>
      </c>
      <c r="I83" s="7">
        <v>0</v>
      </c>
      <c r="K83" s="7">
        <v>0</v>
      </c>
      <c r="M83" s="7">
        <v>82903670</v>
      </c>
      <c r="O83" s="7">
        <f t="shared" si="26"/>
        <v>2717838</v>
      </c>
      <c r="Q83" s="7">
        <v>5522678</v>
      </c>
      <c r="S83" s="7">
        <v>761842</v>
      </c>
      <c r="U83" s="7">
        <v>8240516</v>
      </c>
      <c r="W83" s="7">
        <v>56075250</v>
      </c>
      <c r="Y83" s="7">
        <f>182023+3473869+1075094</f>
        <v>4730986</v>
      </c>
      <c r="AA83" s="7">
        <v>13856918</v>
      </c>
      <c r="AC83" s="7">
        <f t="shared" si="27"/>
        <v>74663154</v>
      </c>
      <c r="AF83" s="7">
        <f>+M83-U83-AC83</f>
        <v>0</v>
      </c>
    </row>
    <row r="84" spans="1:32" ht="12.75" customHeight="1" x14ac:dyDescent="0.2">
      <c r="A84" s="7" t="s">
        <v>103</v>
      </c>
      <c r="C84" s="7" t="s">
        <v>25</v>
      </c>
      <c r="E84" s="61">
        <f t="shared" si="25"/>
        <v>17801388</v>
      </c>
      <c r="G84" s="7">
        <f>1050943+45867866</f>
        <v>46918809</v>
      </c>
      <c r="I84" s="7">
        <v>2090947</v>
      </c>
      <c r="K84" s="7">
        <v>0</v>
      </c>
      <c r="M84" s="7">
        <f>62629250+2090947</f>
        <v>64720197</v>
      </c>
      <c r="O84" s="7">
        <f t="shared" si="26"/>
        <v>7433590</v>
      </c>
      <c r="Q84" s="7">
        <v>26045797</v>
      </c>
      <c r="S84" s="7">
        <v>3592280</v>
      </c>
      <c r="U84" s="7">
        <f>29887107+3592280</f>
        <v>33479387</v>
      </c>
      <c r="W84" s="7">
        <v>22797010</v>
      </c>
      <c r="Y84" s="7">
        <f>31240810-22797010-5881648</f>
        <v>2562152</v>
      </c>
      <c r="AA84" s="7">
        <v>5881648</v>
      </c>
      <c r="AC84" s="7">
        <f t="shared" si="27"/>
        <v>31240810</v>
      </c>
      <c r="AF84" s="7">
        <f>+M84-U84-AC84</f>
        <v>0</v>
      </c>
    </row>
    <row r="85" spans="1:32" ht="12.75" customHeight="1" x14ac:dyDescent="0.2">
      <c r="A85" s="7" t="s">
        <v>104</v>
      </c>
      <c r="C85" s="7" t="s">
        <v>105</v>
      </c>
      <c r="E85" s="61">
        <f t="shared" si="25"/>
        <v>32761962</v>
      </c>
      <c r="G85" s="7">
        <v>81798907</v>
      </c>
      <c r="I85" s="7">
        <v>42192</v>
      </c>
      <c r="K85" s="7">
        <v>0</v>
      </c>
      <c r="M85" s="7">
        <v>114560869</v>
      </c>
      <c r="O85" s="7">
        <f t="shared" si="26"/>
        <v>7530726</v>
      </c>
      <c r="Q85" s="7">
        <v>12643834</v>
      </c>
      <c r="S85" s="7">
        <v>2477082</v>
      </c>
      <c r="U85" s="7">
        <f>2477082+17697478</f>
        <v>20174560</v>
      </c>
      <c r="W85" s="7">
        <v>72190698</v>
      </c>
      <c r="Y85" s="7">
        <f>94386309-72190698-15856895</f>
        <v>6338716</v>
      </c>
      <c r="AA85" s="7">
        <v>15856895</v>
      </c>
      <c r="AC85" s="7">
        <f t="shared" si="27"/>
        <v>94386309</v>
      </c>
      <c r="AF85" s="7">
        <f>+M85-U85-AC85</f>
        <v>0</v>
      </c>
    </row>
    <row r="86" spans="1:32" ht="12.75" customHeight="1" x14ac:dyDescent="0.2">
      <c r="A86" s="7" t="s">
        <v>106</v>
      </c>
      <c r="C86" s="7" t="s">
        <v>43</v>
      </c>
      <c r="E86" s="61">
        <f t="shared" si="25"/>
        <v>25625394</v>
      </c>
      <c r="G86" s="7">
        <f>14577427+25322560</f>
        <v>39899987</v>
      </c>
      <c r="I86" s="7">
        <v>0</v>
      </c>
      <c r="K86" s="7">
        <v>0</v>
      </c>
      <c r="M86" s="7">
        <v>65525381</v>
      </c>
      <c r="O86" s="7">
        <f t="shared" si="26"/>
        <v>10849058</v>
      </c>
      <c r="Q86" s="7">
        <v>2502028</v>
      </c>
      <c r="S86" s="7">
        <v>0</v>
      </c>
      <c r="U86" s="7">
        <v>13351086</v>
      </c>
      <c r="W86" s="7">
        <v>34461845</v>
      </c>
      <c r="Y86" s="7">
        <f>52174295-34461845-9626789</f>
        <v>8085661</v>
      </c>
      <c r="AA86" s="7">
        <v>9626789</v>
      </c>
      <c r="AC86" s="7">
        <f t="shared" si="27"/>
        <v>52174295</v>
      </c>
      <c r="AF86" s="7">
        <f>+M86-U86-AC86</f>
        <v>0</v>
      </c>
    </row>
    <row r="87" spans="1:32" ht="12.75" customHeight="1" x14ac:dyDescent="0.2">
      <c r="E87" s="61"/>
      <c r="AC87" s="11" t="s">
        <v>478</v>
      </c>
    </row>
    <row r="88" spans="1:32" ht="12.75" customHeight="1" x14ac:dyDescent="0.2">
      <c r="A88" s="29" t="s">
        <v>511</v>
      </c>
    </row>
    <row r="89" spans="1:32" ht="12.75" customHeight="1" x14ac:dyDescent="0.2">
      <c r="A89" s="29" t="s">
        <v>504</v>
      </c>
    </row>
    <row r="90" spans="1:32" ht="12.75" customHeight="1" x14ac:dyDescent="0.2">
      <c r="A90" s="29" t="s">
        <v>287</v>
      </c>
    </row>
    <row r="91" spans="1:32" ht="12.75" customHeight="1" x14ac:dyDescent="0.2">
      <c r="A91" s="29" t="s">
        <v>478</v>
      </c>
    </row>
    <row r="93" spans="1:32" ht="12.75" customHeight="1" x14ac:dyDescent="0.2">
      <c r="A93" s="29"/>
      <c r="E93" s="93" t="s">
        <v>0</v>
      </c>
      <c r="F93" s="93"/>
      <c r="G93" s="93"/>
      <c r="H93" s="93"/>
      <c r="I93" s="93"/>
      <c r="J93" s="93"/>
      <c r="K93" s="93"/>
      <c r="L93" s="26"/>
      <c r="M93" s="26"/>
      <c r="O93" s="94" t="s">
        <v>1</v>
      </c>
      <c r="P93" s="94"/>
      <c r="Q93" s="94"/>
      <c r="R93" s="94"/>
      <c r="S93" s="94"/>
      <c r="T93" s="26"/>
      <c r="U93" s="26"/>
      <c r="W93" s="93" t="s">
        <v>512</v>
      </c>
      <c r="X93" s="93"/>
      <c r="Y93" s="93"/>
      <c r="Z93" s="93"/>
      <c r="AA93" s="93"/>
      <c r="AB93" s="26"/>
      <c r="AC93" s="26"/>
    </row>
    <row r="94" spans="1:32" ht="12.75" customHeight="1" x14ac:dyDescent="0.2">
      <c r="A94" s="6"/>
      <c r="C94" s="6"/>
      <c r="E94" s="63" t="s">
        <v>2</v>
      </c>
      <c r="F94" s="63"/>
      <c r="G94" s="63" t="s">
        <v>3</v>
      </c>
      <c r="H94" s="63"/>
      <c r="I94" s="63" t="s">
        <v>501</v>
      </c>
      <c r="J94" s="63"/>
      <c r="K94" s="63" t="s">
        <v>468</v>
      </c>
      <c r="L94" s="63"/>
      <c r="M94" s="63" t="s">
        <v>5</v>
      </c>
      <c r="O94" s="63" t="s">
        <v>2</v>
      </c>
      <c r="P94" s="88"/>
      <c r="Q94" s="63" t="s">
        <v>445</v>
      </c>
      <c r="R94" s="63"/>
      <c r="S94" s="63" t="s">
        <v>503</v>
      </c>
      <c r="T94" s="63"/>
      <c r="U94" s="63" t="s">
        <v>5</v>
      </c>
      <c r="W94" s="88" t="s">
        <v>513</v>
      </c>
      <c r="X94" s="88"/>
      <c r="Y94" s="88"/>
      <c r="Z94" s="88"/>
      <c r="AA94" s="88"/>
      <c r="AB94" s="88"/>
      <c r="AC94" s="63" t="s">
        <v>5</v>
      </c>
      <c r="AF94" s="63" t="s">
        <v>425</v>
      </c>
    </row>
    <row r="95" spans="1:32" ht="12.75" customHeight="1" x14ac:dyDescent="0.2">
      <c r="A95" s="27" t="s">
        <v>6</v>
      </c>
      <c r="C95" s="27" t="s">
        <v>7</v>
      </c>
      <c r="E95" s="87" t="s">
        <v>0</v>
      </c>
      <c r="F95" s="88"/>
      <c r="G95" s="87" t="s">
        <v>0</v>
      </c>
      <c r="H95" s="88"/>
      <c r="I95" s="87" t="s">
        <v>502</v>
      </c>
      <c r="J95" s="88"/>
      <c r="K95" s="87" t="s">
        <v>469</v>
      </c>
      <c r="L95" s="88"/>
      <c r="M95" s="87" t="s">
        <v>0</v>
      </c>
      <c r="O95" s="87" t="s">
        <v>1</v>
      </c>
      <c r="P95" s="88"/>
      <c r="Q95" s="87" t="s">
        <v>435</v>
      </c>
      <c r="R95" s="88"/>
      <c r="S95" s="87" t="s">
        <v>502</v>
      </c>
      <c r="T95" s="88"/>
      <c r="U95" s="87" t="s">
        <v>1</v>
      </c>
      <c r="W95" s="87" t="s">
        <v>288</v>
      </c>
      <c r="X95" s="88"/>
      <c r="Y95" s="87" t="s">
        <v>8</v>
      </c>
      <c r="Z95" s="88"/>
      <c r="AA95" s="87" t="s">
        <v>9</v>
      </c>
      <c r="AB95" s="88"/>
      <c r="AC95" s="87" t="s">
        <v>512</v>
      </c>
      <c r="AF95" s="63" t="s">
        <v>433</v>
      </c>
    </row>
    <row r="96" spans="1:32" ht="12.75" customHeight="1" x14ac:dyDescent="0.2">
      <c r="A96" s="88"/>
      <c r="C96" s="88"/>
      <c r="E96" s="88"/>
      <c r="F96" s="88"/>
      <c r="G96" s="88"/>
      <c r="H96" s="88"/>
      <c r="I96" s="88"/>
      <c r="J96" s="88"/>
      <c r="K96" s="88"/>
      <c r="L96" s="88"/>
      <c r="M96" s="88"/>
      <c r="O96" s="88"/>
      <c r="P96" s="88"/>
      <c r="Q96" s="88"/>
      <c r="R96" s="88"/>
      <c r="S96" s="88"/>
      <c r="T96" s="88"/>
      <c r="U96" s="88"/>
      <c r="W96" s="88"/>
      <c r="X96" s="88"/>
      <c r="Y96" s="88"/>
      <c r="Z96" s="88"/>
      <c r="AA96" s="88"/>
      <c r="AB96" s="88"/>
      <c r="AC96" s="88"/>
    </row>
    <row r="97" spans="1:32" ht="12.75" customHeight="1" x14ac:dyDescent="0.2">
      <c r="A97" s="7" t="s">
        <v>107</v>
      </c>
      <c r="B97" s="7"/>
      <c r="C97" s="7" t="s">
        <v>108</v>
      </c>
      <c r="D97" s="7"/>
      <c r="E97" s="86">
        <f>+M97-G97-K97</f>
        <v>7666921</v>
      </c>
      <c r="F97" s="9"/>
      <c r="G97" s="9">
        <v>9802198</v>
      </c>
      <c r="H97" s="9"/>
      <c r="I97" s="9">
        <v>0</v>
      </c>
      <c r="J97" s="9"/>
      <c r="K97" s="9">
        <v>0</v>
      </c>
      <c r="L97" s="9"/>
      <c r="M97" s="9">
        <v>17469119</v>
      </c>
      <c r="N97" s="9"/>
      <c r="O97" s="9">
        <f>+U97-Q97</f>
        <v>1642610</v>
      </c>
      <c r="P97" s="9"/>
      <c r="Q97" s="9">
        <v>1338588</v>
      </c>
      <c r="R97" s="9"/>
      <c r="S97" s="9">
        <v>694995</v>
      </c>
      <c r="T97" s="9"/>
      <c r="U97" s="9">
        <f>2286203+694995</f>
        <v>2981198</v>
      </c>
      <c r="V97" s="9"/>
      <c r="W97" s="9">
        <v>9390095</v>
      </c>
      <c r="X97" s="9"/>
      <c r="Y97" s="9">
        <f>14487921-9390095-659514</f>
        <v>4438312</v>
      </c>
      <c r="Z97" s="9"/>
      <c r="AA97" s="9">
        <v>659514</v>
      </c>
      <c r="AB97" s="9"/>
      <c r="AC97" s="9">
        <f>W97+Y97+AA97</f>
        <v>14487921</v>
      </c>
      <c r="AF97" s="7">
        <f>+M97-U97-AC97</f>
        <v>0</v>
      </c>
    </row>
    <row r="98" spans="1:32" ht="12.75" customHeight="1" x14ac:dyDescent="0.2">
      <c r="A98" s="7" t="s">
        <v>41</v>
      </c>
      <c r="C98" s="7" t="s">
        <v>109</v>
      </c>
      <c r="E98" s="61">
        <f t="shared" ref="E98:E133" si="29">+M98-G98-K98</f>
        <v>16649283</v>
      </c>
      <c r="G98" s="7">
        <f>19175661+28612276</f>
        <v>47787937</v>
      </c>
      <c r="I98" s="7">
        <v>344481</v>
      </c>
      <c r="K98" s="7">
        <v>0</v>
      </c>
      <c r="M98" s="7">
        <f>64092739+344481</f>
        <v>64437220</v>
      </c>
      <c r="O98" s="7">
        <f t="shared" ref="O98:O133" si="30">+U98-Q98</f>
        <v>3957482</v>
      </c>
      <c r="Q98" s="7">
        <v>7667611</v>
      </c>
      <c r="S98" s="7">
        <v>1337501</v>
      </c>
      <c r="U98" s="7">
        <f>10287592+1337501</f>
        <v>11625093</v>
      </c>
      <c r="W98" s="7">
        <v>40373208</v>
      </c>
      <c r="Y98" s="7">
        <f>52812127-40373208-6426853</f>
        <v>6012066</v>
      </c>
      <c r="AA98" s="7">
        <v>6426853</v>
      </c>
      <c r="AC98" s="7">
        <f t="shared" ref="AC98:AC133" si="31">W98+Y98+AA98</f>
        <v>52812127</v>
      </c>
      <c r="AF98" s="7">
        <f t="shared" ref="AF98:AF133" si="32">+M98-U98-AC98</f>
        <v>0</v>
      </c>
    </row>
    <row r="99" spans="1:32" ht="12.75" customHeight="1" x14ac:dyDescent="0.2">
      <c r="A99" s="7" t="s">
        <v>110</v>
      </c>
      <c r="C99" s="7" t="s">
        <v>74</v>
      </c>
      <c r="E99" s="61">
        <f t="shared" si="29"/>
        <v>15388922</v>
      </c>
      <c r="G99" s="7">
        <v>21207807</v>
      </c>
      <c r="I99" s="7">
        <v>89242</v>
      </c>
      <c r="K99" s="7">
        <v>0</v>
      </c>
      <c r="M99" s="7">
        <v>36596729</v>
      </c>
      <c r="O99" s="7">
        <f t="shared" si="30"/>
        <v>2160155</v>
      </c>
      <c r="Q99" s="7">
        <v>3347267</v>
      </c>
      <c r="S99" s="7">
        <v>707578</v>
      </c>
      <c r="U99" s="7">
        <v>5507422</v>
      </c>
      <c r="W99" s="7">
        <v>18859033</v>
      </c>
      <c r="Y99" s="7">
        <f>31089307-18859033-8729288</f>
        <v>3500986</v>
      </c>
      <c r="AA99" s="7">
        <v>8729288</v>
      </c>
      <c r="AC99" s="7">
        <f t="shared" si="31"/>
        <v>31089307</v>
      </c>
      <c r="AF99" s="7">
        <f t="shared" si="32"/>
        <v>0</v>
      </c>
    </row>
    <row r="100" spans="1:32" ht="12.75" hidden="1" customHeight="1" x14ac:dyDescent="0.2">
      <c r="A100" s="7" t="s">
        <v>111</v>
      </c>
      <c r="C100" s="7" t="s">
        <v>41</v>
      </c>
      <c r="E100" s="61">
        <f t="shared" si="29"/>
        <v>41019245</v>
      </c>
      <c r="G100" s="7">
        <f>24383111+64513872</f>
        <v>88896983</v>
      </c>
      <c r="K100" s="7">
        <v>163883</v>
      </c>
      <c r="M100" s="7">
        <v>130080111</v>
      </c>
      <c r="O100" s="7">
        <f t="shared" si="30"/>
        <v>6174857</v>
      </c>
      <c r="Q100" s="7">
        <v>21212187</v>
      </c>
      <c r="U100" s="7">
        <v>27387044</v>
      </c>
      <c r="W100" s="7">
        <v>68285441</v>
      </c>
      <c r="Y100" s="7">
        <f>102693067-68285441-23263469</f>
        <v>11144157</v>
      </c>
      <c r="AA100" s="7">
        <v>23263469</v>
      </c>
      <c r="AC100" s="7">
        <f t="shared" si="31"/>
        <v>102693067</v>
      </c>
      <c r="AF100" s="7">
        <f t="shared" si="32"/>
        <v>0</v>
      </c>
    </row>
    <row r="101" spans="1:32" ht="12.75" customHeight="1" x14ac:dyDescent="0.2">
      <c r="A101" s="7" t="s">
        <v>483</v>
      </c>
      <c r="C101" s="7" t="s">
        <v>55</v>
      </c>
      <c r="E101" s="61">
        <f t="shared" si="29"/>
        <v>11517988</v>
      </c>
      <c r="G101" s="7">
        <f>4271125+10862625</f>
        <v>15133750</v>
      </c>
      <c r="I101" s="7">
        <v>0</v>
      </c>
      <c r="K101" s="7">
        <v>0</v>
      </c>
      <c r="M101" s="7">
        <v>26651738</v>
      </c>
      <c r="O101" s="7">
        <f t="shared" si="30"/>
        <v>2485542</v>
      </c>
      <c r="Q101" s="7">
        <v>1351505</v>
      </c>
      <c r="S101" s="7">
        <v>364903</v>
      </c>
      <c r="U101" s="7">
        <f>3472144+364903</f>
        <v>3837047</v>
      </c>
      <c r="W101" s="7">
        <v>13982142</v>
      </c>
      <c r="Y101" s="7">
        <f>22814691-13982142-5022145</f>
        <v>3810404</v>
      </c>
      <c r="AA101" s="7">
        <v>5022145</v>
      </c>
      <c r="AC101" s="7">
        <f t="shared" si="31"/>
        <v>22814691</v>
      </c>
      <c r="AF101" s="7">
        <f t="shared" si="32"/>
        <v>0</v>
      </c>
    </row>
    <row r="102" spans="1:32" ht="12.75" customHeight="1" x14ac:dyDescent="0.2">
      <c r="A102" s="7" t="s">
        <v>112</v>
      </c>
      <c r="C102" s="7" t="s">
        <v>25</v>
      </c>
      <c r="E102" s="61">
        <f t="shared" si="29"/>
        <v>25510909</v>
      </c>
      <c r="G102" s="7">
        <f>1665810+28871936</f>
        <v>30537746</v>
      </c>
      <c r="I102" s="7">
        <v>293486</v>
      </c>
      <c r="K102" s="7">
        <v>0</v>
      </c>
      <c r="M102" s="7">
        <f>55755169+293486</f>
        <v>56048655</v>
      </c>
      <c r="O102" s="7">
        <f t="shared" si="30"/>
        <v>15028543</v>
      </c>
      <c r="Q102" s="7">
        <v>29541222</v>
      </c>
      <c r="S102" s="7">
        <v>7371111</v>
      </c>
      <c r="U102" s="7">
        <f>37198654+7371111</f>
        <v>44569765</v>
      </c>
      <c r="W102" s="7">
        <v>11780173</v>
      </c>
      <c r="Y102" s="7">
        <f>11478890-11780173+5501061</f>
        <v>5199778</v>
      </c>
      <c r="AA102" s="7">
        <v>-5501061</v>
      </c>
      <c r="AC102" s="7">
        <f t="shared" si="31"/>
        <v>11478890</v>
      </c>
      <c r="AF102" s="7">
        <f t="shared" si="32"/>
        <v>0</v>
      </c>
    </row>
    <row r="103" spans="1:32" ht="12.75" customHeight="1" x14ac:dyDescent="0.2">
      <c r="A103" s="7" t="s">
        <v>113</v>
      </c>
      <c r="C103" s="7" t="s">
        <v>17</v>
      </c>
      <c r="E103" s="61">
        <f t="shared" si="29"/>
        <v>4788211</v>
      </c>
      <c r="G103" s="7">
        <f>1786646+16010885</f>
        <v>17797531</v>
      </c>
      <c r="I103" s="7">
        <v>0</v>
      </c>
      <c r="K103" s="7">
        <v>0</v>
      </c>
      <c r="M103" s="7">
        <v>22585742</v>
      </c>
      <c r="O103" s="7">
        <f t="shared" si="30"/>
        <v>1863847</v>
      </c>
      <c r="Q103" s="7">
        <v>2828236</v>
      </c>
      <c r="S103" s="7">
        <v>0</v>
      </c>
      <c r="U103" s="7">
        <v>4692083</v>
      </c>
      <c r="W103" s="7">
        <v>14535159</v>
      </c>
      <c r="Y103" s="7">
        <f>65262+258316+900225</f>
        <v>1223803</v>
      </c>
      <c r="AA103" s="7">
        <v>2134697</v>
      </c>
      <c r="AC103" s="7">
        <f t="shared" si="31"/>
        <v>17893659</v>
      </c>
      <c r="AF103" s="7">
        <f t="shared" si="32"/>
        <v>0</v>
      </c>
    </row>
    <row r="104" spans="1:32" ht="12.75" customHeight="1" x14ac:dyDescent="0.2">
      <c r="A104" s="7" t="s">
        <v>114</v>
      </c>
      <c r="C104" s="7" t="s">
        <v>78</v>
      </c>
      <c r="E104" s="61">
        <f t="shared" si="29"/>
        <v>5656752</v>
      </c>
      <c r="G104" s="7">
        <f>1073640+26541837</f>
        <v>27615477</v>
      </c>
      <c r="I104" s="7">
        <v>0</v>
      </c>
      <c r="K104" s="7">
        <v>0</v>
      </c>
      <c r="M104" s="7">
        <v>33272229</v>
      </c>
      <c r="O104" s="7">
        <f t="shared" si="30"/>
        <v>5227127</v>
      </c>
      <c r="Q104" s="7">
        <v>919775</v>
      </c>
      <c r="S104" s="7">
        <v>1118182</v>
      </c>
      <c r="U104" s="7">
        <f>5028720+1118182</f>
        <v>6146902</v>
      </c>
      <c r="W104" s="7">
        <v>23856998</v>
      </c>
      <c r="Y104" s="7">
        <f>207833+216007+82267+93680+177981+1593944</f>
        <v>2371712</v>
      </c>
      <c r="AA104" s="7">
        <v>896617</v>
      </c>
      <c r="AC104" s="7">
        <f t="shared" si="31"/>
        <v>27125327</v>
      </c>
      <c r="AF104" s="7">
        <f t="shared" si="32"/>
        <v>0</v>
      </c>
    </row>
    <row r="105" spans="1:32" ht="12.75" customHeight="1" x14ac:dyDescent="0.2">
      <c r="A105" s="10" t="s">
        <v>115</v>
      </c>
      <c r="C105" s="10" t="s">
        <v>41</v>
      </c>
      <c r="E105" s="61">
        <f t="shared" si="29"/>
        <v>16837915</v>
      </c>
      <c r="G105" s="7">
        <f>4120538+11978812</f>
        <v>16099350</v>
      </c>
      <c r="I105" s="7">
        <v>0</v>
      </c>
      <c r="K105" s="7">
        <v>0</v>
      </c>
      <c r="M105" s="7">
        <v>32937265</v>
      </c>
      <c r="O105" s="7">
        <f t="shared" si="30"/>
        <v>6519176</v>
      </c>
      <c r="Q105" s="7">
        <v>4380394</v>
      </c>
      <c r="S105" s="7">
        <v>4269156</v>
      </c>
      <c r="U105" s="7">
        <f>6630414+4269156</f>
        <v>10899570</v>
      </c>
      <c r="W105" s="7">
        <v>14833545</v>
      </c>
      <c r="Y105" s="7">
        <f>22037695-14833545-6205357</f>
        <v>998793</v>
      </c>
      <c r="AA105" s="7">
        <v>6205357</v>
      </c>
      <c r="AC105" s="7">
        <f t="shared" si="31"/>
        <v>22037695</v>
      </c>
      <c r="AF105" s="7">
        <f t="shared" si="32"/>
        <v>0</v>
      </c>
    </row>
    <row r="106" spans="1:32" ht="12.75" customHeight="1" x14ac:dyDescent="0.2">
      <c r="A106" s="7" t="s">
        <v>116</v>
      </c>
      <c r="C106" s="7" t="s">
        <v>11</v>
      </c>
      <c r="E106" s="61">
        <f t="shared" si="29"/>
        <v>68860102</v>
      </c>
      <c r="G106" s="7">
        <f>27670894+69947623</f>
        <v>97618517</v>
      </c>
      <c r="I106" s="7">
        <v>1693095</v>
      </c>
      <c r="K106" s="7">
        <v>0</v>
      </c>
      <c r="M106" s="7">
        <f>1693095+164785524</f>
        <v>166478619</v>
      </c>
      <c r="O106" s="7">
        <f t="shared" si="30"/>
        <v>12123344</v>
      </c>
      <c r="Q106" s="7">
        <v>54039045</v>
      </c>
      <c r="S106" s="7">
        <v>2256425</v>
      </c>
      <c r="U106" s="7">
        <f>63905964+2256425</f>
        <v>66162389</v>
      </c>
      <c r="W106" s="7">
        <v>48737445</v>
      </c>
      <c r="Y106" s="7">
        <f>100316230-48737445-32067219</f>
        <v>19511566</v>
      </c>
      <c r="AA106" s="7">
        <v>32067219</v>
      </c>
      <c r="AC106" s="7">
        <f t="shared" si="31"/>
        <v>100316230</v>
      </c>
      <c r="AF106" s="7">
        <f t="shared" si="32"/>
        <v>0</v>
      </c>
    </row>
    <row r="107" spans="1:32" ht="12.75" customHeight="1" x14ac:dyDescent="0.2">
      <c r="A107" s="7" t="s">
        <v>118</v>
      </c>
      <c r="C107" s="7" t="s">
        <v>119</v>
      </c>
      <c r="E107" s="61">
        <f t="shared" si="29"/>
        <v>11184844</v>
      </c>
      <c r="G107" s="7">
        <v>13518168</v>
      </c>
      <c r="I107" s="7">
        <v>43374</v>
      </c>
      <c r="K107" s="7">
        <v>0</v>
      </c>
      <c r="M107" s="7">
        <f>24659638+43374</f>
        <v>24703012</v>
      </c>
      <c r="O107" s="7">
        <f t="shared" si="30"/>
        <v>2941937</v>
      </c>
      <c r="Q107" s="7">
        <v>2589878</v>
      </c>
      <c r="S107" s="7">
        <v>1342265</v>
      </c>
      <c r="U107" s="7">
        <f>4189550+1342265</f>
        <v>5531815</v>
      </c>
      <c r="W107" s="7">
        <v>10943239</v>
      </c>
      <c r="Y107" s="7">
        <f>428758+993944+1569010+28996</f>
        <v>3020708</v>
      </c>
      <c r="AA107" s="7">
        <v>5207250</v>
      </c>
      <c r="AC107" s="7">
        <f t="shared" si="31"/>
        <v>19171197</v>
      </c>
      <c r="AF107" s="7">
        <f t="shared" si="32"/>
        <v>0</v>
      </c>
    </row>
    <row r="108" spans="1:32" ht="12.75" customHeight="1" x14ac:dyDescent="0.2">
      <c r="A108" s="7" t="s">
        <v>120</v>
      </c>
      <c r="C108" s="7" t="s">
        <v>41</v>
      </c>
      <c r="E108" s="61">
        <f t="shared" si="29"/>
        <v>57226666</v>
      </c>
      <c r="G108" s="7">
        <f>50054058+146086593</f>
        <v>196140651</v>
      </c>
      <c r="I108" s="7">
        <v>36888</v>
      </c>
      <c r="K108" s="7">
        <v>0</v>
      </c>
      <c r="M108" s="7">
        <f>253330429+36888</f>
        <v>253367317</v>
      </c>
      <c r="O108" s="7">
        <f t="shared" si="30"/>
        <v>10190629</v>
      </c>
      <c r="Q108" s="7">
        <v>33408504</v>
      </c>
      <c r="S108" s="7">
        <v>5565712</v>
      </c>
      <c r="U108" s="7">
        <f>38033421+5565712</f>
        <v>43599133</v>
      </c>
      <c r="W108" s="7">
        <v>162890495</v>
      </c>
      <c r="Y108" s="7">
        <f>7990740+3939896+1547350+208274</f>
        <v>13686260</v>
      </c>
      <c r="AA108" s="7">
        <v>33191429</v>
      </c>
      <c r="AC108" s="7">
        <f t="shared" si="31"/>
        <v>209768184</v>
      </c>
      <c r="AF108" s="7">
        <f t="shared" si="32"/>
        <v>0</v>
      </c>
    </row>
    <row r="109" spans="1:32" ht="12.75" customHeight="1" x14ac:dyDescent="0.2">
      <c r="A109" s="6" t="s">
        <v>494</v>
      </c>
      <c r="B109" s="14"/>
      <c r="C109" s="6" t="s">
        <v>41</v>
      </c>
      <c r="E109" s="61">
        <f t="shared" si="29"/>
        <v>6574663</v>
      </c>
      <c r="G109" s="7">
        <v>48551107</v>
      </c>
      <c r="I109" s="7">
        <v>434538</v>
      </c>
      <c r="K109" s="7">
        <v>0</v>
      </c>
      <c r="M109" s="7">
        <f>434538+54691232</f>
        <v>55125770</v>
      </c>
      <c r="O109" s="7">
        <f t="shared" si="30"/>
        <v>3791617</v>
      </c>
      <c r="Q109" s="7">
        <v>14371969</v>
      </c>
      <c r="S109" s="7">
        <v>262000</v>
      </c>
      <c r="U109" s="7">
        <f>17901586+262000</f>
        <v>18163586</v>
      </c>
      <c r="W109" s="7">
        <v>32130816</v>
      </c>
      <c r="Y109" s="7">
        <f>36962184-32130816-3975199</f>
        <v>856169</v>
      </c>
      <c r="AA109" s="7">
        <v>3975199</v>
      </c>
      <c r="AC109" s="7">
        <f t="shared" si="31"/>
        <v>36962184</v>
      </c>
      <c r="AF109" s="7">
        <f t="shared" si="32"/>
        <v>0</v>
      </c>
    </row>
    <row r="110" spans="1:32" ht="12.75" customHeight="1" x14ac:dyDescent="0.2">
      <c r="A110" s="7" t="s">
        <v>43</v>
      </c>
      <c r="C110" s="7" t="s">
        <v>101</v>
      </c>
      <c r="E110" s="61">
        <f t="shared" si="29"/>
        <v>41677431</v>
      </c>
      <c r="G110" s="7">
        <f>35471798+54425482</f>
        <v>89897280</v>
      </c>
      <c r="I110" s="7">
        <v>338276</v>
      </c>
      <c r="K110" s="7">
        <v>0</v>
      </c>
      <c r="M110" s="7">
        <f>131236435+338276</f>
        <v>131574711</v>
      </c>
      <c r="O110" s="7">
        <f t="shared" si="30"/>
        <v>16332759</v>
      </c>
      <c r="Q110" s="7">
        <v>32082523</v>
      </c>
      <c r="S110" s="7">
        <v>7293920</v>
      </c>
      <c r="U110" s="7">
        <f>41021362+7393920</f>
        <v>48415282</v>
      </c>
      <c r="W110" s="7">
        <v>60330073</v>
      </c>
      <c r="Y110" s="7">
        <f>83159429-60330073-13796160</f>
        <v>9033196</v>
      </c>
      <c r="AA110" s="7">
        <v>13796160</v>
      </c>
      <c r="AC110" s="7">
        <f t="shared" si="31"/>
        <v>83159429</v>
      </c>
      <c r="AF110" s="7">
        <f t="shared" si="32"/>
        <v>0</v>
      </c>
    </row>
    <row r="111" spans="1:32" ht="12.75" customHeight="1" x14ac:dyDescent="0.2">
      <c r="A111" s="7" t="s">
        <v>121</v>
      </c>
      <c r="C111" s="7" t="s">
        <v>43</v>
      </c>
      <c r="E111" s="61">
        <f t="shared" si="29"/>
        <v>8083959</v>
      </c>
      <c r="G111" s="7">
        <f>4143347+13572106</f>
        <v>17715453</v>
      </c>
      <c r="I111" s="7">
        <v>0</v>
      </c>
      <c r="K111" s="7">
        <v>78256</v>
      </c>
      <c r="M111" s="7">
        <v>25877668</v>
      </c>
      <c r="O111" s="7">
        <f t="shared" si="30"/>
        <v>6650463</v>
      </c>
      <c r="Q111" s="7">
        <v>6929029</v>
      </c>
      <c r="S111" s="7">
        <v>0</v>
      </c>
      <c r="U111" s="7">
        <v>13579492</v>
      </c>
      <c r="W111" s="7">
        <v>10827649</v>
      </c>
      <c r="Y111" s="7">
        <f>70399+302855+490505+172248</f>
        <v>1036007</v>
      </c>
      <c r="AA111" s="7">
        <v>434520</v>
      </c>
      <c r="AC111" s="7">
        <f t="shared" si="31"/>
        <v>12298176</v>
      </c>
      <c r="AF111" s="7">
        <f t="shared" si="32"/>
        <v>0</v>
      </c>
    </row>
    <row r="112" spans="1:32" ht="12.75" customHeight="1" x14ac:dyDescent="0.2">
      <c r="A112" s="7" t="s">
        <v>122</v>
      </c>
      <c r="C112" s="7" t="s">
        <v>123</v>
      </c>
      <c r="E112" s="61">
        <f t="shared" si="29"/>
        <v>9189891</v>
      </c>
      <c r="G112" s="7">
        <f>13713634+21402279</f>
        <v>35115913</v>
      </c>
      <c r="I112" s="7">
        <v>0</v>
      </c>
      <c r="K112" s="7">
        <v>0</v>
      </c>
      <c r="M112" s="7">
        <v>44305804</v>
      </c>
      <c r="O112" s="7">
        <f t="shared" si="30"/>
        <v>2585813</v>
      </c>
      <c r="Q112" s="7">
        <v>3678346</v>
      </c>
      <c r="S112" s="7">
        <v>1316632</v>
      </c>
      <c r="U112" s="7">
        <f>4947527+1316632</f>
        <v>6264159</v>
      </c>
      <c r="W112" s="7">
        <v>31800652</v>
      </c>
      <c r="Y112" s="7">
        <f>1863020+148062+207750+1052172+83716</f>
        <v>3354720</v>
      </c>
      <c r="AA112" s="7">
        <v>2886273</v>
      </c>
      <c r="AC112" s="7">
        <f t="shared" si="31"/>
        <v>38041645</v>
      </c>
      <c r="AF112" s="7">
        <f>+M112-U112-AC112</f>
        <v>0</v>
      </c>
    </row>
    <row r="113" spans="1:32" ht="12.75" customHeight="1" x14ac:dyDescent="0.2">
      <c r="A113" s="7" t="s">
        <v>124</v>
      </c>
      <c r="C113" s="7" t="s">
        <v>25</v>
      </c>
      <c r="E113" s="61">
        <f t="shared" si="29"/>
        <v>20423627</v>
      </c>
      <c r="G113" s="7">
        <f>3376876+40390876</f>
        <v>43767752</v>
      </c>
      <c r="I113" s="7">
        <v>110520</v>
      </c>
      <c r="K113" s="7">
        <v>0</v>
      </c>
      <c r="M113" s="7">
        <f>64080859+110520</f>
        <v>64191379</v>
      </c>
      <c r="O113" s="7">
        <f t="shared" si="30"/>
        <v>4123033</v>
      </c>
      <c r="Q113" s="7">
        <v>10278332</v>
      </c>
      <c r="S113" s="7">
        <v>1301011</v>
      </c>
      <c r="U113" s="7">
        <f>13100354+1301011</f>
        <v>14401365</v>
      </c>
      <c r="W113" s="7">
        <v>32900625</v>
      </c>
      <c r="Y113" s="7">
        <f>5518053+434250+740002+457047</f>
        <v>7149352</v>
      </c>
      <c r="AA113" s="7">
        <v>9740037</v>
      </c>
      <c r="AC113" s="7">
        <f t="shared" si="31"/>
        <v>49790014</v>
      </c>
      <c r="AF113" s="7">
        <f t="shared" si="32"/>
        <v>0</v>
      </c>
    </row>
    <row r="114" spans="1:32" ht="12.75" hidden="1" customHeight="1" x14ac:dyDescent="0.2">
      <c r="A114" s="7" t="s">
        <v>125</v>
      </c>
      <c r="C114" s="7" t="s">
        <v>41</v>
      </c>
      <c r="E114" s="61">
        <f t="shared" si="29"/>
        <v>27760623</v>
      </c>
      <c r="G114" s="7">
        <f>4450717+420082886-167571244</f>
        <v>256962359</v>
      </c>
      <c r="K114" s="7">
        <v>913447</v>
      </c>
      <c r="M114" s="7">
        <v>285636429</v>
      </c>
      <c r="O114" s="7">
        <f t="shared" si="30"/>
        <v>12793041</v>
      </c>
      <c r="Q114" s="7">
        <v>61702475</v>
      </c>
      <c r="U114" s="7">
        <v>74495516</v>
      </c>
      <c r="W114" s="7">
        <v>194252945</v>
      </c>
      <c r="Y114" s="7">
        <f>4060190+126425+4881174</f>
        <v>9067789</v>
      </c>
      <c r="AA114" s="7">
        <v>7820179</v>
      </c>
      <c r="AC114" s="7">
        <f t="shared" si="31"/>
        <v>211140913</v>
      </c>
      <c r="AF114" s="7">
        <f t="shared" si="32"/>
        <v>0</v>
      </c>
    </row>
    <row r="115" spans="1:32" ht="12.75" customHeight="1" x14ac:dyDescent="0.2">
      <c r="A115" s="7" t="s">
        <v>126</v>
      </c>
      <c r="C115" s="7" t="s">
        <v>117</v>
      </c>
      <c r="E115" s="61">
        <f t="shared" si="29"/>
        <v>3774090</v>
      </c>
      <c r="G115" s="7">
        <f>614379+12094815</f>
        <v>12709194</v>
      </c>
      <c r="I115" s="7">
        <v>0</v>
      </c>
      <c r="K115" s="7">
        <v>0</v>
      </c>
      <c r="M115" s="7">
        <v>16483284</v>
      </c>
      <c r="O115" s="7">
        <f t="shared" si="30"/>
        <v>864530</v>
      </c>
      <c r="Q115" s="7">
        <v>3101506</v>
      </c>
      <c r="S115" s="7">
        <v>286847</v>
      </c>
      <c r="U115" s="7">
        <f>3679189+286847</f>
        <v>3966036</v>
      </c>
      <c r="W115" s="7">
        <v>9714969</v>
      </c>
      <c r="Y115" s="7">
        <f>12517248-9714969-1387901</f>
        <v>1414378</v>
      </c>
      <c r="AA115" s="7">
        <v>1387901</v>
      </c>
      <c r="AC115" s="7">
        <f t="shared" si="31"/>
        <v>12517248</v>
      </c>
      <c r="AF115" s="7">
        <f>+M115-U115-AC115</f>
        <v>0</v>
      </c>
    </row>
    <row r="116" spans="1:32" ht="12.75" customHeight="1" x14ac:dyDescent="0.2">
      <c r="A116" s="7" t="s">
        <v>127</v>
      </c>
      <c r="C116" s="7" t="s">
        <v>78</v>
      </c>
      <c r="E116" s="61">
        <f t="shared" si="29"/>
        <v>2702484</v>
      </c>
      <c r="G116" s="7">
        <v>3954195</v>
      </c>
      <c r="K116" s="7">
        <v>0</v>
      </c>
      <c r="M116" s="7">
        <v>6656679</v>
      </c>
      <c r="O116" s="7">
        <f t="shared" si="30"/>
        <v>1036437</v>
      </c>
      <c r="Q116" s="7">
        <v>2588071</v>
      </c>
      <c r="S116" s="7">
        <v>311047</v>
      </c>
      <c r="U116" s="7">
        <f>3313461+311047</f>
        <v>3624508</v>
      </c>
      <c r="W116" s="7">
        <v>1164195</v>
      </c>
      <c r="Y116" s="7">
        <f>3032171-1164195-1676852</f>
        <v>191124</v>
      </c>
      <c r="AA116" s="7">
        <v>1676852</v>
      </c>
      <c r="AC116" s="7">
        <f t="shared" si="31"/>
        <v>3032171</v>
      </c>
      <c r="AF116" s="7">
        <f t="shared" si="32"/>
        <v>0</v>
      </c>
    </row>
    <row r="117" spans="1:32" ht="12.75" customHeight="1" x14ac:dyDescent="0.2">
      <c r="A117" s="7" t="s">
        <v>128</v>
      </c>
      <c r="C117" s="7" t="s">
        <v>64</v>
      </c>
      <c r="E117" s="61">
        <f t="shared" si="29"/>
        <v>50499704</v>
      </c>
      <c r="G117" s="7">
        <f>30354182+71794331</f>
        <v>102148513</v>
      </c>
      <c r="I117" s="7">
        <v>46532</v>
      </c>
      <c r="K117" s="7">
        <v>0</v>
      </c>
      <c r="M117" s="7">
        <f>152601685+46532</f>
        <v>152648217</v>
      </c>
      <c r="O117" s="7">
        <f t="shared" si="30"/>
        <v>21486900</v>
      </c>
      <c r="Q117" s="7">
        <v>24344108</v>
      </c>
      <c r="S117" s="7">
        <v>3720484</v>
      </c>
      <c r="U117" s="7">
        <f>42110524+3720484</f>
        <v>45831008</v>
      </c>
      <c r="W117" s="7">
        <v>65015575</v>
      </c>
      <c r="Y117" s="7">
        <f>106817209-65015575-7225240</f>
        <v>34576394</v>
      </c>
      <c r="AA117" s="7">
        <v>7225240</v>
      </c>
      <c r="AC117" s="7">
        <f t="shared" si="31"/>
        <v>106817209</v>
      </c>
      <c r="AF117" s="7">
        <f t="shared" si="32"/>
        <v>0</v>
      </c>
    </row>
    <row r="118" spans="1:32" ht="12.75" customHeight="1" x14ac:dyDescent="0.2">
      <c r="A118" s="7" t="s">
        <v>129</v>
      </c>
      <c r="C118" s="7" t="s">
        <v>11</v>
      </c>
      <c r="E118" s="61">
        <f t="shared" si="29"/>
        <v>37869939</v>
      </c>
      <c r="G118" s="7">
        <f>18492446+88400692</f>
        <v>106893138</v>
      </c>
      <c r="I118" s="7">
        <v>0</v>
      </c>
      <c r="K118" s="7">
        <v>0</v>
      </c>
      <c r="M118" s="7">
        <v>144763077</v>
      </c>
      <c r="O118" s="7">
        <f t="shared" si="30"/>
        <v>10451785</v>
      </c>
      <c r="Q118" s="7">
        <v>25921382</v>
      </c>
      <c r="S118" s="7">
        <v>0</v>
      </c>
      <c r="U118" s="7">
        <v>36373167</v>
      </c>
      <c r="W118" s="7">
        <v>82940233</v>
      </c>
      <c r="Y118" s="7">
        <f>108389910-82940233-13780256</f>
        <v>11669421</v>
      </c>
      <c r="AA118" s="7">
        <v>13780256</v>
      </c>
      <c r="AC118" s="7">
        <f t="shared" si="31"/>
        <v>108389910</v>
      </c>
      <c r="AF118" s="7">
        <f>+M118-U118-AC118</f>
        <v>0</v>
      </c>
    </row>
    <row r="119" spans="1:32" ht="12.75" customHeight="1" x14ac:dyDescent="0.2">
      <c r="A119" s="7" t="s">
        <v>36</v>
      </c>
      <c r="C119" s="7" t="s">
        <v>130</v>
      </c>
      <c r="E119" s="61">
        <f t="shared" si="29"/>
        <v>5881985</v>
      </c>
      <c r="G119" s="7">
        <f>6041336+5680866</f>
        <v>11722202</v>
      </c>
      <c r="I119" s="7">
        <v>0</v>
      </c>
      <c r="K119" s="7">
        <v>0</v>
      </c>
      <c r="M119" s="7">
        <v>17604187</v>
      </c>
      <c r="O119" s="7">
        <f t="shared" si="30"/>
        <v>3063241</v>
      </c>
      <c r="Q119" s="7">
        <v>1484963</v>
      </c>
      <c r="S119" s="7">
        <v>720396</v>
      </c>
      <c r="U119" s="7">
        <f>3827808+720396</f>
        <v>4548204</v>
      </c>
      <c r="W119" s="7">
        <v>9407360</v>
      </c>
      <c r="Y119" s="7">
        <f>13055983-992619-9407360</f>
        <v>2656004</v>
      </c>
      <c r="AA119" s="7">
        <v>992619</v>
      </c>
      <c r="AC119" s="7">
        <f t="shared" si="31"/>
        <v>13055983</v>
      </c>
      <c r="AF119" s="7">
        <f t="shared" si="32"/>
        <v>0</v>
      </c>
    </row>
    <row r="120" spans="1:32" ht="12.75" customHeight="1" x14ac:dyDescent="0.2">
      <c r="A120" s="7" t="s">
        <v>131</v>
      </c>
      <c r="C120" s="7" t="s">
        <v>25</v>
      </c>
      <c r="E120" s="61">
        <f t="shared" si="29"/>
        <v>30068896</v>
      </c>
      <c r="G120" s="7">
        <f>18681867+73213831</f>
        <v>91895698</v>
      </c>
      <c r="I120" s="7">
        <v>369953</v>
      </c>
      <c r="K120" s="7">
        <v>0</v>
      </c>
      <c r="M120" s="7">
        <f>121594641+369953</f>
        <v>121964594</v>
      </c>
      <c r="O120" s="7">
        <f t="shared" si="30"/>
        <v>6206089</v>
      </c>
      <c r="Q120" s="7">
        <v>29241774</v>
      </c>
      <c r="S120" s="7">
        <v>1994909</v>
      </c>
      <c r="U120" s="7">
        <f>33452954+1994909</f>
        <v>35447863</v>
      </c>
      <c r="W120" s="7">
        <v>62165503</v>
      </c>
      <c r="Y120" s="7">
        <f>86516731-62165503-16040497</f>
        <v>8310731</v>
      </c>
      <c r="AA120" s="7">
        <v>16040497</v>
      </c>
      <c r="AC120" s="7">
        <f t="shared" si="31"/>
        <v>86516731</v>
      </c>
      <c r="AF120" s="7">
        <f t="shared" si="32"/>
        <v>0</v>
      </c>
    </row>
    <row r="121" spans="1:32" ht="12.75" hidden="1" customHeight="1" x14ac:dyDescent="0.2">
      <c r="A121" s="7" t="s">
        <v>476</v>
      </c>
      <c r="C121" s="7" t="s">
        <v>43</v>
      </c>
      <c r="E121" s="61">
        <f t="shared" si="29"/>
        <v>24088140</v>
      </c>
      <c r="G121" s="7">
        <f>81204376+18383277</f>
        <v>99587653</v>
      </c>
      <c r="K121" s="7">
        <v>0</v>
      </c>
      <c r="M121" s="7">
        <v>123675793</v>
      </c>
      <c r="O121" s="7">
        <f t="shared" si="30"/>
        <v>2694610</v>
      </c>
      <c r="Q121" s="7">
        <v>3405935</v>
      </c>
      <c r="U121" s="7">
        <v>6100545</v>
      </c>
      <c r="W121" s="7">
        <v>96787478</v>
      </c>
      <c r="Y121" s="7">
        <f>2004433+2529132+3387+1067224</f>
        <v>5604176</v>
      </c>
      <c r="AA121" s="7">
        <v>15183594</v>
      </c>
      <c r="AC121" s="7">
        <f t="shared" si="31"/>
        <v>117575248</v>
      </c>
      <c r="AF121" s="7">
        <f t="shared" si="32"/>
        <v>0</v>
      </c>
    </row>
    <row r="122" spans="1:32" ht="12.75" customHeight="1" x14ac:dyDescent="0.2">
      <c r="A122" s="7" t="s">
        <v>132</v>
      </c>
      <c r="C122" s="7" t="s">
        <v>43</v>
      </c>
      <c r="E122" s="61">
        <f t="shared" ref="E122" si="33">+M122-G122-K122</f>
        <v>4052463</v>
      </c>
      <c r="G122" s="7">
        <f>1901978+22403035</f>
        <v>24305013</v>
      </c>
      <c r="I122" s="7">
        <v>0</v>
      </c>
      <c r="K122" s="7">
        <v>0</v>
      </c>
      <c r="M122" s="7">
        <v>28357476</v>
      </c>
      <c r="O122" s="7">
        <f t="shared" ref="O122" si="34">+U122-Q122</f>
        <v>1086003</v>
      </c>
      <c r="Q122" s="7">
        <v>2373779</v>
      </c>
      <c r="S122" s="7">
        <v>490603</v>
      </c>
      <c r="U122" s="7">
        <f>2969179+490603</f>
        <v>3459782</v>
      </c>
      <c r="W122" s="7">
        <v>22247300</v>
      </c>
      <c r="Y122" s="7">
        <f>24897694-22247300-334620</f>
        <v>2315774</v>
      </c>
      <c r="AA122" s="7">
        <v>334620</v>
      </c>
      <c r="AC122" s="7">
        <f t="shared" ref="AC122" si="35">W122+Y122+AA122</f>
        <v>24897694</v>
      </c>
      <c r="AF122" s="7">
        <f>+M122-U122-AC122</f>
        <v>0</v>
      </c>
    </row>
    <row r="123" spans="1:32" ht="12.75" customHeight="1" x14ac:dyDescent="0.2">
      <c r="A123" s="7" t="s">
        <v>134</v>
      </c>
      <c r="C123" s="7" t="s">
        <v>134</v>
      </c>
      <c r="E123" s="61">
        <f t="shared" si="29"/>
        <v>7581204</v>
      </c>
      <c r="G123" s="7">
        <v>7496443</v>
      </c>
      <c r="I123" s="7">
        <v>0</v>
      </c>
      <c r="K123" s="7">
        <v>0</v>
      </c>
      <c r="M123" s="7">
        <v>15077647</v>
      </c>
      <c r="O123" s="7">
        <f t="shared" si="30"/>
        <v>953799</v>
      </c>
      <c r="Q123" s="7">
        <v>613715</v>
      </c>
      <c r="S123" s="7">
        <v>612000</v>
      </c>
      <c r="U123" s="7">
        <f>955514+612000</f>
        <v>1567514</v>
      </c>
      <c r="W123" s="7">
        <v>7334030</v>
      </c>
      <c r="Y123" s="7">
        <f>13510133-7334030-2868794</f>
        <v>3307309</v>
      </c>
      <c r="AA123" s="7">
        <v>2868794</v>
      </c>
      <c r="AC123" s="7">
        <f t="shared" si="31"/>
        <v>13510133</v>
      </c>
      <c r="AF123" s="7">
        <f>+M123-U123-AC123</f>
        <v>0</v>
      </c>
    </row>
    <row r="124" spans="1:32" ht="12.75" customHeight="1" x14ac:dyDescent="0.2">
      <c r="A124" s="7" t="s">
        <v>135</v>
      </c>
      <c r="C124" s="7" t="s">
        <v>20</v>
      </c>
      <c r="E124" s="61">
        <f t="shared" si="29"/>
        <v>38835029</v>
      </c>
      <c r="G124" s="7">
        <f>19888341+24593490</f>
        <v>44481831</v>
      </c>
      <c r="I124" s="7">
        <v>0</v>
      </c>
      <c r="K124" s="7">
        <v>0</v>
      </c>
      <c r="M124" s="7">
        <v>83316860</v>
      </c>
      <c r="O124" s="7">
        <f t="shared" si="30"/>
        <v>16922488</v>
      </c>
      <c r="Q124" s="7">
        <v>2208006</v>
      </c>
      <c r="S124" s="7">
        <v>2701638</v>
      </c>
      <c r="U124" s="7">
        <f>16428856+2701638</f>
        <v>19130494</v>
      </c>
      <c r="W124" s="7">
        <v>34801883</v>
      </c>
      <c r="Y124" s="7">
        <f>64186366-34801883-10765817</f>
        <v>18618666</v>
      </c>
      <c r="AA124" s="7">
        <v>10765817</v>
      </c>
      <c r="AC124" s="7">
        <f t="shared" si="31"/>
        <v>64186366</v>
      </c>
      <c r="AF124" s="7">
        <f t="shared" si="32"/>
        <v>0</v>
      </c>
    </row>
    <row r="125" spans="1:32" ht="12.75" hidden="1" customHeight="1" x14ac:dyDescent="0.2">
      <c r="A125" s="7" t="s">
        <v>485</v>
      </c>
      <c r="C125" s="7" t="s">
        <v>137</v>
      </c>
      <c r="E125" s="61">
        <f t="shared" si="29"/>
        <v>0</v>
      </c>
      <c r="O125" s="7">
        <f t="shared" si="30"/>
        <v>0</v>
      </c>
      <c r="AC125" s="7">
        <f t="shared" si="31"/>
        <v>0</v>
      </c>
      <c r="AF125" s="7">
        <f t="shared" si="32"/>
        <v>0</v>
      </c>
    </row>
    <row r="126" spans="1:32" ht="12.75" customHeight="1" x14ac:dyDescent="0.2">
      <c r="A126" s="7" t="s">
        <v>138</v>
      </c>
      <c r="C126" s="7" t="s">
        <v>64</v>
      </c>
      <c r="E126" s="61">
        <f t="shared" si="29"/>
        <v>88512628</v>
      </c>
      <c r="G126" s="7">
        <f>12177631+141711182</f>
        <v>153888813</v>
      </c>
      <c r="I126" s="7">
        <v>0</v>
      </c>
      <c r="K126" s="7">
        <v>0</v>
      </c>
      <c r="M126" s="7">
        <v>242401441</v>
      </c>
      <c r="O126" s="7">
        <f t="shared" si="30"/>
        <v>18478630</v>
      </c>
      <c r="Q126" s="7">
        <v>16391869</v>
      </c>
      <c r="S126" s="7">
        <v>8800409</v>
      </c>
      <c r="U126" s="7">
        <f>26070090+8800409</f>
        <v>34870499</v>
      </c>
      <c r="W126" s="7">
        <v>138528286</v>
      </c>
      <c r="Y126" s="7">
        <f>207530942-138528286-53724515</f>
        <v>15278141</v>
      </c>
      <c r="AA126" s="7">
        <v>53724515</v>
      </c>
      <c r="AC126" s="7">
        <f t="shared" si="31"/>
        <v>207530942</v>
      </c>
      <c r="AF126" s="7">
        <f>+M126-U126-AC126</f>
        <v>0</v>
      </c>
    </row>
    <row r="127" spans="1:32" ht="12.75" customHeight="1" x14ac:dyDescent="0.2">
      <c r="A127" s="7" t="s">
        <v>472</v>
      </c>
      <c r="C127" s="7" t="s">
        <v>90</v>
      </c>
      <c r="E127" s="61">
        <f t="shared" si="29"/>
        <v>4532224</v>
      </c>
      <c r="G127" s="7">
        <f>1364602+15991508</f>
        <v>17356110</v>
      </c>
      <c r="I127" s="7">
        <v>0</v>
      </c>
      <c r="K127" s="7">
        <v>0</v>
      </c>
      <c r="M127" s="7">
        <v>21888334</v>
      </c>
      <c r="O127" s="7">
        <f t="shared" si="30"/>
        <v>2652700</v>
      </c>
      <c r="Q127" s="7">
        <v>3477083</v>
      </c>
      <c r="S127" s="7">
        <v>1475297</v>
      </c>
      <c r="U127" s="7">
        <f>4654486+1475297</f>
        <v>6129783</v>
      </c>
      <c r="W127" s="7">
        <v>13433608</v>
      </c>
      <c r="Y127" s="7">
        <f>15758551-13433608-1117109</f>
        <v>1207834</v>
      </c>
      <c r="AA127" s="7">
        <v>1117109</v>
      </c>
      <c r="AC127" s="7">
        <f t="shared" si="31"/>
        <v>15758551</v>
      </c>
      <c r="AF127" s="7">
        <f t="shared" si="32"/>
        <v>0</v>
      </c>
    </row>
    <row r="128" spans="1:32" ht="12.75" customHeight="1" x14ac:dyDescent="0.2">
      <c r="A128" s="7" t="s">
        <v>139</v>
      </c>
      <c r="C128" s="7" t="s">
        <v>25</v>
      </c>
      <c r="E128" s="61">
        <f t="shared" si="29"/>
        <v>49046051</v>
      </c>
      <c r="G128" s="7">
        <f>8542636+62007323</f>
        <v>70549959</v>
      </c>
      <c r="I128" s="7">
        <v>421222</v>
      </c>
      <c r="K128" s="7">
        <v>0</v>
      </c>
      <c r="M128" s="7">
        <f>119174788+421222</f>
        <v>119596010</v>
      </c>
      <c r="O128" s="7">
        <f t="shared" si="30"/>
        <v>24681869</v>
      </c>
      <c r="Q128" s="7">
        <v>36309284</v>
      </c>
      <c r="S128" s="7">
        <v>11562006</v>
      </c>
      <c r="U128" s="7">
        <f>49429147+11562006</f>
        <v>60991153</v>
      </c>
      <c r="W128" s="7">
        <v>35009349</v>
      </c>
      <c r="Y128" s="7">
        <f>58604857-35009349-15752227</f>
        <v>7843281</v>
      </c>
      <c r="AA128" s="7">
        <v>15752227</v>
      </c>
      <c r="AC128" s="7">
        <f t="shared" si="31"/>
        <v>58604857</v>
      </c>
      <c r="AF128" s="7">
        <f t="shared" si="32"/>
        <v>0</v>
      </c>
    </row>
    <row r="129" spans="1:33" ht="12.75" customHeight="1" x14ac:dyDescent="0.2">
      <c r="A129" s="7" t="s">
        <v>140</v>
      </c>
      <c r="C129" s="7" t="s">
        <v>100</v>
      </c>
      <c r="E129" s="61">
        <f t="shared" si="29"/>
        <v>27650970</v>
      </c>
      <c r="G129" s="7">
        <f>19793375+18504112</f>
        <v>38297487</v>
      </c>
      <c r="I129" s="7">
        <v>0</v>
      </c>
      <c r="K129" s="7">
        <v>0</v>
      </c>
      <c r="M129" s="7">
        <v>65948457</v>
      </c>
      <c r="O129" s="7">
        <f t="shared" si="30"/>
        <v>10854355</v>
      </c>
      <c r="Q129" s="7">
        <v>11082093</v>
      </c>
      <c r="S129" s="7">
        <v>2840199</v>
      </c>
      <c r="U129" s="7">
        <f>2840199+19096249</f>
        <v>21936448</v>
      </c>
      <c r="W129" s="7">
        <v>30705182</v>
      </c>
      <c r="Y129" s="7">
        <f>44012009-30705182-2978552</f>
        <v>10328275</v>
      </c>
      <c r="AA129" s="7">
        <v>2978552</v>
      </c>
      <c r="AC129" s="7">
        <f t="shared" si="31"/>
        <v>44012009</v>
      </c>
      <c r="AF129" s="7">
        <f>+M129-U129-AC129</f>
        <v>0</v>
      </c>
    </row>
    <row r="130" spans="1:33" ht="12.75" customHeight="1" x14ac:dyDescent="0.2">
      <c r="A130" s="7" t="s">
        <v>141</v>
      </c>
      <c r="C130" s="7" t="s">
        <v>109</v>
      </c>
      <c r="E130" s="61">
        <f t="shared" si="29"/>
        <v>28612446</v>
      </c>
      <c r="G130" s="7">
        <f>14064176+31157371</f>
        <v>45221547</v>
      </c>
      <c r="I130" s="7">
        <v>33353</v>
      </c>
      <c r="K130" s="7">
        <v>0</v>
      </c>
      <c r="M130" s="7">
        <f>73800640+33353</f>
        <v>73833993</v>
      </c>
      <c r="O130" s="7">
        <f t="shared" si="30"/>
        <v>6862557</v>
      </c>
      <c r="Q130" s="7">
        <v>5633529</v>
      </c>
      <c r="S130" s="7">
        <v>4621732</v>
      </c>
      <c r="U130" s="7">
        <f>7874354+4621732</f>
        <v>12496086</v>
      </c>
      <c r="W130" s="7">
        <v>40044806</v>
      </c>
      <c r="Y130" s="7">
        <f>1331802+6154737+3957673</f>
        <v>11444212</v>
      </c>
      <c r="AA130" s="7">
        <v>9848889</v>
      </c>
      <c r="AC130" s="7">
        <f t="shared" si="31"/>
        <v>61337907</v>
      </c>
      <c r="AF130" s="7">
        <f t="shared" si="32"/>
        <v>0</v>
      </c>
    </row>
    <row r="131" spans="1:33" ht="12.75" customHeight="1" x14ac:dyDescent="0.2">
      <c r="A131" s="7" t="s">
        <v>142</v>
      </c>
      <c r="C131" s="7" t="s">
        <v>86</v>
      </c>
      <c r="E131" s="61">
        <f t="shared" si="29"/>
        <v>32782291</v>
      </c>
      <c r="G131" s="7">
        <f>7242221+50585564</f>
        <v>57827785</v>
      </c>
      <c r="I131" s="7">
        <v>0</v>
      </c>
      <c r="K131" s="7">
        <v>0</v>
      </c>
      <c r="M131" s="7">
        <v>90610076</v>
      </c>
      <c r="O131" s="7">
        <f t="shared" si="30"/>
        <v>12095229</v>
      </c>
      <c r="Q131" s="7">
        <v>5605766</v>
      </c>
      <c r="S131" s="7">
        <v>0</v>
      </c>
      <c r="U131" s="7">
        <v>17700995</v>
      </c>
      <c r="W131" s="7">
        <v>53973918</v>
      </c>
      <c r="Y131" s="7">
        <f>1064702+347738+5149984</f>
        <v>6562424</v>
      </c>
      <c r="AA131" s="7">
        <v>12372739</v>
      </c>
      <c r="AC131" s="7">
        <f t="shared" si="31"/>
        <v>72909081</v>
      </c>
      <c r="AF131" s="7">
        <f t="shared" si="32"/>
        <v>0</v>
      </c>
    </row>
    <row r="132" spans="1:33" ht="12.75" customHeight="1" x14ac:dyDescent="0.2">
      <c r="A132" s="7" t="s">
        <v>34</v>
      </c>
      <c r="C132" s="7" t="s">
        <v>143</v>
      </c>
      <c r="E132" s="61">
        <f t="shared" si="29"/>
        <v>3755642</v>
      </c>
      <c r="G132" s="7">
        <f>1007757+6252426</f>
        <v>7260183</v>
      </c>
      <c r="I132" s="7">
        <v>0</v>
      </c>
      <c r="K132" s="7">
        <v>0</v>
      </c>
      <c r="M132" s="7">
        <v>11015825</v>
      </c>
      <c r="O132" s="7">
        <f t="shared" si="30"/>
        <v>853206</v>
      </c>
      <c r="Q132" s="7">
        <v>489822</v>
      </c>
      <c r="S132" s="7">
        <v>420062</v>
      </c>
      <c r="U132" s="7">
        <f>922966+420062</f>
        <v>1343028</v>
      </c>
      <c r="W132" s="7">
        <v>6938358</v>
      </c>
      <c r="Y132" s="7">
        <f>65034+23405+48571+181225+21299+394350+767651</f>
        <v>1501535</v>
      </c>
      <c r="AA132" s="7">
        <v>1232904</v>
      </c>
      <c r="AC132" s="7">
        <f t="shared" si="31"/>
        <v>9672797</v>
      </c>
      <c r="AF132" s="7">
        <f t="shared" si="32"/>
        <v>0</v>
      </c>
    </row>
    <row r="133" spans="1:33" ht="12.75" customHeight="1" x14ac:dyDescent="0.2">
      <c r="A133" s="7" t="s">
        <v>144</v>
      </c>
      <c r="C133" s="7" t="s">
        <v>145</v>
      </c>
      <c r="E133" s="61">
        <f t="shared" si="29"/>
        <v>7389704</v>
      </c>
      <c r="G133" s="7">
        <f>926864+14989173</f>
        <v>15916037</v>
      </c>
      <c r="I133" s="7">
        <v>0</v>
      </c>
      <c r="K133" s="7">
        <v>0</v>
      </c>
      <c r="M133" s="7">
        <v>23305741</v>
      </c>
      <c r="O133" s="7">
        <f t="shared" si="30"/>
        <v>2375090</v>
      </c>
      <c r="Q133" s="7">
        <v>4656603</v>
      </c>
      <c r="S133" s="7">
        <v>1367892</v>
      </c>
      <c r="U133" s="7">
        <f>5663801+1367892</f>
        <v>7031693</v>
      </c>
      <c r="W133" s="7">
        <v>12455294</v>
      </c>
      <c r="Y133" s="7">
        <f>16274048-12455294-2140977</f>
        <v>1677777</v>
      </c>
      <c r="AA133" s="7">
        <v>2140977</v>
      </c>
      <c r="AC133" s="7">
        <f t="shared" si="31"/>
        <v>16274048</v>
      </c>
      <c r="AF133" s="7">
        <f t="shared" si="32"/>
        <v>0</v>
      </c>
    </row>
    <row r="134" spans="1:33" s="9" customFormat="1" ht="12.75" customHeight="1" x14ac:dyDescent="0.2">
      <c r="A134" s="9" t="s">
        <v>15</v>
      </c>
      <c r="C134" s="9" t="s">
        <v>15</v>
      </c>
      <c r="E134" s="7">
        <f t="shared" ref="E134:E167" si="36">+M134-G134-K134</f>
        <v>51688429</v>
      </c>
      <c r="F134" s="7"/>
      <c r="G134" s="7">
        <f>15502383+78408842</f>
        <v>93911225</v>
      </c>
      <c r="H134" s="7"/>
      <c r="I134" s="7">
        <v>203955</v>
      </c>
      <c r="J134" s="7"/>
      <c r="K134" s="7">
        <v>0</v>
      </c>
      <c r="L134" s="7"/>
      <c r="M134" s="7">
        <f>145395699+203955</f>
        <v>145599654</v>
      </c>
      <c r="N134" s="7"/>
      <c r="O134" s="7">
        <f t="shared" ref="O134:O143" si="37">+U134-Q134</f>
        <v>12616922</v>
      </c>
      <c r="P134" s="7"/>
      <c r="Q134" s="7">
        <v>54896035</v>
      </c>
      <c r="R134" s="7"/>
      <c r="S134" s="7">
        <v>3138549</v>
      </c>
      <c r="T134" s="7"/>
      <c r="U134" s="7">
        <f>64374408+3138549</f>
        <v>67512957</v>
      </c>
      <c r="V134" s="7"/>
      <c r="W134" s="7">
        <v>54637305</v>
      </c>
      <c r="X134" s="7"/>
      <c r="Y134" s="7">
        <f>3711638+3104595+15612821+1391854+713081+452012+145113</f>
        <v>25131114</v>
      </c>
      <c r="Z134" s="7"/>
      <c r="AA134" s="7">
        <v>-1681722</v>
      </c>
      <c r="AB134" s="7"/>
      <c r="AC134" s="7">
        <f t="shared" ref="AC134:AC167" si="38">W134+Y134+AA134</f>
        <v>78086697</v>
      </c>
      <c r="AF134" s="9">
        <f t="shared" ref="AF134:AF167" si="39">+M134-U134-AC134</f>
        <v>0</v>
      </c>
      <c r="AG134" s="7"/>
    </row>
    <row r="135" spans="1:33" ht="12.75" customHeight="1" x14ac:dyDescent="0.2">
      <c r="A135" s="7" t="s">
        <v>146</v>
      </c>
      <c r="C135" s="7" t="s">
        <v>13</v>
      </c>
      <c r="E135" s="61">
        <f t="shared" si="36"/>
        <v>4651411</v>
      </c>
      <c r="G135" s="7">
        <f>3509340+2737517</f>
        <v>6246857</v>
      </c>
      <c r="I135" s="7">
        <v>0</v>
      </c>
      <c r="K135" s="7">
        <v>0</v>
      </c>
      <c r="M135" s="7">
        <v>10898268</v>
      </c>
      <c r="O135" s="7">
        <f t="shared" si="37"/>
        <v>1374430</v>
      </c>
      <c r="Q135" s="7">
        <v>389140</v>
      </c>
      <c r="S135" s="7">
        <v>365337</v>
      </c>
      <c r="U135" s="7">
        <f>1398233+365337</f>
        <v>1763570</v>
      </c>
      <c r="W135" s="7">
        <v>5930971</v>
      </c>
      <c r="Y135" s="7">
        <f>24584+520577+26977+21370</f>
        <v>593508</v>
      </c>
      <c r="AA135" s="7">
        <v>2610219</v>
      </c>
      <c r="AC135" s="7">
        <f t="shared" si="38"/>
        <v>9134698</v>
      </c>
      <c r="AF135" s="7">
        <f t="shared" si="39"/>
        <v>0</v>
      </c>
    </row>
    <row r="136" spans="1:33" ht="12.75" customHeight="1" x14ac:dyDescent="0.2">
      <c r="A136" s="7" t="s">
        <v>147</v>
      </c>
      <c r="C136" s="7" t="s">
        <v>43</v>
      </c>
      <c r="E136" s="61">
        <f t="shared" si="36"/>
        <v>10252426</v>
      </c>
      <c r="G136" s="7">
        <f>3768719+16529797</f>
        <v>20298516</v>
      </c>
      <c r="I136" s="7">
        <v>27597</v>
      </c>
      <c r="K136" s="7">
        <v>0</v>
      </c>
      <c r="M136" s="7">
        <f>30523345+27597</f>
        <v>30550942</v>
      </c>
      <c r="O136" s="7">
        <f t="shared" si="37"/>
        <v>4965357</v>
      </c>
      <c r="Q136" s="7">
        <v>5883917</v>
      </c>
      <c r="S136" s="7">
        <v>2715735</v>
      </c>
      <c r="U136" s="7">
        <f>2715735+8133539</f>
        <v>10849274</v>
      </c>
      <c r="W136" s="7">
        <v>13277539</v>
      </c>
      <c r="Y136" s="7">
        <f>2435454+19719+795125</f>
        <v>3250298</v>
      </c>
      <c r="AA136" s="7">
        <v>3173831</v>
      </c>
      <c r="AC136" s="7">
        <f t="shared" si="38"/>
        <v>19701668</v>
      </c>
      <c r="AF136" s="7">
        <f t="shared" si="39"/>
        <v>0</v>
      </c>
    </row>
    <row r="137" spans="1:33" ht="12.75" customHeight="1" x14ac:dyDescent="0.2">
      <c r="A137" s="7" t="s">
        <v>148</v>
      </c>
      <c r="C137" s="7" t="s">
        <v>25</v>
      </c>
      <c r="E137" s="61">
        <f t="shared" si="36"/>
        <v>31116115</v>
      </c>
      <c r="G137" s="7">
        <f>1055061+69556119</f>
        <v>70611180</v>
      </c>
      <c r="I137" s="7">
        <v>0</v>
      </c>
      <c r="K137" s="7">
        <v>0</v>
      </c>
      <c r="M137" s="7">
        <v>101727295</v>
      </c>
      <c r="O137" s="7">
        <f t="shared" si="37"/>
        <v>6585676</v>
      </c>
      <c r="Q137" s="7">
        <v>2204071</v>
      </c>
      <c r="S137" s="7">
        <v>3637365</v>
      </c>
      <c r="U137" s="7">
        <f>5152382+3637365</f>
        <v>8789747</v>
      </c>
      <c r="W137" s="7">
        <v>68506180</v>
      </c>
      <c r="Y137" s="7">
        <f>1740389+2419063+3555557</f>
        <v>7715009</v>
      </c>
      <c r="AA137" s="7">
        <v>16716359</v>
      </c>
      <c r="AC137" s="7">
        <f t="shared" si="38"/>
        <v>92937548</v>
      </c>
      <c r="AF137" s="7">
        <f t="shared" si="39"/>
        <v>0</v>
      </c>
    </row>
    <row r="138" spans="1:33" ht="12.75" customHeight="1" x14ac:dyDescent="0.2">
      <c r="A138" s="7" t="s">
        <v>149</v>
      </c>
      <c r="C138" s="7" t="s">
        <v>11</v>
      </c>
      <c r="E138" s="61">
        <f t="shared" si="36"/>
        <v>13927309</v>
      </c>
      <c r="G138" s="7">
        <v>51105842</v>
      </c>
      <c r="I138" s="7">
        <v>40192</v>
      </c>
      <c r="K138" s="7">
        <v>0</v>
      </c>
      <c r="M138" s="7">
        <f>64992959+40192</f>
        <v>65033151</v>
      </c>
      <c r="O138" s="7">
        <f t="shared" si="37"/>
        <v>4014090</v>
      </c>
      <c r="Q138" s="7">
        <v>10267057</v>
      </c>
      <c r="S138" s="7">
        <v>1890062</v>
      </c>
      <c r="U138" s="7">
        <f>1890062+12391085</f>
        <v>14281147</v>
      </c>
      <c r="W138" s="7">
        <v>40175330</v>
      </c>
      <c r="Y138" s="7">
        <f>739700+23631+677101+153630+317385+47716</f>
        <v>1959163</v>
      </c>
      <c r="AA138" s="7">
        <v>8617511</v>
      </c>
      <c r="AC138" s="7">
        <f t="shared" si="38"/>
        <v>50752004</v>
      </c>
      <c r="AF138" s="7">
        <f t="shared" si="39"/>
        <v>0</v>
      </c>
    </row>
    <row r="139" spans="1:33" ht="12.75" customHeight="1" x14ac:dyDescent="0.2">
      <c r="A139" s="7" t="s">
        <v>475</v>
      </c>
      <c r="C139" s="7" t="s">
        <v>43</v>
      </c>
      <c r="E139" s="61">
        <f t="shared" si="36"/>
        <v>6106801</v>
      </c>
      <c r="G139" s="7">
        <f>645000+7661264</f>
        <v>8306264</v>
      </c>
      <c r="I139" s="7">
        <v>0</v>
      </c>
      <c r="K139" s="7">
        <v>0</v>
      </c>
      <c r="M139" s="7">
        <v>14413065</v>
      </c>
      <c r="O139" s="7">
        <f t="shared" si="37"/>
        <v>3368052</v>
      </c>
      <c r="Q139" s="7">
        <v>72133</v>
      </c>
      <c r="S139" s="7">
        <v>0</v>
      </c>
      <c r="U139" s="7">
        <v>3440185</v>
      </c>
      <c r="W139" s="7">
        <v>7346264</v>
      </c>
      <c r="Y139" s="7">
        <f>24072+7454+434280</f>
        <v>465806</v>
      </c>
      <c r="AA139" s="7">
        <v>3160810</v>
      </c>
      <c r="AC139" s="7">
        <f t="shared" si="38"/>
        <v>10972880</v>
      </c>
      <c r="AF139" s="7">
        <f t="shared" si="39"/>
        <v>0</v>
      </c>
    </row>
    <row r="140" spans="1:33" ht="12.75" customHeight="1" x14ac:dyDescent="0.2">
      <c r="A140" s="7" t="s">
        <v>150</v>
      </c>
      <c r="C140" s="7" t="s">
        <v>151</v>
      </c>
      <c r="E140" s="61">
        <f t="shared" si="36"/>
        <v>32197607</v>
      </c>
      <c r="G140" s="7">
        <v>59058560</v>
      </c>
      <c r="I140" s="7">
        <v>0</v>
      </c>
      <c r="K140" s="7">
        <v>0</v>
      </c>
      <c r="M140" s="7">
        <v>91256167</v>
      </c>
      <c r="O140" s="7">
        <f t="shared" si="37"/>
        <v>7473192</v>
      </c>
      <c r="Q140" s="7">
        <v>8268138</v>
      </c>
      <c r="S140" s="7">
        <v>0</v>
      </c>
      <c r="U140" s="7">
        <v>15741330</v>
      </c>
      <c r="W140" s="7">
        <v>53936470</v>
      </c>
      <c r="Y140" s="7">
        <f>167476+4046633+5091654+3819401+2612641+4954298+952588</f>
        <v>21644691</v>
      </c>
      <c r="AA140" s="7">
        <v>-66324</v>
      </c>
      <c r="AC140" s="7">
        <f t="shared" si="38"/>
        <v>75514837</v>
      </c>
      <c r="AF140" s="7">
        <f t="shared" si="39"/>
        <v>0</v>
      </c>
    </row>
    <row r="141" spans="1:33" ht="12.75" customHeight="1" x14ac:dyDescent="0.2">
      <c r="A141" s="7" t="s">
        <v>152</v>
      </c>
      <c r="C141" s="7" t="s">
        <v>25</v>
      </c>
      <c r="E141" s="61">
        <f t="shared" si="36"/>
        <v>12536444</v>
      </c>
      <c r="G141" s="7">
        <f>2375058+49557259</f>
        <v>51932317</v>
      </c>
      <c r="I141" s="7">
        <v>35866</v>
      </c>
      <c r="K141" s="7">
        <v>0</v>
      </c>
      <c r="M141" s="7">
        <f>64432895+35866</f>
        <v>64468761</v>
      </c>
      <c r="O141" s="7">
        <f t="shared" si="37"/>
        <v>6533645</v>
      </c>
      <c r="Q141" s="7">
        <v>19953406</v>
      </c>
      <c r="S141" s="7">
        <v>3560117</v>
      </c>
      <c r="U141" s="7">
        <f>22926934+3560117</f>
        <v>26487051</v>
      </c>
      <c r="W141" s="7">
        <v>33915301</v>
      </c>
      <c r="Y141" s="7">
        <f>257267+320192+570117+183816</f>
        <v>1331392</v>
      </c>
      <c r="AA141" s="7">
        <v>2735017</v>
      </c>
      <c r="AC141" s="7">
        <f t="shared" si="38"/>
        <v>37981710</v>
      </c>
      <c r="AF141" s="7">
        <f t="shared" si="39"/>
        <v>0</v>
      </c>
    </row>
    <row r="142" spans="1:33" ht="12.75" customHeight="1" x14ac:dyDescent="0.2">
      <c r="A142" s="7" t="s">
        <v>153</v>
      </c>
      <c r="C142" s="7" t="s">
        <v>38</v>
      </c>
      <c r="E142" s="61">
        <f t="shared" si="36"/>
        <v>10496521</v>
      </c>
      <c r="G142" s="7">
        <f>4509438+22779125</f>
        <v>27288563</v>
      </c>
      <c r="I142" s="7">
        <v>0</v>
      </c>
      <c r="K142" s="7">
        <v>0</v>
      </c>
      <c r="M142" s="7">
        <v>37785084</v>
      </c>
      <c r="O142" s="7">
        <f t="shared" si="37"/>
        <v>3367949</v>
      </c>
      <c r="Q142" s="7">
        <v>4327528</v>
      </c>
      <c r="S142" s="7">
        <v>474271</v>
      </c>
      <c r="U142" s="7">
        <f>7221206+474271</f>
        <v>7695477</v>
      </c>
      <c r="W142" s="7">
        <v>22644352</v>
      </c>
      <c r="Y142" s="7">
        <f>30089607-22644352-1219172</f>
        <v>6226083</v>
      </c>
      <c r="AA142" s="7">
        <v>1219172</v>
      </c>
      <c r="AC142" s="7">
        <f t="shared" si="38"/>
        <v>30089607</v>
      </c>
      <c r="AF142" s="7">
        <f t="shared" si="39"/>
        <v>0</v>
      </c>
    </row>
    <row r="143" spans="1:33" ht="12.75" customHeight="1" x14ac:dyDescent="0.2">
      <c r="A143" s="7" t="s">
        <v>154</v>
      </c>
      <c r="C143" s="7" t="s">
        <v>154</v>
      </c>
      <c r="E143" s="7">
        <f t="shared" si="36"/>
        <v>12594482</v>
      </c>
      <c r="G143" s="7">
        <f>9917830+58649534</f>
        <v>68567364</v>
      </c>
      <c r="I143" s="7">
        <v>0</v>
      </c>
      <c r="K143" s="7">
        <v>0</v>
      </c>
      <c r="M143" s="7">
        <v>81161846</v>
      </c>
      <c r="O143" s="7">
        <f t="shared" si="37"/>
        <v>6030957</v>
      </c>
      <c r="Q143" s="7">
        <v>8750552</v>
      </c>
      <c r="S143" s="7">
        <v>1507873</v>
      </c>
      <c r="U143" s="7">
        <f>13273636+1507873</f>
        <v>14781509</v>
      </c>
      <c r="W143" s="7">
        <v>63770617</v>
      </c>
      <c r="Y143" s="7">
        <f>1471021+1912779+2054934</f>
        <v>5438734</v>
      </c>
      <c r="AA143" s="7">
        <v>-2829014</v>
      </c>
      <c r="AC143" s="7">
        <f t="shared" si="38"/>
        <v>66380337</v>
      </c>
      <c r="AF143" s="7">
        <f t="shared" si="39"/>
        <v>0</v>
      </c>
    </row>
    <row r="144" spans="1:33" ht="12.75" customHeight="1" x14ac:dyDescent="0.2">
      <c r="A144" s="7" t="s">
        <v>155</v>
      </c>
      <c r="C144" s="7" t="s">
        <v>31</v>
      </c>
      <c r="E144" s="7">
        <f t="shared" si="36"/>
        <v>4858407</v>
      </c>
      <c r="G144" s="7">
        <f>760330+2164943</f>
        <v>2925273</v>
      </c>
      <c r="I144" s="7">
        <v>0</v>
      </c>
      <c r="K144" s="7">
        <v>0</v>
      </c>
      <c r="M144" s="7">
        <v>7783680</v>
      </c>
      <c r="O144" s="7">
        <f t="shared" ref="O144" si="40">+U144-Q144</f>
        <v>781655</v>
      </c>
      <c r="Q144" s="7">
        <v>632699</v>
      </c>
      <c r="S144" s="7">
        <v>0</v>
      </c>
      <c r="U144" s="7">
        <v>1414354</v>
      </c>
      <c r="W144" s="7">
        <v>2372302</v>
      </c>
      <c r="Y144" s="7">
        <f>1343745+1610884</f>
        <v>2954629</v>
      </c>
      <c r="AA144" s="7">
        <v>1042395</v>
      </c>
      <c r="AC144" s="7">
        <f t="shared" si="38"/>
        <v>6369326</v>
      </c>
      <c r="AF144" s="7">
        <f t="shared" si="39"/>
        <v>0</v>
      </c>
    </row>
    <row r="145" spans="1:32" ht="12.75" customHeight="1" x14ac:dyDescent="0.2">
      <c r="A145" s="7" t="s">
        <v>156</v>
      </c>
      <c r="C145" s="7" t="s">
        <v>157</v>
      </c>
      <c r="E145" s="61">
        <f t="shared" si="36"/>
        <v>28070506</v>
      </c>
      <c r="G145" s="7">
        <f>19676671+35805198</f>
        <v>55481869</v>
      </c>
      <c r="I145" s="7">
        <v>0</v>
      </c>
      <c r="K145" s="7">
        <v>0</v>
      </c>
      <c r="M145" s="7">
        <v>83552375</v>
      </c>
      <c r="O145" s="7">
        <f t="shared" ref="O145:O167" si="41">+U145-Q145</f>
        <v>23064270</v>
      </c>
      <c r="Q145" s="7">
        <v>18973351</v>
      </c>
      <c r="S145" s="7">
        <v>2323293</v>
      </c>
      <c r="U145" s="7">
        <f>39714328+2323293</f>
        <v>42037621</v>
      </c>
      <c r="W145" s="7">
        <v>40120760</v>
      </c>
      <c r="Y145" s="7">
        <f>796519+215070+745802+151173+1156325+189108+352534</f>
        <v>3606531</v>
      </c>
      <c r="AA145" s="7">
        <v>-2212537</v>
      </c>
      <c r="AC145" s="7">
        <f t="shared" si="38"/>
        <v>41514754</v>
      </c>
      <c r="AF145" s="7">
        <f t="shared" si="39"/>
        <v>0</v>
      </c>
    </row>
    <row r="146" spans="1:32" s="9" customFormat="1" ht="12.75" customHeight="1" x14ac:dyDescent="0.2">
      <c r="A146" s="9" t="s">
        <v>158</v>
      </c>
      <c r="C146" s="9" t="s">
        <v>109</v>
      </c>
      <c r="E146" s="61">
        <f t="shared" si="36"/>
        <v>67651396</v>
      </c>
      <c r="F146" s="7"/>
      <c r="G146" s="7">
        <f>76398179+97737974</f>
        <v>174136153</v>
      </c>
      <c r="H146" s="7"/>
      <c r="I146" s="7">
        <v>0</v>
      </c>
      <c r="J146" s="7"/>
      <c r="K146" s="7">
        <v>477683</v>
      </c>
      <c r="L146" s="7"/>
      <c r="M146" s="7">
        <v>242265232</v>
      </c>
      <c r="N146" s="7"/>
      <c r="O146" s="7">
        <f t="shared" si="41"/>
        <v>20752898</v>
      </c>
      <c r="P146" s="7"/>
      <c r="Q146" s="7">
        <v>37145786</v>
      </c>
      <c r="R146" s="7"/>
      <c r="S146" s="7">
        <v>0</v>
      </c>
      <c r="T146" s="7"/>
      <c r="U146" s="7">
        <v>57898684</v>
      </c>
      <c r="V146" s="7"/>
      <c r="W146" s="7">
        <v>129162686</v>
      </c>
      <c r="X146" s="7"/>
      <c r="Y146" s="7">
        <f>906406+1118636+5226531+5804776+766592</f>
        <v>13822941</v>
      </c>
      <c r="Z146" s="7"/>
      <c r="AA146" s="7">
        <v>41380921</v>
      </c>
      <c r="AB146" s="7"/>
      <c r="AC146" s="7">
        <f t="shared" si="38"/>
        <v>184366548</v>
      </c>
      <c r="AD146" s="7"/>
      <c r="AE146" s="7"/>
      <c r="AF146" s="7">
        <f t="shared" si="39"/>
        <v>0</v>
      </c>
    </row>
    <row r="147" spans="1:32" ht="12.75" customHeight="1" x14ac:dyDescent="0.2">
      <c r="A147" s="7" t="s">
        <v>159</v>
      </c>
      <c r="C147" s="7" t="s">
        <v>13</v>
      </c>
      <c r="E147" s="61">
        <f t="shared" si="36"/>
        <v>15180135</v>
      </c>
      <c r="G147" s="7">
        <f>11555472+26187931</f>
        <v>37743403</v>
      </c>
      <c r="I147" s="7">
        <v>669460</v>
      </c>
      <c r="K147" s="7">
        <v>0</v>
      </c>
      <c r="M147" s="7">
        <f>669460+52254078</f>
        <v>52923538</v>
      </c>
      <c r="O147" s="7">
        <f t="shared" si="41"/>
        <v>5731126</v>
      </c>
      <c r="Q147" s="7">
        <v>27298117</v>
      </c>
      <c r="S147" s="7">
        <v>1654907</v>
      </c>
      <c r="U147" s="7">
        <f>31374336+1654907</f>
        <v>33029243</v>
      </c>
      <c r="W147" s="7">
        <v>16596491</v>
      </c>
      <c r="Y147" s="7">
        <f>19894295-16596491--2519669</f>
        <v>5817473</v>
      </c>
      <c r="AA147" s="7">
        <v>-2519669</v>
      </c>
      <c r="AC147" s="7">
        <f t="shared" si="38"/>
        <v>19894295</v>
      </c>
      <c r="AF147" s="7">
        <f t="shared" si="39"/>
        <v>0</v>
      </c>
    </row>
    <row r="148" spans="1:32" ht="12.75" customHeight="1" x14ac:dyDescent="0.2">
      <c r="A148" s="7" t="s">
        <v>160</v>
      </c>
      <c r="C148" s="7" t="s">
        <v>161</v>
      </c>
      <c r="E148" s="61">
        <f t="shared" si="36"/>
        <v>40634526</v>
      </c>
      <c r="G148" s="7">
        <f>11996525+62021662</f>
        <v>74018187</v>
      </c>
      <c r="I148" s="7">
        <v>0</v>
      </c>
      <c r="K148" s="7">
        <v>0</v>
      </c>
      <c r="M148" s="7">
        <v>114652713</v>
      </c>
      <c r="O148" s="7">
        <f t="shared" si="41"/>
        <v>6859348</v>
      </c>
      <c r="Q148" s="7">
        <v>23176643</v>
      </c>
      <c r="S148" s="7">
        <v>2733044</v>
      </c>
      <c r="U148" s="7">
        <f>27302947+2733044</f>
        <v>30035991</v>
      </c>
      <c r="W148" s="7">
        <v>58913187</v>
      </c>
      <c r="Y148" s="7">
        <f>84616722-58913187-6047523</f>
        <v>19656012</v>
      </c>
      <c r="AA148" s="7">
        <v>6047523</v>
      </c>
      <c r="AC148" s="7">
        <f t="shared" si="38"/>
        <v>84616722</v>
      </c>
      <c r="AF148" s="7">
        <f t="shared" si="39"/>
        <v>0</v>
      </c>
    </row>
    <row r="149" spans="1:32" ht="12.75" customHeight="1" x14ac:dyDescent="0.2">
      <c r="A149" s="7" t="s">
        <v>162</v>
      </c>
      <c r="C149" s="7" t="s">
        <v>25</v>
      </c>
      <c r="E149" s="61">
        <f t="shared" si="36"/>
        <v>26977879</v>
      </c>
      <c r="G149" s="7">
        <f>3024620+37962823</f>
        <v>40987443</v>
      </c>
      <c r="I149" s="7">
        <v>0</v>
      </c>
      <c r="K149" s="7">
        <v>0</v>
      </c>
      <c r="M149" s="7">
        <v>67965322</v>
      </c>
      <c r="O149" s="7">
        <f t="shared" si="41"/>
        <v>6762453</v>
      </c>
      <c r="Q149" s="7">
        <v>5062061</v>
      </c>
      <c r="S149" s="7">
        <v>4651092</v>
      </c>
      <c r="U149" s="7">
        <f>7173422+4651092</f>
        <v>11824514</v>
      </c>
      <c r="W149" s="7">
        <v>37552161</v>
      </c>
      <c r="Y149" s="7">
        <f>657944+505964</f>
        <v>1163908</v>
      </c>
      <c r="AA149" s="7">
        <v>17424739</v>
      </c>
      <c r="AC149" s="7">
        <f t="shared" si="38"/>
        <v>56140808</v>
      </c>
      <c r="AF149" s="7">
        <f t="shared" si="39"/>
        <v>0</v>
      </c>
    </row>
    <row r="150" spans="1:32" ht="12.75" customHeight="1" x14ac:dyDescent="0.2">
      <c r="A150" s="7" t="s">
        <v>51</v>
      </c>
      <c r="C150" s="7" t="s">
        <v>51</v>
      </c>
      <c r="E150" s="61">
        <f t="shared" si="36"/>
        <v>55369747</v>
      </c>
      <c r="G150" s="7">
        <f>7224812+45132244</f>
        <v>52357056</v>
      </c>
      <c r="I150" s="7">
        <v>0</v>
      </c>
      <c r="K150" s="7">
        <v>131190</v>
      </c>
      <c r="M150" s="7">
        <v>107857993</v>
      </c>
      <c r="O150" s="7">
        <f t="shared" si="41"/>
        <v>5137101</v>
      </c>
      <c r="Q150" s="7">
        <v>14835933</v>
      </c>
      <c r="S150" s="7">
        <v>0</v>
      </c>
      <c r="U150" s="7">
        <v>19973034</v>
      </c>
      <c r="W150" s="7">
        <v>44603341</v>
      </c>
      <c r="Y150" s="7">
        <f>1171527+2233011+3629200+9889907+4011327+14754+288489+1180098</f>
        <v>22418313</v>
      </c>
      <c r="AA150" s="7">
        <v>20863305</v>
      </c>
      <c r="AC150" s="7">
        <f t="shared" si="38"/>
        <v>87884959</v>
      </c>
      <c r="AF150" s="7">
        <f t="shared" si="39"/>
        <v>0</v>
      </c>
    </row>
    <row r="151" spans="1:32" ht="12.75" customHeight="1" x14ac:dyDescent="0.2">
      <c r="A151" s="7" t="s">
        <v>163</v>
      </c>
      <c r="C151" s="7" t="s">
        <v>90</v>
      </c>
      <c r="E151" s="61">
        <f t="shared" si="36"/>
        <v>66081789</v>
      </c>
      <c r="G151" s="7">
        <f>65461920+101472253</f>
        <v>166934173</v>
      </c>
      <c r="I151" s="7">
        <v>31882</v>
      </c>
      <c r="K151" s="7">
        <v>0</v>
      </c>
      <c r="M151" s="7">
        <f>232984080+31882</f>
        <v>233015962</v>
      </c>
      <c r="O151" s="7">
        <f t="shared" si="41"/>
        <v>13430995</v>
      </c>
      <c r="Q151" s="7">
        <v>31713648</v>
      </c>
      <c r="S151" s="7">
        <v>4881875</v>
      </c>
      <c r="U151" s="7">
        <f>40262768+4881875</f>
        <v>45144643</v>
      </c>
      <c r="W151" s="7">
        <v>137357473</v>
      </c>
      <c r="Y151" s="7">
        <f>15246640+820719+7766991</f>
        <v>23834350</v>
      </c>
      <c r="AA151" s="7">
        <v>26679496</v>
      </c>
      <c r="AC151" s="7">
        <f t="shared" si="38"/>
        <v>187871319</v>
      </c>
      <c r="AF151" s="7">
        <f t="shared" si="39"/>
        <v>0</v>
      </c>
    </row>
    <row r="152" spans="1:32" ht="12.75" customHeight="1" x14ac:dyDescent="0.2">
      <c r="A152" s="7" t="s">
        <v>164</v>
      </c>
      <c r="C152" s="7" t="s">
        <v>90</v>
      </c>
      <c r="E152" s="61">
        <f t="shared" si="36"/>
        <v>3378601</v>
      </c>
      <c r="G152" s="7">
        <f>4523347+2380543</f>
        <v>6903890</v>
      </c>
      <c r="I152" s="7">
        <v>0</v>
      </c>
      <c r="K152" s="7">
        <v>0</v>
      </c>
      <c r="M152" s="7">
        <v>10282491</v>
      </c>
      <c r="O152" s="7">
        <f t="shared" si="41"/>
        <v>2861953</v>
      </c>
      <c r="Q152" s="7">
        <v>936417</v>
      </c>
      <c r="S152" s="7">
        <v>1399885</v>
      </c>
      <c r="U152" s="7">
        <f>2398485+1399885</f>
        <v>3798370</v>
      </c>
      <c r="W152" s="7">
        <v>5305163</v>
      </c>
      <c r="Y152" s="7">
        <f>44144+230915+152320+112882+58653</f>
        <v>598914</v>
      </c>
      <c r="AA152" s="7">
        <v>580044</v>
      </c>
      <c r="AC152" s="7">
        <f t="shared" si="38"/>
        <v>6484121</v>
      </c>
      <c r="AF152" s="7">
        <f t="shared" si="39"/>
        <v>0</v>
      </c>
    </row>
    <row r="153" spans="1:32" ht="12.75" customHeight="1" x14ac:dyDescent="0.2">
      <c r="A153" s="7" t="s">
        <v>165</v>
      </c>
      <c r="C153" s="7" t="s">
        <v>64</v>
      </c>
      <c r="E153" s="61">
        <f t="shared" si="36"/>
        <v>28642183</v>
      </c>
      <c r="G153" s="7">
        <f>14867826+32303254</f>
        <v>47171080</v>
      </c>
      <c r="I153" s="7">
        <v>0</v>
      </c>
      <c r="K153" s="7">
        <v>0</v>
      </c>
      <c r="M153" s="7">
        <v>75813263</v>
      </c>
      <c r="O153" s="7">
        <f t="shared" si="41"/>
        <v>8779985</v>
      </c>
      <c r="Q153" s="7">
        <v>11391051</v>
      </c>
      <c r="S153" s="7">
        <v>2955838</v>
      </c>
      <c r="U153" s="7">
        <f>17215198+2955838</f>
        <v>20171036</v>
      </c>
      <c r="W153" s="7">
        <v>35416508</v>
      </c>
      <c r="Y153" s="7">
        <f>1768875+2386323+179683+5350676+571482+1075229+169494</f>
        <v>11501762</v>
      </c>
      <c r="AA153" s="7">
        <v>8723957</v>
      </c>
      <c r="AC153" s="7">
        <f t="shared" si="38"/>
        <v>55642227</v>
      </c>
      <c r="AF153" s="7">
        <f t="shared" si="39"/>
        <v>0</v>
      </c>
    </row>
    <row r="154" spans="1:32" ht="12.75" customHeight="1" x14ac:dyDescent="0.2">
      <c r="A154" s="7" t="s">
        <v>166</v>
      </c>
      <c r="C154" s="7" t="s">
        <v>25</v>
      </c>
      <c r="E154" s="61">
        <f t="shared" si="36"/>
        <v>16910511</v>
      </c>
      <c r="G154" s="7">
        <f>14443973+42637196</f>
        <v>57081169</v>
      </c>
      <c r="I154" s="7">
        <v>309000</v>
      </c>
      <c r="K154" s="7">
        <v>0</v>
      </c>
      <c r="M154" s="7">
        <f>73682680+309000</f>
        <v>73991680</v>
      </c>
      <c r="O154" s="7">
        <f t="shared" si="41"/>
        <v>6731362</v>
      </c>
      <c r="Q154" s="7">
        <v>8445595</v>
      </c>
      <c r="S154" s="7">
        <v>2049964</v>
      </c>
      <c r="U154" s="7">
        <f>13126993+2049964</f>
        <v>15176957</v>
      </c>
      <c r="W154" s="7">
        <v>49174710</v>
      </c>
      <c r="Y154" s="7">
        <f>989661+1548018+409375</f>
        <v>2947054</v>
      </c>
      <c r="AA154" s="7">
        <v>6692960</v>
      </c>
      <c r="AC154" s="7">
        <f t="shared" si="38"/>
        <v>58814724</v>
      </c>
      <c r="AF154" s="7">
        <f t="shared" si="39"/>
        <v>-1</v>
      </c>
    </row>
    <row r="155" spans="1:32" ht="12.75" customHeight="1" x14ac:dyDescent="0.2">
      <c r="A155" s="7" t="s">
        <v>167</v>
      </c>
      <c r="C155" s="7" t="s">
        <v>101</v>
      </c>
      <c r="E155" s="61">
        <f t="shared" si="36"/>
        <v>54139251</v>
      </c>
      <c r="G155" s="7">
        <f>15039052+73213133</f>
        <v>88252185</v>
      </c>
      <c r="I155" s="7">
        <v>0</v>
      </c>
      <c r="K155" s="7">
        <v>791544</v>
      </c>
      <c r="M155" s="7">
        <v>143182980</v>
      </c>
      <c r="O155" s="7">
        <f t="shared" si="41"/>
        <v>15339096</v>
      </c>
      <c r="Q155" s="7">
        <v>31987151</v>
      </c>
      <c r="S155" s="7">
        <v>0</v>
      </c>
      <c r="U155" s="7">
        <v>47326247</v>
      </c>
      <c r="W155" s="7">
        <v>57513379</v>
      </c>
      <c r="Y155" s="7">
        <f>95856733-57513379-10239711</f>
        <v>28103643</v>
      </c>
      <c r="AA155" s="7">
        <v>10239711</v>
      </c>
      <c r="AC155" s="7">
        <f t="shared" si="38"/>
        <v>95856733</v>
      </c>
      <c r="AF155" s="7">
        <f t="shared" si="39"/>
        <v>0</v>
      </c>
    </row>
    <row r="156" spans="1:32" ht="12.75" customHeight="1" x14ac:dyDescent="0.2">
      <c r="A156" s="7" t="s">
        <v>168</v>
      </c>
      <c r="C156" s="7" t="s">
        <v>169</v>
      </c>
      <c r="E156" s="61">
        <f t="shared" si="36"/>
        <v>11103739</v>
      </c>
      <c r="G156" s="7">
        <f>4013720+1474286+2680867-4085117</f>
        <v>4083756</v>
      </c>
      <c r="I156" s="7">
        <v>0</v>
      </c>
      <c r="K156" s="7">
        <v>0</v>
      </c>
      <c r="M156" s="7">
        <v>15187495</v>
      </c>
      <c r="O156" s="7">
        <f t="shared" si="41"/>
        <v>2582614</v>
      </c>
      <c r="Q156" s="7">
        <v>2170082</v>
      </c>
      <c r="S156" s="7">
        <v>0</v>
      </c>
      <c r="U156" s="7">
        <v>4752696</v>
      </c>
      <c r="W156" s="7">
        <v>3645717</v>
      </c>
      <c r="Y156" s="7">
        <f>10434799-3645717-4580840</f>
        <v>2208242</v>
      </c>
      <c r="AA156" s="7">
        <v>4580840</v>
      </c>
      <c r="AC156" s="7">
        <f t="shared" si="38"/>
        <v>10434799</v>
      </c>
      <c r="AF156" s="7">
        <f t="shared" si="39"/>
        <v>0</v>
      </c>
    </row>
    <row r="157" spans="1:32" ht="12.75" customHeight="1" x14ac:dyDescent="0.2">
      <c r="A157" s="7" t="s">
        <v>170</v>
      </c>
      <c r="C157" s="7" t="s">
        <v>101</v>
      </c>
      <c r="E157" s="61">
        <f t="shared" si="36"/>
        <v>34552850</v>
      </c>
      <c r="G157" s="7">
        <f>1615756+53942484</f>
        <v>55558240</v>
      </c>
      <c r="I157" s="7">
        <v>0</v>
      </c>
      <c r="K157" s="7">
        <v>0</v>
      </c>
      <c r="M157" s="7">
        <v>90111090</v>
      </c>
      <c r="O157" s="7">
        <f t="shared" si="41"/>
        <v>23011775</v>
      </c>
      <c r="Q157" s="7">
        <v>11478975</v>
      </c>
      <c r="S157" s="7">
        <v>0</v>
      </c>
      <c r="U157" s="7">
        <v>34490750</v>
      </c>
      <c r="W157" s="7">
        <v>43102006</v>
      </c>
      <c r="Y157" s="7">
        <f>803822+313316+502252+591851+151982</f>
        <v>2363223</v>
      </c>
      <c r="AA157" s="7">
        <v>10155111</v>
      </c>
      <c r="AC157" s="7">
        <f t="shared" si="38"/>
        <v>55620340</v>
      </c>
      <c r="AF157" s="7">
        <f t="shared" si="39"/>
        <v>0</v>
      </c>
    </row>
    <row r="158" spans="1:32" ht="12.75" customHeight="1" x14ac:dyDescent="0.2">
      <c r="A158" s="7" t="s">
        <v>64</v>
      </c>
      <c r="C158" s="7" t="s">
        <v>43</v>
      </c>
      <c r="E158" s="61">
        <f t="shared" si="36"/>
        <v>40324305</v>
      </c>
      <c r="G158" s="7">
        <f>15285724+23514242</f>
        <v>38799966</v>
      </c>
      <c r="I158" s="7">
        <v>128294</v>
      </c>
      <c r="K158" s="7">
        <v>0</v>
      </c>
      <c r="M158" s="7">
        <f>78995977+128294</f>
        <v>79124271</v>
      </c>
      <c r="O158" s="7">
        <f t="shared" si="41"/>
        <v>5814338</v>
      </c>
      <c r="Q158" s="7">
        <v>2756454</v>
      </c>
      <c r="S158" s="7">
        <v>4300113</v>
      </c>
      <c r="U158" s="7">
        <f>4270679+4300113</f>
        <v>8570792</v>
      </c>
      <c r="W158" s="7">
        <v>36128095</v>
      </c>
      <c r="Y158" s="7">
        <f>70553479-36128095-14772666</f>
        <v>19652718</v>
      </c>
      <c r="AA158" s="7">
        <v>14772666</v>
      </c>
      <c r="AC158" s="7">
        <f t="shared" si="38"/>
        <v>70553479</v>
      </c>
      <c r="AF158" s="7">
        <f t="shared" si="39"/>
        <v>0</v>
      </c>
    </row>
    <row r="159" spans="1:32" ht="12.75" customHeight="1" x14ac:dyDescent="0.2">
      <c r="A159" s="7" t="s">
        <v>171</v>
      </c>
      <c r="C159" s="7" t="s">
        <v>64</v>
      </c>
      <c r="E159" s="61">
        <f t="shared" si="36"/>
        <v>16744238</v>
      </c>
      <c r="G159" s="7">
        <f>10965745+19875413</f>
        <v>30841158</v>
      </c>
      <c r="I159" s="7">
        <v>0</v>
      </c>
      <c r="K159" s="7">
        <v>0</v>
      </c>
      <c r="M159" s="7">
        <v>47585396</v>
      </c>
      <c r="O159" s="7">
        <f t="shared" si="41"/>
        <v>3188350</v>
      </c>
      <c r="Q159" s="7">
        <v>8396686</v>
      </c>
      <c r="S159" s="7">
        <v>949365</v>
      </c>
      <c r="U159" s="7">
        <f>10635671+949365</f>
        <v>11585036</v>
      </c>
      <c r="W159" s="7">
        <v>27606601</v>
      </c>
      <c r="Y159" s="7">
        <f>36000360-27606601-1840462</f>
        <v>6553297</v>
      </c>
      <c r="AA159" s="7">
        <v>1840462</v>
      </c>
      <c r="AC159" s="7">
        <f t="shared" si="38"/>
        <v>36000360</v>
      </c>
      <c r="AF159" s="7">
        <f t="shared" si="39"/>
        <v>0</v>
      </c>
    </row>
    <row r="160" spans="1:32" ht="12.75" customHeight="1" x14ac:dyDescent="0.2">
      <c r="A160" s="7" t="s">
        <v>172</v>
      </c>
      <c r="C160" s="7" t="s">
        <v>43</v>
      </c>
      <c r="E160" s="61">
        <f t="shared" si="36"/>
        <v>2467149</v>
      </c>
      <c r="G160" s="7">
        <f>648330+3301228</f>
        <v>3949558</v>
      </c>
      <c r="I160" s="7">
        <v>0</v>
      </c>
      <c r="K160" s="7">
        <v>40118</v>
      </c>
      <c r="M160" s="7">
        <v>6456825</v>
      </c>
      <c r="O160" s="7">
        <f t="shared" si="41"/>
        <v>1123002</v>
      </c>
      <c r="Q160" s="7">
        <v>1838357</v>
      </c>
      <c r="S160" s="7">
        <v>0</v>
      </c>
      <c r="U160" s="7">
        <v>2961359</v>
      </c>
      <c r="W160" s="7">
        <v>2147818</v>
      </c>
      <c r="Y160" s="7">
        <f>1210+182408+158378+4628+500+3334</f>
        <v>350458</v>
      </c>
      <c r="AA160" s="7">
        <v>997190</v>
      </c>
      <c r="AC160" s="7">
        <f t="shared" si="38"/>
        <v>3495466</v>
      </c>
      <c r="AF160" s="7">
        <f t="shared" si="39"/>
        <v>0</v>
      </c>
    </row>
    <row r="161" spans="1:32" ht="12.75" customHeight="1" x14ac:dyDescent="0.2">
      <c r="A161" s="7" t="s">
        <v>173</v>
      </c>
      <c r="C161" s="7" t="s">
        <v>174</v>
      </c>
      <c r="E161" s="61">
        <f t="shared" si="36"/>
        <v>15958773</v>
      </c>
      <c r="G161" s="7">
        <f>13672796+34070085</f>
        <v>47742881</v>
      </c>
      <c r="I161" s="7">
        <v>0</v>
      </c>
      <c r="K161" s="7">
        <v>0</v>
      </c>
      <c r="M161" s="7">
        <v>63701654</v>
      </c>
      <c r="O161" s="7">
        <f t="shared" si="41"/>
        <v>3812636</v>
      </c>
      <c r="Q161" s="7">
        <v>9018341</v>
      </c>
      <c r="S161" s="7">
        <v>2379700</v>
      </c>
      <c r="U161" s="7">
        <f>10451277+2379700</f>
        <v>12830977</v>
      </c>
      <c r="W161" s="7">
        <v>39426306</v>
      </c>
      <c r="Y161" s="7">
        <f>50870677-39426306-8349905</f>
        <v>3094466</v>
      </c>
      <c r="AA161" s="7">
        <v>8349905</v>
      </c>
      <c r="AC161" s="7">
        <f t="shared" si="38"/>
        <v>50870677</v>
      </c>
      <c r="AF161" s="7">
        <f t="shared" si="39"/>
        <v>0</v>
      </c>
    </row>
    <row r="162" spans="1:32" ht="12.75" customHeight="1" x14ac:dyDescent="0.2">
      <c r="A162" s="7" t="s">
        <v>175</v>
      </c>
      <c r="C162" s="7" t="s">
        <v>11</v>
      </c>
      <c r="E162" s="61">
        <f t="shared" si="36"/>
        <v>4492193</v>
      </c>
      <c r="G162" s="7">
        <f>1653686+4977183</f>
        <v>6630869</v>
      </c>
      <c r="I162" s="7">
        <v>0</v>
      </c>
      <c r="K162" s="7">
        <v>0</v>
      </c>
      <c r="M162" s="7">
        <v>11123062</v>
      </c>
      <c r="O162" s="7">
        <f t="shared" si="41"/>
        <v>1244730</v>
      </c>
      <c r="Q162" s="7">
        <v>428924</v>
      </c>
      <c r="S162" s="7">
        <v>694794</v>
      </c>
      <c r="U162" s="7">
        <f>978860+694794</f>
        <v>1673654</v>
      </c>
      <c r="W162" s="7">
        <v>6172972</v>
      </c>
      <c r="Y162" s="7">
        <f>419645+29791+220391+276499+340434+177241</f>
        <v>1464001</v>
      </c>
      <c r="AA162" s="7">
        <v>1812435</v>
      </c>
      <c r="AC162" s="7">
        <f t="shared" si="38"/>
        <v>9449408</v>
      </c>
      <c r="AF162" s="7">
        <f t="shared" si="39"/>
        <v>0</v>
      </c>
    </row>
    <row r="163" spans="1:32" ht="12.75" customHeight="1" x14ac:dyDescent="0.2">
      <c r="A163" s="7" t="s">
        <v>176</v>
      </c>
      <c r="C163" s="7" t="s">
        <v>177</v>
      </c>
      <c r="E163" s="61">
        <f t="shared" si="36"/>
        <v>6710001</v>
      </c>
      <c r="G163" s="7">
        <f>12409362+18950116</f>
        <v>31359478</v>
      </c>
      <c r="I163" s="7">
        <v>0</v>
      </c>
      <c r="K163" s="7">
        <v>0</v>
      </c>
      <c r="M163" s="7">
        <v>38069479</v>
      </c>
      <c r="O163" s="7">
        <f t="shared" si="41"/>
        <v>1260806</v>
      </c>
      <c r="Q163" s="7">
        <v>1750489</v>
      </c>
      <c r="S163" s="7">
        <v>418262</v>
      </c>
      <c r="U163" s="7">
        <f>2593033+418262</f>
        <v>3011295</v>
      </c>
      <c r="W163" s="7">
        <v>29912554</v>
      </c>
      <c r="Y163" s="7">
        <f>768982+824092+438825+202020+227149</f>
        <v>2461068</v>
      </c>
      <c r="AA163" s="7">
        <v>2684562</v>
      </c>
      <c r="AC163" s="7">
        <f t="shared" si="38"/>
        <v>35058184</v>
      </c>
      <c r="AF163" s="7">
        <f t="shared" si="39"/>
        <v>0</v>
      </c>
    </row>
    <row r="164" spans="1:32" ht="12.75" customHeight="1" x14ac:dyDescent="0.2">
      <c r="A164" s="7" t="s">
        <v>178</v>
      </c>
      <c r="C164" s="7" t="s">
        <v>18</v>
      </c>
      <c r="E164" s="61">
        <f t="shared" si="36"/>
        <v>4011771</v>
      </c>
      <c r="G164" s="7">
        <f>407263+10596499</f>
        <v>11003762</v>
      </c>
      <c r="I164" s="7">
        <v>0</v>
      </c>
      <c r="K164" s="7">
        <v>0</v>
      </c>
      <c r="M164" s="7">
        <v>15015533</v>
      </c>
      <c r="O164" s="7">
        <f t="shared" si="41"/>
        <v>664204</v>
      </c>
      <c r="Q164" s="7">
        <v>210476</v>
      </c>
      <c r="S164" s="7">
        <v>367532</v>
      </c>
      <c r="U164" s="7">
        <f>507148+367532</f>
        <v>874680</v>
      </c>
      <c r="W164" s="7">
        <v>10986393</v>
      </c>
      <c r="Y164" s="7">
        <f>449026+262035+936396+108197</f>
        <v>1755654</v>
      </c>
      <c r="AA164" s="7">
        <v>1398806</v>
      </c>
      <c r="AC164" s="7">
        <f t="shared" si="38"/>
        <v>14140853</v>
      </c>
      <c r="AF164" s="7">
        <f t="shared" si="39"/>
        <v>0</v>
      </c>
    </row>
    <row r="165" spans="1:32" ht="12.75" customHeight="1" x14ac:dyDescent="0.2">
      <c r="A165" s="7" t="s">
        <v>495</v>
      </c>
      <c r="C165" s="7" t="s">
        <v>41</v>
      </c>
      <c r="E165" s="61">
        <f t="shared" si="36"/>
        <v>41102041</v>
      </c>
      <c r="G165" s="7">
        <v>104631127</v>
      </c>
      <c r="I165" s="7">
        <v>809863</v>
      </c>
      <c r="K165" s="7">
        <v>0</v>
      </c>
      <c r="M165" s="7">
        <f>809863+144923305</f>
        <v>145733168</v>
      </c>
      <c r="O165" s="7">
        <f t="shared" si="41"/>
        <v>9326699</v>
      </c>
      <c r="Q165" s="7">
        <v>30849836</v>
      </c>
      <c r="S165" s="7">
        <v>3994921</v>
      </c>
      <c r="U165" s="7">
        <f>36181614+3994921</f>
        <v>40176535</v>
      </c>
      <c r="W165" s="7">
        <v>83392013</v>
      </c>
      <c r="Y165" s="7">
        <f>105556633-83392013-13879981</f>
        <v>8284639</v>
      </c>
      <c r="AA165" s="7">
        <v>13879981</v>
      </c>
      <c r="AC165" s="7">
        <f t="shared" si="38"/>
        <v>105556633</v>
      </c>
      <c r="AF165" s="7">
        <f t="shared" si="39"/>
        <v>0</v>
      </c>
    </row>
    <row r="166" spans="1:32" ht="12.75" customHeight="1" x14ac:dyDescent="0.2">
      <c r="A166" s="7" t="s">
        <v>180</v>
      </c>
      <c r="C166" s="7" t="s">
        <v>181</v>
      </c>
      <c r="E166" s="61">
        <f t="shared" si="36"/>
        <v>4696019</v>
      </c>
      <c r="G166" s="7">
        <f>505616+3457827</f>
        <v>3963443</v>
      </c>
      <c r="I166" s="7">
        <v>0</v>
      </c>
      <c r="K166" s="7">
        <v>0</v>
      </c>
      <c r="M166" s="7">
        <v>8659462</v>
      </c>
      <c r="O166" s="7">
        <f t="shared" si="41"/>
        <v>796037</v>
      </c>
      <c r="Q166" s="7">
        <v>2136599</v>
      </c>
      <c r="S166" s="7">
        <v>563976</v>
      </c>
      <c r="U166" s="7">
        <f>2368660+563976</f>
        <v>2932636</v>
      </c>
      <c r="W166" s="7">
        <v>1777302</v>
      </c>
      <c r="Y166" s="7">
        <f>5726826-1777302-895126</f>
        <v>3054398</v>
      </c>
      <c r="AA166" s="7">
        <v>895126</v>
      </c>
      <c r="AC166" s="7">
        <f t="shared" si="38"/>
        <v>5726826</v>
      </c>
      <c r="AF166" s="7">
        <f t="shared" si="39"/>
        <v>0</v>
      </c>
    </row>
    <row r="167" spans="1:32" ht="12.75" customHeight="1" x14ac:dyDescent="0.2">
      <c r="A167" s="7" t="s">
        <v>481</v>
      </c>
      <c r="C167" s="7" t="s">
        <v>11</v>
      </c>
      <c r="E167" s="61">
        <f t="shared" si="36"/>
        <v>7676263</v>
      </c>
      <c r="G167" s="7">
        <f>1573386+4340477</f>
        <v>5913863</v>
      </c>
      <c r="I167" s="7">
        <v>0</v>
      </c>
      <c r="K167" s="7">
        <v>0</v>
      </c>
      <c r="M167" s="7">
        <v>13590126</v>
      </c>
      <c r="O167" s="7">
        <f t="shared" si="41"/>
        <v>3379499</v>
      </c>
      <c r="Q167" s="7">
        <v>587978</v>
      </c>
      <c r="S167" s="7">
        <v>0</v>
      </c>
      <c r="U167" s="7">
        <v>3967477</v>
      </c>
      <c r="W167" s="7">
        <v>5884105</v>
      </c>
      <c r="Y167" s="7">
        <f>2183+20415+1536354+768333</f>
        <v>2327285</v>
      </c>
      <c r="AA167" s="7">
        <v>1411259</v>
      </c>
      <c r="AC167" s="7">
        <f t="shared" si="38"/>
        <v>9622649</v>
      </c>
      <c r="AF167" s="7">
        <f t="shared" si="39"/>
        <v>0</v>
      </c>
    </row>
    <row r="168" spans="1:32" ht="12.75" customHeight="1" x14ac:dyDescent="0.2">
      <c r="E168" s="86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11" t="s">
        <v>478</v>
      </c>
    </row>
    <row r="169" spans="1:32" ht="12.75" customHeight="1" x14ac:dyDescent="0.2">
      <c r="A169" s="7" t="s">
        <v>182</v>
      </c>
      <c r="C169" s="7" t="s">
        <v>87</v>
      </c>
      <c r="E169" s="86">
        <f>+M169-G169-K169</f>
        <v>10090094</v>
      </c>
      <c r="F169" s="9"/>
      <c r="G169" s="9">
        <f>1189845+25414460</f>
        <v>26604305</v>
      </c>
      <c r="H169" s="9"/>
      <c r="I169" s="9">
        <v>0</v>
      </c>
      <c r="J169" s="9"/>
      <c r="K169" s="9">
        <v>0</v>
      </c>
      <c r="L169" s="9"/>
      <c r="M169" s="9">
        <v>36694399</v>
      </c>
      <c r="N169" s="9"/>
      <c r="O169" s="9">
        <f>+U169-Q169</f>
        <v>2431192</v>
      </c>
      <c r="P169" s="9"/>
      <c r="Q169" s="9">
        <v>2142511</v>
      </c>
      <c r="R169" s="9"/>
      <c r="S169" s="9">
        <v>0</v>
      </c>
      <c r="T169" s="9"/>
      <c r="U169" s="9">
        <v>4573703</v>
      </c>
      <c r="V169" s="9"/>
      <c r="W169" s="9">
        <v>25109305</v>
      </c>
      <c r="X169" s="9"/>
      <c r="Y169" s="9">
        <f>69249+1576438+2833988</f>
        <v>4479675</v>
      </c>
      <c r="Z169" s="9"/>
      <c r="AA169" s="9">
        <v>2531716</v>
      </c>
      <c r="AB169" s="9"/>
      <c r="AC169" s="9">
        <f>W169+Y169+AA169</f>
        <v>32120696</v>
      </c>
      <c r="AF169" s="7">
        <f>+M169-U169-AC169</f>
        <v>0</v>
      </c>
    </row>
    <row r="170" spans="1:32" ht="12.75" customHeight="1" x14ac:dyDescent="0.2">
      <c r="A170" s="7" t="s">
        <v>179</v>
      </c>
      <c r="C170" s="7" t="s">
        <v>123</v>
      </c>
      <c r="E170" s="61">
        <f>+M170-G170-K170</f>
        <v>29144905</v>
      </c>
      <c r="G170" s="7">
        <f>20109460+41334488</f>
        <v>61443948</v>
      </c>
      <c r="I170" s="7">
        <v>0</v>
      </c>
      <c r="K170" s="7">
        <v>0</v>
      </c>
      <c r="M170" s="7">
        <v>90588853</v>
      </c>
      <c r="O170" s="7">
        <f>+U170-Q170</f>
        <v>10679125</v>
      </c>
      <c r="Q170" s="7">
        <v>21462242</v>
      </c>
      <c r="S170" s="7">
        <v>3073102</v>
      </c>
      <c r="U170" s="7">
        <f>3073102+29068265</f>
        <v>32141367</v>
      </c>
      <c r="W170" s="7">
        <v>42970107</v>
      </c>
      <c r="Y170" s="7">
        <f>58447486-42970107-2407288</f>
        <v>13070091</v>
      </c>
      <c r="AA170" s="7">
        <v>2407288</v>
      </c>
      <c r="AC170" s="7">
        <f>W170+Y170+AA170</f>
        <v>58447486</v>
      </c>
      <c r="AF170" s="7">
        <f>+M170-U170-AC170</f>
        <v>0</v>
      </c>
    </row>
    <row r="171" spans="1:32" ht="12.75" customHeight="1" x14ac:dyDescent="0.2">
      <c r="A171" s="7" t="s">
        <v>183</v>
      </c>
      <c r="C171" s="7" t="s">
        <v>78</v>
      </c>
      <c r="E171" s="61">
        <f>+M171-G171-K171</f>
        <v>13191362</v>
      </c>
      <c r="G171" s="7">
        <f>106300+20539857</f>
        <v>20646157</v>
      </c>
      <c r="I171" s="7">
        <v>0</v>
      </c>
      <c r="K171" s="7">
        <v>0</v>
      </c>
      <c r="M171" s="7">
        <v>33837519</v>
      </c>
      <c r="O171" s="7">
        <f>+U171-Q171</f>
        <v>2095516</v>
      </c>
      <c r="Q171" s="7">
        <v>4485935</v>
      </c>
      <c r="S171" s="7">
        <v>838593</v>
      </c>
      <c r="U171" s="7">
        <f>5742858+838593</f>
        <v>6581451</v>
      </c>
      <c r="W171" s="7">
        <v>17495100</v>
      </c>
      <c r="Y171" s="7">
        <f>129437+62247+654406+1132200+93095</f>
        <v>2071385</v>
      </c>
      <c r="AA171" s="7">
        <v>7689583</v>
      </c>
      <c r="AC171" s="7">
        <f>W171+Y171+AA171</f>
        <v>27256068</v>
      </c>
      <c r="AF171" s="7">
        <f>+M171-U171-AC171</f>
        <v>0</v>
      </c>
    </row>
    <row r="172" spans="1:32" ht="12.75" customHeight="1" x14ac:dyDescent="0.2">
      <c r="A172" s="7" t="s">
        <v>184</v>
      </c>
      <c r="C172" s="7" t="s">
        <v>13</v>
      </c>
      <c r="E172" s="61">
        <f>+M172-G172-K172</f>
        <v>15160099</v>
      </c>
      <c r="G172" s="7">
        <v>31847363</v>
      </c>
      <c r="I172" s="7">
        <v>0</v>
      </c>
      <c r="K172" s="7">
        <v>0</v>
      </c>
      <c r="M172" s="7">
        <v>47007462</v>
      </c>
      <c r="O172" s="7">
        <f>+U172-Q172</f>
        <v>3246729</v>
      </c>
      <c r="Q172" s="7">
        <v>3577216</v>
      </c>
      <c r="S172" s="7">
        <v>2247126</v>
      </c>
      <c r="U172" s="7">
        <v>6823945</v>
      </c>
      <c r="W172" s="7">
        <v>30162804</v>
      </c>
      <c r="Y172" s="7">
        <f>40183517-30162804-7644922</f>
        <v>2375791</v>
      </c>
      <c r="AA172" s="7">
        <v>7644922</v>
      </c>
      <c r="AC172" s="7">
        <f>W172+Y172+AA172</f>
        <v>40183517</v>
      </c>
      <c r="AF172" s="7">
        <f>+M172-U172-AC172</f>
        <v>0</v>
      </c>
    </row>
    <row r="173" spans="1:32" ht="12.75" customHeight="1" x14ac:dyDescent="0.2">
      <c r="A173" s="7" t="s">
        <v>185</v>
      </c>
      <c r="B173" s="7"/>
      <c r="C173" s="7" t="s">
        <v>25</v>
      </c>
      <c r="D173" s="7"/>
      <c r="E173" s="61">
        <f t="shared" ref="E173:E185" si="42">+M173-G173-K173</f>
        <v>35425851</v>
      </c>
      <c r="G173" s="7">
        <f>4722087+56240737</f>
        <v>60962824</v>
      </c>
      <c r="I173" s="7">
        <v>0</v>
      </c>
      <c r="K173" s="7">
        <v>0</v>
      </c>
      <c r="M173" s="7">
        <v>96388675</v>
      </c>
      <c r="O173" s="7">
        <f t="shared" ref="O173:O185" si="43">+U173-Q173</f>
        <v>17044932</v>
      </c>
      <c r="Q173" s="7">
        <v>24774860</v>
      </c>
      <c r="S173" s="7">
        <v>0</v>
      </c>
      <c r="U173" s="7">
        <v>41819792</v>
      </c>
      <c r="W173" s="7">
        <v>35550385</v>
      </c>
      <c r="Y173" s="7">
        <f>54568883-35550385-6779505</f>
        <v>12238993</v>
      </c>
      <c r="AA173" s="7">
        <v>6779505</v>
      </c>
      <c r="AC173" s="7">
        <f t="shared" ref="AC173:AC185" si="44">W173+Y173+AA173</f>
        <v>54568883</v>
      </c>
      <c r="AF173" s="7">
        <f>+M173-U173-AC173</f>
        <v>0</v>
      </c>
    </row>
    <row r="174" spans="1:32" ht="12.75" customHeight="1" x14ac:dyDescent="0.2">
      <c r="A174" s="7" t="s">
        <v>187</v>
      </c>
      <c r="C174" s="7" t="s">
        <v>15</v>
      </c>
      <c r="E174" s="61">
        <f t="shared" si="42"/>
        <v>23997081</v>
      </c>
      <c r="G174" s="7">
        <f>3606826+58587294</f>
        <v>62194120</v>
      </c>
      <c r="I174" s="7">
        <v>0</v>
      </c>
      <c r="K174" s="7">
        <v>0</v>
      </c>
      <c r="M174" s="7">
        <v>86191201</v>
      </c>
      <c r="O174" s="7">
        <f t="shared" si="43"/>
        <v>11650377</v>
      </c>
      <c r="Q174" s="7">
        <v>7930887</v>
      </c>
      <c r="S174" s="7">
        <v>0</v>
      </c>
      <c r="U174" s="7">
        <v>19581264</v>
      </c>
      <c r="W174" s="7">
        <v>54512935</v>
      </c>
      <c r="Y174" s="7">
        <f>66609937-54512935-4918035</f>
        <v>7178967</v>
      </c>
      <c r="AA174" s="7">
        <v>4918035</v>
      </c>
      <c r="AC174" s="7">
        <f t="shared" si="44"/>
        <v>66609937</v>
      </c>
      <c r="AF174" s="7">
        <f t="shared" ref="AF174:AF226" si="45">+M174-U174-AC174</f>
        <v>0</v>
      </c>
    </row>
    <row r="175" spans="1:32" ht="12.75" customHeight="1" x14ac:dyDescent="0.2">
      <c r="A175" s="7" t="s">
        <v>186</v>
      </c>
      <c r="C175" s="7" t="s">
        <v>25</v>
      </c>
      <c r="E175" s="61">
        <f t="shared" si="42"/>
        <v>23535980</v>
      </c>
      <c r="G175" s="7">
        <f>14662405+87008078</f>
        <v>101670483</v>
      </c>
      <c r="I175" s="7">
        <v>0</v>
      </c>
      <c r="K175" s="7">
        <v>0</v>
      </c>
      <c r="M175" s="7">
        <v>125206463</v>
      </c>
      <c r="O175" s="7">
        <f t="shared" si="43"/>
        <v>8558433</v>
      </c>
      <c r="Q175" s="7">
        <v>25701705</v>
      </c>
      <c r="S175" s="7">
        <v>0</v>
      </c>
      <c r="U175" s="7">
        <v>34260138</v>
      </c>
      <c r="W175" s="7">
        <v>76801105</v>
      </c>
      <c r="Y175" s="7">
        <f>6344433+1946394+3458515</f>
        <v>11749342</v>
      </c>
      <c r="AA175" s="7">
        <v>2395878</v>
      </c>
      <c r="AC175" s="7">
        <f t="shared" si="44"/>
        <v>90946325</v>
      </c>
      <c r="AF175" s="7">
        <f>+M175-U175-AC175</f>
        <v>0</v>
      </c>
    </row>
    <row r="176" spans="1:32" ht="12.75" customHeight="1" x14ac:dyDescent="0.2">
      <c r="A176" s="7" t="s">
        <v>188</v>
      </c>
      <c r="C176" s="7" t="s">
        <v>45</v>
      </c>
      <c r="E176" s="61">
        <f t="shared" si="42"/>
        <v>9087556</v>
      </c>
      <c r="G176" s="7">
        <f>1272301+8342224</f>
        <v>9614525</v>
      </c>
      <c r="I176" s="7">
        <v>0</v>
      </c>
      <c r="K176" s="7">
        <v>0</v>
      </c>
      <c r="M176" s="7">
        <v>18702081</v>
      </c>
      <c r="O176" s="7">
        <f t="shared" si="43"/>
        <v>796685</v>
      </c>
      <c r="Q176" s="7">
        <v>2612519</v>
      </c>
      <c r="S176" s="7">
        <v>202051</v>
      </c>
      <c r="U176" s="7">
        <f>3207153+202051</f>
        <v>3409204</v>
      </c>
      <c r="W176" s="7">
        <v>9368500</v>
      </c>
      <c r="Y176" s="7">
        <f>3596191+594879+662119+203627</f>
        <v>5056816</v>
      </c>
      <c r="AA176" s="7">
        <v>867561</v>
      </c>
      <c r="AC176" s="7">
        <f t="shared" si="44"/>
        <v>15292877</v>
      </c>
      <c r="AF176" s="7">
        <f t="shared" si="45"/>
        <v>0</v>
      </c>
    </row>
    <row r="177" spans="1:33" ht="12.75" customHeight="1" x14ac:dyDescent="0.2">
      <c r="A177" s="7" t="s">
        <v>189</v>
      </c>
      <c r="C177" s="7" t="s">
        <v>11</v>
      </c>
      <c r="E177" s="61">
        <f t="shared" si="42"/>
        <v>15325079</v>
      </c>
      <c r="G177" s="7">
        <f>2503677+20858760</f>
        <v>23362437</v>
      </c>
      <c r="I177" s="7">
        <v>75827</v>
      </c>
      <c r="K177" s="7">
        <v>0</v>
      </c>
      <c r="M177" s="7">
        <f>38611689+75827</f>
        <v>38687516</v>
      </c>
      <c r="O177" s="7">
        <f t="shared" si="43"/>
        <v>3038887</v>
      </c>
      <c r="Q177" s="7">
        <v>8564016</v>
      </c>
      <c r="S177" s="7">
        <v>2031560</v>
      </c>
      <c r="U177" s="7">
        <f>9571343+2031560</f>
        <v>11602903</v>
      </c>
      <c r="W177" s="7">
        <v>15170953</v>
      </c>
      <c r="Y177" s="7">
        <f>27084613-15170953-5390375</f>
        <v>6523285</v>
      </c>
      <c r="AA177" s="7">
        <v>5390375</v>
      </c>
      <c r="AC177" s="7">
        <f t="shared" si="44"/>
        <v>27084613</v>
      </c>
      <c r="AF177" s="7">
        <f t="shared" si="45"/>
        <v>0</v>
      </c>
    </row>
    <row r="178" spans="1:33" ht="12.75" customHeight="1" x14ac:dyDescent="0.2">
      <c r="A178" s="7" t="s">
        <v>190</v>
      </c>
      <c r="C178" s="7" t="s">
        <v>36</v>
      </c>
      <c r="E178" s="61">
        <f t="shared" si="42"/>
        <v>14885187</v>
      </c>
      <c r="G178" s="7">
        <f>3065063+16124494</f>
        <v>19189557</v>
      </c>
      <c r="I178" s="7">
        <v>0</v>
      </c>
      <c r="K178" s="7">
        <v>0</v>
      </c>
      <c r="M178" s="7">
        <v>34074744</v>
      </c>
      <c r="O178" s="7">
        <f t="shared" si="43"/>
        <v>2426989</v>
      </c>
      <c r="Q178" s="7">
        <v>2171712</v>
      </c>
      <c r="S178" s="7">
        <v>0</v>
      </c>
      <c r="U178" s="7">
        <v>4598701</v>
      </c>
      <c r="W178" s="7">
        <v>17959815</v>
      </c>
      <c r="Y178" s="7">
        <f>29476043-17959815-2420857</f>
        <v>9095371</v>
      </c>
      <c r="AA178" s="7">
        <v>2420857</v>
      </c>
      <c r="AC178" s="7">
        <f t="shared" si="44"/>
        <v>29476043</v>
      </c>
      <c r="AF178" s="7">
        <f t="shared" si="45"/>
        <v>0</v>
      </c>
    </row>
    <row r="179" spans="1:33" ht="12.75" customHeight="1" x14ac:dyDescent="0.2">
      <c r="A179" s="7" t="s">
        <v>191</v>
      </c>
      <c r="C179" s="7" t="s">
        <v>43</v>
      </c>
      <c r="E179" s="61">
        <f t="shared" si="42"/>
        <v>12171440</v>
      </c>
      <c r="G179" s="7">
        <f>6376146+12898845</f>
        <v>19274991</v>
      </c>
      <c r="I179" s="7">
        <v>0</v>
      </c>
      <c r="K179" s="7">
        <v>107987</v>
      </c>
      <c r="M179" s="7">
        <v>31554418</v>
      </c>
      <c r="O179" s="7">
        <f t="shared" si="43"/>
        <v>9446234</v>
      </c>
      <c r="Q179" s="7">
        <v>20207906</v>
      </c>
      <c r="S179" s="7">
        <v>0</v>
      </c>
      <c r="U179" s="7">
        <v>29654140</v>
      </c>
      <c r="W179" s="7">
        <v>10440174</v>
      </c>
      <c r="Y179" s="7">
        <f>2134881+290015+229007+183187+122068+267048+586946</f>
        <v>3813152</v>
      </c>
      <c r="AA179" s="7">
        <v>-12353048</v>
      </c>
      <c r="AC179" s="7">
        <f t="shared" si="44"/>
        <v>1900278</v>
      </c>
      <c r="AF179" s="7">
        <f t="shared" si="45"/>
        <v>0</v>
      </c>
    </row>
    <row r="180" spans="1:33" ht="12.75" customHeight="1" x14ac:dyDescent="0.2">
      <c r="A180" s="7" t="s">
        <v>192</v>
      </c>
      <c r="C180" s="7" t="s">
        <v>64</v>
      </c>
      <c r="E180" s="61">
        <f t="shared" si="42"/>
        <v>12964563</v>
      </c>
      <c r="G180" s="7">
        <f>4672504+33714667</f>
        <v>38387171</v>
      </c>
      <c r="I180" s="7">
        <v>0</v>
      </c>
      <c r="K180" s="7">
        <v>0</v>
      </c>
      <c r="M180" s="7">
        <v>51351734</v>
      </c>
      <c r="O180" s="7">
        <f t="shared" si="43"/>
        <v>4568422</v>
      </c>
      <c r="Q180" s="7">
        <v>1581619</v>
      </c>
      <c r="S180" s="7">
        <v>861998</v>
      </c>
      <c r="U180" s="7">
        <f>5288043+861998</f>
        <v>6150041</v>
      </c>
      <c r="W180" s="7">
        <v>35985171</v>
      </c>
      <c r="Y180" s="7">
        <f>309394+1034350+50000+1156</f>
        <v>1394900</v>
      </c>
      <c r="AA180" s="7">
        <v>7821622</v>
      </c>
      <c r="AC180" s="7">
        <f t="shared" si="44"/>
        <v>45201693</v>
      </c>
      <c r="AF180" s="7">
        <f t="shared" si="45"/>
        <v>0</v>
      </c>
    </row>
    <row r="181" spans="1:33" ht="12.75" customHeight="1" x14ac:dyDescent="0.2">
      <c r="A181" s="7" t="s">
        <v>193</v>
      </c>
      <c r="C181" s="7" t="s">
        <v>15</v>
      </c>
      <c r="E181" s="61">
        <f t="shared" si="42"/>
        <v>14962444</v>
      </c>
      <c r="G181" s="7">
        <f>3727749+30980344</f>
        <v>34708093</v>
      </c>
      <c r="I181" s="7">
        <v>0</v>
      </c>
      <c r="K181" s="7">
        <v>0</v>
      </c>
      <c r="M181" s="7">
        <v>49670537</v>
      </c>
      <c r="O181" s="7">
        <f t="shared" si="43"/>
        <v>2395057</v>
      </c>
      <c r="Q181" s="7">
        <v>8924758</v>
      </c>
      <c r="S181" s="7">
        <v>905991</v>
      </c>
      <c r="U181" s="7">
        <f>10413824+905991</f>
        <v>11319815</v>
      </c>
      <c r="W181" s="7">
        <v>25767782</v>
      </c>
      <c r="Y181" s="7">
        <f>958744+212912+1289179</f>
        <v>2460835</v>
      </c>
      <c r="AA181" s="7">
        <v>10122105</v>
      </c>
      <c r="AC181" s="7">
        <f t="shared" si="44"/>
        <v>38350722</v>
      </c>
      <c r="AF181" s="7">
        <f>+M181-U181-AC181</f>
        <v>0</v>
      </c>
    </row>
    <row r="182" spans="1:33" ht="12.75" hidden="1" customHeight="1" x14ac:dyDescent="0.2">
      <c r="A182" s="7" t="s">
        <v>486</v>
      </c>
      <c r="C182" s="7" t="s">
        <v>25</v>
      </c>
      <c r="E182" s="61">
        <f t="shared" si="42"/>
        <v>11802398</v>
      </c>
      <c r="G182" s="7">
        <f>1439268+364829+23212228</f>
        <v>25016325</v>
      </c>
      <c r="I182" s="7">
        <v>0</v>
      </c>
      <c r="K182" s="7">
        <v>0</v>
      </c>
      <c r="M182" s="7">
        <v>36818723</v>
      </c>
      <c r="O182" s="7">
        <f t="shared" si="43"/>
        <v>2816736</v>
      </c>
      <c r="Q182" s="7">
        <v>5620611</v>
      </c>
      <c r="S182" s="7">
        <v>2163320</v>
      </c>
      <c r="U182" s="7">
        <f>6274027+2163320</f>
        <v>8437347</v>
      </c>
      <c r="W182" s="7">
        <v>21503574</v>
      </c>
      <c r="Y182" s="7">
        <f>102145+2320498+2391345</f>
        <v>4813988</v>
      </c>
      <c r="AA182" s="7">
        <v>2063814</v>
      </c>
      <c r="AC182" s="7">
        <f t="shared" si="44"/>
        <v>28381376</v>
      </c>
      <c r="AF182" s="7">
        <f t="shared" si="45"/>
        <v>0</v>
      </c>
    </row>
    <row r="183" spans="1:33" ht="12.75" customHeight="1" x14ac:dyDescent="0.2">
      <c r="A183" s="7" t="s">
        <v>400</v>
      </c>
      <c r="C183" s="7" t="s">
        <v>151</v>
      </c>
      <c r="E183" s="61">
        <f t="shared" si="42"/>
        <v>10134638</v>
      </c>
      <c r="G183" s="7">
        <v>18946512</v>
      </c>
      <c r="I183" s="7">
        <v>0</v>
      </c>
      <c r="K183" s="7">
        <v>0</v>
      </c>
      <c r="M183" s="7">
        <v>29081150</v>
      </c>
      <c r="O183" s="7">
        <f t="shared" si="43"/>
        <v>1228651</v>
      </c>
      <c r="Q183" s="7">
        <v>1900393</v>
      </c>
      <c r="S183" s="7">
        <v>586882</v>
      </c>
      <c r="U183" s="7">
        <f>2542162+586882</f>
        <v>3129044</v>
      </c>
      <c r="W183" s="7">
        <v>17213425</v>
      </c>
      <c r="Y183" s="7">
        <f>251405+1292150+24494+24881+67682</f>
        <v>1660612</v>
      </c>
      <c r="AA183" s="7">
        <v>7078069</v>
      </c>
      <c r="AC183" s="7">
        <f t="shared" si="44"/>
        <v>25952106</v>
      </c>
      <c r="AF183" s="7">
        <f t="shared" si="45"/>
        <v>0</v>
      </c>
    </row>
    <row r="184" spans="1:33" ht="12.75" customHeight="1" x14ac:dyDescent="0.2">
      <c r="A184" s="7" t="s">
        <v>195</v>
      </c>
      <c r="C184" s="7" t="s">
        <v>161</v>
      </c>
      <c r="E184" s="61">
        <f t="shared" si="42"/>
        <v>66812769</v>
      </c>
      <c r="G184" s="7">
        <f>10349285+37595576</f>
        <v>47944861</v>
      </c>
      <c r="I184" s="7">
        <v>0</v>
      </c>
      <c r="K184" s="7">
        <v>0</v>
      </c>
      <c r="M184" s="7">
        <v>114757630</v>
      </c>
      <c r="O184" s="7">
        <f t="shared" si="43"/>
        <v>5316394</v>
      </c>
      <c r="Q184" s="7">
        <v>21850865</v>
      </c>
      <c r="S184" s="7">
        <v>1147387</v>
      </c>
      <c r="U184" s="7">
        <f>26019872+1147387</f>
        <v>27167259</v>
      </c>
      <c r="W184" s="7">
        <v>26850666</v>
      </c>
      <c r="Y184" s="7">
        <f>87590371-26850666-44710362</f>
        <v>16029343</v>
      </c>
      <c r="AA184" s="7">
        <v>44710362</v>
      </c>
      <c r="AC184" s="7">
        <f t="shared" si="44"/>
        <v>87590371</v>
      </c>
      <c r="AF184" s="7">
        <f>+M184-U184-AC184</f>
        <v>0</v>
      </c>
    </row>
    <row r="185" spans="1:33" ht="12.75" customHeight="1" x14ac:dyDescent="0.2">
      <c r="A185" s="7" t="s">
        <v>196</v>
      </c>
      <c r="C185" s="7" t="s">
        <v>197</v>
      </c>
      <c r="E185" s="61">
        <f t="shared" si="42"/>
        <v>9249040</v>
      </c>
      <c r="G185" s="7">
        <f>3470054+40089279</f>
        <v>43559333</v>
      </c>
      <c r="I185" s="7">
        <v>0</v>
      </c>
      <c r="K185" s="7">
        <v>0</v>
      </c>
      <c r="M185" s="7">
        <v>52808373</v>
      </c>
      <c r="O185" s="7">
        <f t="shared" si="43"/>
        <v>1043479</v>
      </c>
      <c r="Q185" s="7">
        <v>177377</v>
      </c>
      <c r="S185" s="7">
        <v>446500</v>
      </c>
      <c r="U185" s="7">
        <f>774356+446500</f>
        <v>1220856</v>
      </c>
      <c r="W185" s="7">
        <v>43532213</v>
      </c>
      <c r="Y185" s="7">
        <f>51587517-43532213-6866788</f>
        <v>1188516</v>
      </c>
      <c r="AA185" s="7">
        <v>6866788</v>
      </c>
      <c r="AC185" s="7">
        <f t="shared" si="44"/>
        <v>51587517</v>
      </c>
      <c r="AF185" s="7">
        <f t="shared" si="45"/>
        <v>0</v>
      </c>
    </row>
    <row r="186" spans="1:33" s="9" customFormat="1" ht="12.75" customHeight="1" x14ac:dyDescent="0.2">
      <c r="A186" s="9" t="s">
        <v>198</v>
      </c>
      <c r="C186" s="9" t="s">
        <v>101</v>
      </c>
      <c r="E186" s="7">
        <f t="shared" ref="E186:E207" si="46">+M186-G186-K186</f>
        <v>18360241</v>
      </c>
      <c r="F186" s="7"/>
      <c r="G186" s="7">
        <f>11672280+25376176</f>
        <v>37048456</v>
      </c>
      <c r="H186" s="7"/>
      <c r="I186" s="7">
        <v>0</v>
      </c>
      <c r="J186" s="7"/>
      <c r="K186" s="7">
        <v>29119</v>
      </c>
      <c r="L186" s="7"/>
      <c r="M186" s="7">
        <v>55437816</v>
      </c>
      <c r="N186" s="7"/>
      <c r="O186" s="7">
        <f t="shared" ref="O186:O207" si="47">+U186-Q186</f>
        <v>2262550</v>
      </c>
      <c r="P186" s="7"/>
      <c r="Q186" s="7">
        <v>2077642</v>
      </c>
      <c r="R186" s="7"/>
      <c r="S186" s="7">
        <v>0</v>
      </c>
      <c r="T186" s="7"/>
      <c r="U186" s="7">
        <v>4340192</v>
      </c>
      <c r="V186" s="7"/>
      <c r="W186" s="7">
        <v>35170738</v>
      </c>
      <c r="X186" s="7"/>
      <c r="Y186" s="7">
        <f>51097624-35170738-13277082</f>
        <v>2649804</v>
      </c>
      <c r="Z186" s="7"/>
      <c r="AA186" s="7">
        <v>13277082</v>
      </c>
      <c r="AB186" s="7"/>
      <c r="AC186" s="7">
        <f t="shared" ref="AC186:AC207" si="48">W186+Y186+AA186</f>
        <v>51097624</v>
      </c>
      <c r="AF186" s="9">
        <f t="shared" ref="AF186:AF216" si="49">+M186-U186-AC186</f>
        <v>0</v>
      </c>
      <c r="AG186" s="7"/>
    </row>
    <row r="187" spans="1:33" ht="12.75" customHeight="1" x14ac:dyDescent="0.2">
      <c r="A187" s="7" t="s">
        <v>199</v>
      </c>
      <c r="C187" s="7" t="s">
        <v>90</v>
      </c>
      <c r="E187" s="61">
        <f t="shared" si="46"/>
        <v>21868063</v>
      </c>
      <c r="G187" s="7">
        <f>14231947+24693714</f>
        <v>38925661</v>
      </c>
      <c r="I187" s="7">
        <v>0</v>
      </c>
      <c r="K187" s="7">
        <v>0</v>
      </c>
      <c r="M187" s="7">
        <v>60793724</v>
      </c>
      <c r="O187" s="7">
        <f t="shared" si="47"/>
        <v>6218614</v>
      </c>
      <c r="Q187" s="7">
        <v>10885677</v>
      </c>
      <c r="S187" s="7">
        <v>1232985</v>
      </c>
      <c r="U187" s="7">
        <f>15871306+1232985</f>
        <v>17104291</v>
      </c>
      <c r="W187" s="7">
        <v>33102011</v>
      </c>
      <c r="Y187" s="7">
        <f>43689433-33102011-6862608</f>
        <v>3724814</v>
      </c>
      <c r="AA187" s="7">
        <v>6862608</v>
      </c>
      <c r="AC187" s="7">
        <f t="shared" si="48"/>
        <v>43689433</v>
      </c>
      <c r="AF187" s="7">
        <f t="shared" si="49"/>
        <v>0</v>
      </c>
    </row>
    <row r="188" spans="1:33" ht="12.75" customHeight="1" x14ac:dyDescent="0.2">
      <c r="A188" s="7" t="s">
        <v>200</v>
      </c>
      <c r="C188" s="7" t="s">
        <v>25</v>
      </c>
      <c r="E188" s="61">
        <f t="shared" si="46"/>
        <v>37416248</v>
      </c>
      <c r="G188" s="7">
        <f>8337480+78007666</f>
        <v>86345146</v>
      </c>
      <c r="I188" s="7">
        <v>0</v>
      </c>
      <c r="K188" s="7">
        <v>0</v>
      </c>
      <c r="M188" s="7">
        <v>123761394</v>
      </c>
      <c r="O188" s="7">
        <f t="shared" si="47"/>
        <v>13446469</v>
      </c>
      <c r="Q188" s="7">
        <v>23253407</v>
      </c>
      <c r="S188" s="7">
        <v>0</v>
      </c>
      <c r="U188" s="7">
        <v>36699876</v>
      </c>
      <c r="W188" s="7">
        <v>64069323</v>
      </c>
      <c r="Y188" s="7">
        <v>9984420</v>
      </c>
      <c r="AA188" s="7">
        <v>13007775</v>
      </c>
      <c r="AC188" s="7">
        <f t="shared" si="48"/>
        <v>87061518</v>
      </c>
      <c r="AF188" s="7">
        <f t="shared" si="49"/>
        <v>0</v>
      </c>
    </row>
    <row r="189" spans="1:33" ht="12.75" customHeight="1" x14ac:dyDescent="0.2">
      <c r="A189" s="7" t="s">
        <v>201</v>
      </c>
      <c r="C189" s="7" t="s">
        <v>25</v>
      </c>
      <c r="E189" s="61">
        <f t="shared" si="46"/>
        <v>15021440</v>
      </c>
      <c r="G189" s="7">
        <f>1864012+30240132</f>
        <v>32104144</v>
      </c>
      <c r="I189" s="7">
        <v>0</v>
      </c>
      <c r="K189" s="7">
        <v>0</v>
      </c>
      <c r="M189" s="7">
        <v>47125584</v>
      </c>
      <c r="O189" s="7">
        <f t="shared" si="47"/>
        <v>8127249</v>
      </c>
      <c r="Q189" s="7">
        <v>5279301</v>
      </c>
      <c r="S189" s="7">
        <v>0</v>
      </c>
      <c r="U189" s="7">
        <v>13406550</v>
      </c>
      <c r="W189" s="7">
        <v>23337409</v>
      </c>
      <c r="Y189" s="7">
        <f>33719034-23337409-5938062</f>
        <v>4443563</v>
      </c>
      <c r="AA189" s="7">
        <v>5938062</v>
      </c>
      <c r="AC189" s="7">
        <f t="shared" si="48"/>
        <v>33719034</v>
      </c>
      <c r="AF189" s="7">
        <f t="shared" si="49"/>
        <v>0</v>
      </c>
    </row>
    <row r="190" spans="1:33" ht="12.75" customHeight="1" x14ac:dyDescent="0.2">
      <c r="A190" s="7" t="s">
        <v>202</v>
      </c>
      <c r="C190" s="7" t="s">
        <v>123</v>
      </c>
      <c r="E190" s="61">
        <f t="shared" si="46"/>
        <v>10066392</v>
      </c>
      <c r="G190" s="7">
        <f>1298898+13976701</f>
        <v>15275599</v>
      </c>
      <c r="I190" s="7">
        <v>0</v>
      </c>
      <c r="K190" s="7">
        <v>0</v>
      </c>
      <c r="M190" s="7">
        <v>25341991</v>
      </c>
      <c r="O190" s="7">
        <f t="shared" si="47"/>
        <v>3380583</v>
      </c>
      <c r="Q190" s="7">
        <v>1378444</v>
      </c>
      <c r="S190" s="7">
        <v>993826</v>
      </c>
      <c r="U190" s="7">
        <v>4759027</v>
      </c>
      <c r="W190" s="7">
        <v>13774478</v>
      </c>
      <c r="Y190" s="7">
        <f>245725+1221848+1948664+102975+2087707</f>
        <v>5606919</v>
      </c>
      <c r="AA190" s="7">
        <v>1201567</v>
      </c>
      <c r="AC190" s="7">
        <f t="shared" si="48"/>
        <v>20582964</v>
      </c>
      <c r="AF190" s="7">
        <f t="shared" si="49"/>
        <v>0</v>
      </c>
    </row>
    <row r="191" spans="1:33" ht="12.75" customHeight="1" x14ac:dyDescent="0.2">
      <c r="A191" s="7" t="s">
        <v>203</v>
      </c>
      <c r="C191" s="7" t="s">
        <v>25</v>
      </c>
      <c r="E191" s="61">
        <f t="shared" si="46"/>
        <v>14133685</v>
      </c>
      <c r="G191" s="7">
        <f>2049220+17787132</f>
        <v>19836352</v>
      </c>
      <c r="I191" s="7">
        <v>0</v>
      </c>
      <c r="K191" s="7">
        <v>0</v>
      </c>
      <c r="M191" s="7">
        <v>33970037</v>
      </c>
      <c r="O191" s="7">
        <f t="shared" si="47"/>
        <v>4669778</v>
      </c>
      <c r="Q191" s="7">
        <v>7930220</v>
      </c>
      <c r="S191" s="7">
        <v>3311934</v>
      </c>
      <c r="U191" s="7">
        <f>9288064+3311934</f>
        <v>12599998</v>
      </c>
      <c r="W191" s="7">
        <v>11955858</v>
      </c>
      <c r="Y191" s="7">
        <f>850000+142842+1282660</f>
        <v>2275502</v>
      </c>
      <c r="AA191" s="7">
        <v>7138679</v>
      </c>
      <c r="AC191" s="7">
        <f t="shared" si="48"/>
        <v>21370039</v>
      </c>
      <c r="AF191" s="7">
        <f t="shared" si="49"/>
        <v>0</v>
      </c>
    </row>
    <row r="192" spans="1:33" ht="12.75" customHeight="1" x14ac:dyDescent="0.2">
      <c r="A192" s="7" t="s">
        <v>204</v>
      </c>
      <c r="C192" s="7" t="s">
        <v>45</v>
      </c>
      <c r="E192" s="61">
        <f t="shared" si="46"/>
        <v>19251799</v>
      </c>
      <c r="G192" s="7">
        <f>13639774+72004381</f>
        <v>85644155</v>
      </c>
      <c r="I192" s="7">
        <v>0</v>
      </c>
      <c r="K192" s="7">
        <v>0</v>
      </c>
      <c r="M192" s="7">
        <v>104895954</v>
      </c>
      <c r="O192" s="7">
        <f t="shared" si="47"/>
        <v>5631182</v>
      </c>
      <c r="Q192" s="7">
        <v>762099</v>
      </c>
      <c r="S192" s="7">
        <v>3096860</v>
      </c>
      <c r="U192" s="7">
        <f>3296421+3096860</f>
        <v>6393281</v>
      </c>
      <c r="W192" s="7">
        <v>84694155</v>
      </c>
      <c r="Y192" s="7">
        <v>3465594</v>
      </c>
      <c r="AA192" s="7">
        <v>10342924</v>
      </c>
      <c r="AC192" s="7">
        <f t="shared" si="48"/>
        <v>98502673</v>
      </c>
      <c r="AF192" s="7">
        <f t="shared" si="49"/>
        <v>0</v>
      </c>
    </row>
    <row r="193" spans="1:32" ht="12.75" customHeight="1" x14ac:dyDescent="0.2">
      <c r="A193" s="7" t="s">
        <v>205</v>
      </c>
      <c r="C193" s="7" t="s">
        <v>100</v>
      </c>
      <c r="E193" s="61">
        <f t="shared" si="46"/>
        <v>10863415</v>
      </c>
      <c r="G193" s="7">
        <f>6457259+49340964</f>
        <v>55798223</v>
      </c>
      <c r="I193" s="7">
        <v>105099</v>
      </c>
      <c r="K193" s="7">
        <v>0</v>
      </c>
      <c r="M193" s="7">
        <f>66556539+105099</f>
        <v>66661638</v>
      </c>
      <c r="O193" s="7">
        <f t="shared" si="47"/>
        <v>4397523</v>
      </c>
      <c r="Q193" s="7">
        <v>11386346</v>
      </c>
      <c r="S193" s="7">
        <v>2270000</v>
      </c>
      <c r="U193" s="7">
        <f>13513869+2270000</f>
        <v>15783869</v>
      </c>
      <c r="W193" s="7">
        <v>44046257</v>
      </c>
      <c r="Y193" s="7">
        <f>50877769-44046257-3712593</f>
        <v>3118919</v>
      </c>
      <c r="AA193" s="7">
        <v>3712593</v>
      </c>
      <c r="AC193" s="7">
        <f t="shared" si="48"/>
        <v>50877769</v>
      </c>
      <c r="AF193" s="7">
        <f t="shared" si="49"/>
        <v>0</v>
      </c>
    </row>
    <row r="194" spans="1:32" ht="12.75" customHeight="1" x14ac:dyDescent="0.2">
      <c r="A194" s="7" t="s">
        <v>206</v>
      </c>
      <c r="C194" s="7" t="s">
        <v>207</v>
      </c>
      <c r="E194" s="61">
        <f t="shared" si="46"/>
        <v>34612005</v>
      </c>
      <c r="G194" s="7">
        <f>9484358+34632977</f>
        <v>44117335</v>
      </c>
      <c r="I194" s="7">
        <v>0</v>
      </c>
      <c r="K194" s="7">
        <v>0</v>
      </c>
      <c r="M194" s="7">
        <v>78729340</v>
      </c>
      <c r="O194" s="7">
        <f t="shared" si="47"/>
        <v>3676933</v>
      </c>
      <c r="Q194" s="7">
        <v>2555193</v>
      </c>
      <c r="S194" s="7">
        <v>1632410</v>
      </c>
      <c r="U194" s="7">
        <f>4599716+1632410</f>
        <v>6232126</v>
      </c>
      <c r="W194" s="7">
        <v>42987387</v>
      </c>
      <c r="Y194" s="7">
        <f>10894+430978</f>
        <v>441872</v>
      </c>
      <c r="AA194" s="7">
        <v>29067955</v>
      </c>
      <c r="AC194" s="7">
        <f t="shared" si="48"/>
        <v>72497214</v>
      </c>
      <c r="AF194" s="7">
        <f t="shared" si="49"/>
        <v>0</v>
      </c>
    </row>
    <row r="195" spans="1:32" ht="12.75" customHeight="1" x14ac:dyDescent="0.2">
      <c r="A195" s="7" t="s">
        <v>208</v>
      </c>
      <c r="C195" s="7" t="s">
        <v>209</v>
      </c>
      <c r="E195" s="61">
        <f t="shared" si="46"/>
        <v>5282567</v>
      </c>
      <c r="G195" s="7">
        <f>2169174+6417243</f>
        <v>8586417</v>
      </c>
      <c r="I195" s="7">
        <v>0</v>
      </c>
      <c r="K195" s="7">
        <v>0</v>
      </c>
      <c r="M195" s="7">
        <v>13868984</v>
      </c>
      <c r="O195" s="7">
        <f t="shared" si="47"/>
        <v>1056606</v>
      </c>
      <c r="Q195" s="7">
        <v>306288</v>
      </c>
      <c r="S195" s="7">
        <v>699539</v>
      </c>
      <c r="U195" s="7">
        <f>663355+699539</f>
        <v>1362894</v>
      </c>
      <c r="W195" s="7">
        <v>8316852</v>
      </c>
      <c r="Y195" s="7">
        <f>128829+432332+458231+949635+512490</f>
        <v>2481517</v>
      </c>
      <c r="AA195" s="7">
        <v>1707721</v>
      </c>
      <c r="AC195" s="7">
        <f t="shared" si="48"/>
        <v>12506090</v>
      </c>
      <c r="AF195" s="7">
        <f t="shared" si="49"/>
        <v>0</v>
      </c>
    </row>
    <row r="196" spans="1:32" ht="12.75" customHeight="1" x14ac:dyDescent="0.2">
      <c r="A196" s="7" t="s">
        <v>210</v>
      </c>
      <c r="C196" s="7" t="s">
        <v>211</v>
      </c>
      <c r="E196" s="61">
        <f t="shared" si="46"/>
        <v>9548609</v>
      </c>
      <c r="G196" s="7">
        <f>1697863+19459754</f>
        <v>21157617</v>
      </c>
      <c r="I196" s="7">
        <v>0</v>
      </c>
      <c r="K196" s="7">
        <v>0</v>
      </c>
      <c r="M196" s="7">
        <v>30706226</v>
      </c>
      <c r="O196" s="7">
        <f t="shared" si="47"/>
        <v>2867946</v>
      </c>
      <c r="Q196" s="7">
        <v>2619999</v>
      </c>
      <c r="S196" s="7">
        <v>1819000</v>
      </c>
      <c r="U196" s="7">
        <f>3668945+1819000</f>
        <v>5487945</v>
      </c>
      <c r="W196" s="7">
        <v>20630492</v>
      </c>
      <c r="Y196" s="7">
        <f>25218281-20630492--1595257</f>
        <v>6183046</v>
      </c>
      <c r="AA196" s="7">
        <v>-1595257</v>
      </c>
      <c r="AC196" s="7">
        <f t="shared" si="48"/>
        <v>25218281</v>
      </c>
      <c r="AF196" s="7">
        <f t="shared" si="49"/>
        <v>0</v>
      </c>
    </row>
    <row r="197" spans="1:32" ht="12.75" customHeight="1" x14ac:dyDescent="0.2">
      <c r="A197" s="7" t="s">
        <v>212</v>
      </c>
      <c r="C197" s="7" t="s">
        <v>84</v>
      </c>
      <c r="E197" s="61">
        <f t="shared" si="46"/>
        <v>13957250</v>
      </c>
      <c r="G197" s="7">
        <f>4023159+142966+35963960</f>
        <v>40130085</v>
      </c>
      <c r="I197" s="7">
        <v>656330</v>
      </c>
      <c r="K197" s="7">
        <v>0</v>
      </c>
      <c r="M197" s="7">
        <f>53431005+656330</f>
        <v>54087335</v>
      </c>
      <c r="O197" s="7">
        <f t="shared" si="47"/>
        <v>4487192</v>
      </c>
      <c r="Q197" s="7">
        <f>187094+28208565</f>
        <v>28395659</v>
      </c>
      <c r="S197" s="7">
        <v>2021104</v>
      </c>
      <c r="U197" s="7">
        <f>30861747+2021104</f>
        <v>32882851</v>
      </c>
      <c r="W197" s="7">
        <v>26886415</v>
      </c>
      <c r="Y197" s="7">
        <f>1160900+1068439+138283+29764</f>
        <v>2397386</v>
      </c>
      <c r="AA197" s="7">
        <v>-8079317</v>
      </c>
      <c r="AC197" s="7">
        <f t="shared" si="48"/>
        <v>21204484</v>
      </c>
      <c r="AF197" s="7">
        <f t="shared" si="49"/>
        <v>0</v>
      </c>
    </row>
    <row r="198" spans="1:32" ht="12.75" customHeight="1" x14ac:dyDescent="0.2">
      <c r="A198" s="7" t="s">
        <v>213</v>
      </c>
      <c r="C198" s="7" t="s">
        <v>20</v>
      </c>
      <c r="E198" s="61">
        <f t="shared" si="46"/>
        <v>16633679</v>
      </c>
      <c r="G198" s="7">
        <f>4310147+36553082</f>
        <v>40863229</v>
      </c>
      <c r="I198" s="7">
        <v>0</v>
      </c>
      <c r="K198" s="7">
        <v>0</v>
      </c>
      <c r="M198" s="7">
        <v>57496908</v>
      </c>
      <c r="O198" s="7">
        <f t="shared" si="47"/>
        <v>2068707</v>
      </c>
      <c r="Q198" s="7">
        <v>8482068</v>
      </c>
      <c r="S198" s="7">
        <v>519222</v>
      </c>
      <c r="U198" s="7">
        <f>10031553+519222</f>
        <v>10550775</v>
      </c>
      <c r="W198" s="7">
        <v>37521772</v>
      </c>
      <c r="Y198" s="7">
        <f>11789+9113608</f>
        <v>9125397</v>
      </c>
      <c r="AA198" s="7">
        <v>298964</v>
      </c>
      <c r="AC198" s="7">
        <f t="shared" si="48"/>
        <v>46946133</v>
      </c>
      <c r="AF198" s="7">
        <f t="shared" si="49"/>
        <v>0</v>
      </c>
    </row>
    <row r="199" spans="1:32" ht="12.75" customHeight="1" x14ac:dyDescent="0.2">
      <c r="A199" s="7" t="s">
        <v>214</v>
      </c>
      <c r="C199" s="7" t="s">
        <v>43</v>
      </c>
      <c r="E199" s="61">
        <f t="shared" si="46"/>
        <v>6366072</v>
      </c>
      <c r="G199" s="7">
        <f>1621393+5086764</f>
        <v>6708157</v>
      </c>
      <c r="I199" s="7">
        <v>0</v>
      </c>
      <c r="K199" s="7">
        <v>0</v>
      </c>
      <c r="M199" s="7">
        <v>13074229</v>
      </c>
      <c r="O199" s="7">
        <f t="shared" si="47"/>
        <v>2867770</v>
      </c>
      <c r="Q199" s="7">
        <v>2913527</v>
      </c>
      <c r="S199" s="7">
        <v>0</v>
      </c>
      <c r="U199" s="7">
        <v>5781297</v>
      </c>
      <c r="W199" s="7">
        <v>3851996</v>
      </c>
      <c r="Y199" s="7">
        <f>7292932-3851996-604230</f>
        <v>2836706</v>
      </c>
      <c r="AA199" s="7">
        <v>604230</v>
      </c>
      <c r="AC199" s="7">
        <f t="shared" si="48"/>
        <v>7292932</v>
      </c>
      <c r="AF199" s="7">
        <f t="shared" si="49"/>
        <v>0</v>
      </c>
    </row>
    <row r="200" spans="1:32" ht="12.75" customHeight="1" x14ac:dyDescent="0.2">
      <c r="A200" s="7" t="s">
        <v>215</v>
      </c>
      <c r="C200" s="7" t="s">
        <v>41</v>
      </c>
      <c r="E200" s="61">
        <f t="shared" si="46"/>
        <v>23080109</v>
      </c>
      <c r="G200" s="7">
        <f>20506496+35454598</f>
        <v>55961094</v>
      </c>
      <c r="I200" s="7">
        <v>851460</v>
      </c>
      <c r="K200" s="7">
        <v>0</v>
      </c>
      <c r="M200" s="7">
        <f>78189743+851460</f>
        <v>79041203</v>
      </c>
      <c r="O200" s="7">
        <f t="shared" si="47"/>
        <v>6417788</v>
      </c>
      <c r="Q200" s="7">
        <v>20949150</v>
      </c>
      <c r="S200" s="7">
        <v>1489991</v>
      </c>
      <c r="U200" s="7">
        <f>25876947+1489991</f>
        <v>27366938</v>
      </c>
      <c r="W200" s="7">
        <v>34412783</v>
      </c>
      <c r="Y200" s="7">
        <f>897730+1136201+388646+4240989+122016</f>
        <v>6785582</v>
      </c>
      <c r="AA200" s="7">
        <v>10475900</v>
      </c>
      <c r="AC200" s="7">
        <f t="shared" si="48"/>
        <v>51674265</v>
      </c>
      <c r="AF200" s="7">
        <f t="shared" si="49"/>
        <v>0</v>
      </c>
    </row>
    <row r="201" spans="1:32" ht="12.75" customHeight="1" x14ac:dyDescent="0.2">
      <c r="A201" s="7" t="s">
        <v>216</v>
      </c>
      <c r="C201" s="7" t="s">
        <v>25</v>
      </c>
      <c r="E201" s="61">
        <f t="shared" si="46"/>
        <v>14077425</v>
      </c>
      <c r="G201" s="7">
        <f>1769607+20513434</f>
        <v>22283041</v>
      </c>
      <c r="I201" s="7">
        <v>0</v>
      </c>
      <c r="K201" s="7">
        <v>0</v>
      </c>
      <c r="M201" s="7">
        <v>36360466</v>
      </c>
      <c r="O201" s="7">
        <f t="shared" si="47"/>
        <v>7248569</v>
      </c>
      <c r="Q201" s="7">
        <v>13463290</v>
      </c>
      <c r="S201" s="7">
        <v>3332234</v>
      </c>
      <c r="U201" s="7">
        <f>17379625+3332234</f>
        <v>20711859</v>
      </c>
      <c r="W201" s="7">
        <v>6542222</v>
      </c>
      <c r="Y201" s="7">
        <f>4907039+457653+609402+637106+21033</f>
        <v>6632233</v>
      </c>
      <c r="AA201" s="7">
        <v>2474152</v>
      </c>
      <c r="AC201" s="7">
        <f t="shared" si="48"/>
        <v>15648607</v>
      </c>
      <c r="AF201" s="7">
        <f t="shared" si="49"/>
        <v>0</v>
      </c>
    </row>
    <row r="202" spans="1:32" ht="12.75" customHeight="1" x14ac:dyDescent="0.2">
      <c r="A202" s="7" t="s">
        <v>217</v>
      </c>
      <c r="C202" s="7" t="s">
        <v>197</v>
      </c>
      <c r="E202" s="61">
        <f t="shared" si="46"/>
        <v>3615189</v>
      </c>
      <c r="G202" s="7">
        <f>176486+5430270</f>
        <v>5606756</v>
      </c>
      <c r="I202" s="7">
        <v>0</v>
      </c>
      <c r="K202" s="7">
        <v>0</v>
      </c>
      <c r="M202" s="7">
        <v>9221945</v>
      </c>
      <c r="O202" s="7">
        <f t="shared" si="47"/>
        <v>1011843</v>
      </c>
      <c r="Q202" s="7">
        <v>843685</v>
      </c>
      <c r="S202" s="7">
        <v>517492</v>
      </c>
      <c r="U202" s="7">
        <f>1338036+517492</f>
        <v>1855528</v>
      </c>
      <c r="W202" s="7">
        <v>4730623</v>
      </c>
      <c r="Y202" s="7">
        <f>19368+479768+749174+328519</f>
        <v>1576829</v>
      </c>
      <c r="AA202" s="7">
        <v>1058965</v>
      </c>
      <c r="AC202" s="7">
        <f t="shared" si="48"/>
        <v>7366417</v>
      </c>
      <c r="AF202" s="7">
        <f t="shared" si="49"/>
        <v>0</v>
      </c>
    </row>
    <row r="203" spans="1:32" ht="12.75" customHeight="1" x14ac:dyDescent="0.2">
      <c r="A203" s="7" t="s">
        <v>218</v>
      </c>
      <c r="C203" s="7" t="s">
        <v>64</v>
      </c>
      <c r="E203" s="61">
        <f t="shared" si="46"/>
        <v>15396198</v>
      </c>
      <c r="G203" s="7">
        <f>2943411+7103229</f>
        <v>10046640</v>
      </c>
      <c r="I203" s="7">
        <v>0</v>
      </c>
      <c r="K203" s="7">
        <v>0</v>
      </c>
      <c r="M203" s="7">
        <v>25442838</v>
      </c>
      <c r="O203" s="7">
        <f t="shared" si="47"/>
        <v>3355336</v>
      </c>
      <c r="Q203" s="7">
        <v>1499168</v>
      </c>
      <c r="S203" s="7">
        <v>1966329</v>
      </c>
      <c r="U203" s="7">
        <f>2888175+1966329</f>
        <v>4854504</v>
      </c>
      <c r="W203" s="7">
        <v>8304834</v>
      </c>
      <c r="Y203" s="7">
        <f>57531+1050324+1649511+231732+191423</f>
        <v>3180521</v>
      </c>
      <c r="AA203" s="7">
        <v>9102979</v>
      </c>
      <c r="AC203" s="7">
        <f t="shared" si="48"/>
        <v>20588334</v>
      </c>
      <c r="AF203" s="7">
        <f t="shared" si="49"/>
        <v>0</v>
      </c>
    </row>
    <row r="204" spans="1:32" ht="12.75" customHeight="1" x14ac:dyDescent="0.2">
      <c r="A204" s="7" t="s">
        <v>219</v>
      </c>
      <c r="C204" s="7" t="s">
        <v>25</v>
      </c>
      <c r="E204" s="61">
        <f t="shared" si="46"/>
        <v>24752040</v>
      </c>
      <c r="G204" s="7">
        <f>10028984+42359692</f>
        <v>52388676</v>
      </c>
      <c r="I204" s="7">
        <v>0</v>
      </c>
      <c r="K204" s="7">
        <v>92666</v>
      </c>
      <c r="M204" s="7">
        <v>77233382</v>
      </c>
      <c r="O204" s="7">
        <f t="shared" si="47"/>
        <v>10320273</v>
      </c>
      <c r="Q204" s="7">
        <v>21711816</v>
      </c>
      <c r="S204" s="7">
        <v>0</v>
      </c>
      <c r="U204" s="7">
        <v>32032089</v>
      </c>
      <c r="W204" s="7">
        <v>33293005</v>
      </c>
      <c r="Y204" s="7">
        <f>45201293-33293005-2360231</f>
        <v>9548057</v>
      </c>
      <c r="AA204" s="7">
        <v>2360231</v>
      </c>
      <c r="AC204" s="7">
        <f t="shared" si="48"/>
        <v>45201293</v>
      </c>
      <c r="AF204" s="7">
        <f t="shared" si="49"/>
        <v>0</v>
      </c>
    </row>
    <row r="205" spans="1:32" ht="12.75" customHeight="1" x14ac:dyDescent="0.2">
      <c r="A205" s="7" t="s">
        <v>220</v>
      </c>
      <c r="C205" s="7" t="s">
        <v>45</v>
      </c>
      <c r="E205" s="61">
        <f t="shared" si="46"/>
        <v>14076095</v>
      </c>
      <c r="G205" s="7">
        <f>451937+4574559</f>
        <v>5026496</v>
      </c>
      <c r="I205" s="7">
        <v>91368</v>
      </c>
      <c r="K205" s="7">
        <v>0</v>
      </c>
      <c r="M205" s="7">
        <f>19011223+91368</f>
        <v>19102591</v>
      </c>
      <c r="O205" s="7">
        <f t="shared" si="47"/>
        <v>2699229</v>
      </c>
      <c r="Q205" s="7">
        <v>3488945</v>
      </c>
      <c r="S205" s="7">
        <v>1877582</v>
      </c>
      <c r="U205" s="7">
        <f>4310592+1877582</f>
        <v>6188174</v>
      </c>
      <c r="W205" s="7">
        <v>1674067</v>
      </c>
      <c r="Y205" s="7">
        <f>12914417-1674067-5898462</f>
        <v>5341888</v>
      </c>
      <c r="AA205" s="7">
        <v>5898462</v>
      </c>
      <c r="AC205" s="7">
        <f t="shared" si="48"/>
        <v>12914417</v>
      </c>
      <c r="AF205" s="7">
        <f t="shared" si="49"/>
        <v>0</v>
      </c>
    </row>
    <row r="206" spans="1:32" ht="12.75" customHeight="1" x14ac:dyDescent="0.2">
      <c r="A206" s="7" t="s">
        <v>221</v>
      </c>
      <c r="C206" s="7" t="s">
        <v>92</v>
      </c>
      <c r="E206" s="61">
        <f t="shared" si="46"/>
        <v>7394193</v>
      </c>
      <c r="G206" s="7">
        <f>4675926+12297864</f>
        <v>16973790</v>
      </c>
      <c r="I206" s="7">
        <v>0</v>
      </c>
      <c r="K206" s="7">
        <v>0</v>
      </c>
      <c r="M206" s="7">
        <v>24367983</v>
      </c>
      <c r="O206" s="7">
        <f t="shared" si="47"/>
        <v>4031539</v>
      </c>
      <c r="Q206" s="7">
        <v>3119825</v>
      </c>
      <c r="S206" s="7">
        <v>1087369</v>
      </c>
      <c r="U206" s="7">
        <f>6063995+1087369</f>
        <v>7151364</v>
      </c>
      <c r="W206" s="7">
        <v>12937078</v>
      </c>
      <c r="Y206" s="7">
        <f>508866+354637+291446+222359+600043+48977</f>
        <v>2026328</v>
      </c>
      <c r="AA206" s="7">
        <v>2253213</v>
      </c>
      <c r="AC206" s="7">
        <f t="shared" si="48"/>
        <v>17216619</v>
      </c>
      <c r="AF206" s="7">
        <f t="shared" si="49"/>
        <v>0</v>
      </c>
    </row>
    <row r="207" spans="1:32" ht="12.75" customHeight="1" x14ac:dyDescent="0.2">
      <c r="A207" s="7" t="s">
        <v>74</v>
      </c>
      <c r="B207" s="7"/>
      <c r="C207" s="7" t="s">
        <v>130</v>
      </c>
      <c r="D207" s="7"/>
      <c r="E207" s="61">
        <f t="shared" si="46"/>
        <v>25923253</v>
      </c>
      <c r="G207" s="7">
        <f>11927741+38428959</f>
        <v>50356700</v>
      </c>
      <c r="I207" s="7">
        <v>665126</v>
      </c>
      <c r="K207" s="7">
        <v>0</v>
      </c>
      <c r="M207" s="7">
        <f>75614827+665126</f>
        <v>76279953</v>
      </c>
      <c r="O207" s="7">
        <f t="shared" si="47"/>
        <v>12333079</v>
      </c>
      <c r="Q207" s="7">
        <v>18327334</v>
      </c>
      <c r="S207" s="7">
        <v>2820249</v>
      </c>
      <c r="U207" s="7">
        <f>27840164+2820249</f>
        <v>30660413</v>
      </c>
      <c r="W207" s="7">
        <v>35766495</v>
      </c>
      <c r="Y207" s="7">
        <f>45619540-35766495--1405726</f>
        <v>11258771</v>
      </c>
      <c r="AA207" s="7">
        <v>-1405726</v>
      </c>
      <c r="AC207" s="7">
        <f t="shared" si="48"/>
        <v>45619540</v>
      </c>
      <c r="AF207" s="7">
        <f t="shared" si="49"/>
        <v>0</v>
      </c>
    </row>
    <row r="208" spans="1:32" ht="12.75" customHeight="1" x14ac:dyDescent="0.2">
      <c r="A208" s="7" t="s">
        <v>222</v>
      </c>
      <c r="C208" s="7" t="s">
        <v>25</v>
      </c>
      <c r="E208" s="61">
        <f t="shared" ref="E208" si="50">+M208-G208-K208</f>
        <v>14656779</v>
      </c>
      <c r="G208" s="7">
        <f>4330691+18267482</f>
        <v>22598173</v>
      </c>
      <c r="I208" s="7">
        <v>965039</v>
      </c>
      <c r="K208" s="7">
        <v>0</v>
      </c>
      <c r="M208" s="7">
        <f>36289913+965039</f>
        <v>37254952</v>
      </c>
      <c r="O208" s="7">
        <f t="shared" ref="O208" si="51">+U208-Q208</f>
        <v>5696473</v>
      </c>
      <c r="Q208" s="7">
        <v>16627295</v>
      </c>
      <c r="S208" s="7">
        <v>2517977</v>
      </c>
      <c r="U208" s="7">
        <f>19805791+2517977</f>
        <v>22323768</v>
      </c>
      <c r="W208" s="7">
        <v>6748122</v>
      </c>
      <c r="Y208" s="7">
        <f>14931184-6748122-3331668</f>
        <v>4851394</v>
      </c>
      <c r="AA208" s="7">
        <v>3331668</v>
      </c>
      <c r="AC208" s="7">
        <f t="shared" ref="AC208" si="52">W208+Y208+AA208</f>
        <v>14931184</v>
      </c>
      <c r="AF208" s="7">
        <f t="shared" si="49"/>
        <v>0</v>
      </c>
    </row>
    <row r="209" spans="1:32" ht="12.75" customHeight="1" x14ac:dyDescent="0.2">
      <c r="A209" s="7" t="s">
        <v>223</v>
      </c>
      <c r="B209" s="7"/>
      <c r="C209" s="7" t="s">
        <v>25</v>
      </c>
      <c r="D209" s="7"/>
      <c r="E209" s="61">
        <f t="shared" ref="E209:E216" si="53">+M209-G209-K209</f>
        <v>58808735</v>
      </c>
      <c r="G209" s="7">
        <f>21058236+64836742</f>
        <v>85894978</v>
      </c>
      <c r="I209" s="7">
        <v>0</v>
      </c>
      <c r="K209" s="7">
        <v>0</v>
      </c>
      <c r="M209" s="7">
        <v>144703713</v>
      </c>
      <c r="O209" s="7">
        <f t="shared" ref="O209" si="54">+U209-Q209</f>
        <v>14017074</v>
      </c>
      <c r="Q209" s="7">
        <v>27392711</v>
      </c>
      <c r="S209" s="7">
        <v>0</v>
      </c>
      <c r="U209" s="7">
        <v>41409785</v>
      </c>
      <c r="W209" s="7">
        <v>64688653</v>
      </c>
      <c r="Y209" s="7">
        <f>103293928-64688653-22894998</f>
        <v>15710277</v>
      </c>
      <c r="AA209" s="7">
        <v>22894998</v>
      </c>
      <c r="AC209" s="7">
        <f t="shared" ref="AC209:AC216" si="55">W209+Y209+AA209</f>
        <v>103293928</v>
      </c>
      <c r="AF209" s="7">
        <f t="shared" si="49"/>
        <v>0</v>
      </c>
    </row>
    <row r="210" spans="1:32" ht="12.75" customHeight="1" x14ac:dyDescent="0.2">
      <c r="A210" s="7" t="s">
        <v>224</v>
      </c>
      <c r="C210" s="7" t="s">
        <v>43</v>
      </c>
      <c r="E210" s="61">
        <f t="shared" si="53"/>
        <v>22940738</v>
      </c>
      <c r="G210" s="7">
        <f>10323726+26003611</f>
        <v>36327337</v>
      </c>
      <c r="I210" s="7">
        <v>65262</v>
      </c>
      <c r="K210" s="7">
        <v>0</v>
      </c>
      <c r="M210" s="7">
        <f>59202813+65262</f>
        <v>59268075</v>
      </c>
      <c r="O210" s="7">
        <f t="shared" ref="O210:O216" si="56">+U210-Q210</f>
        <v>8154336</v>
      </c>
      <c r="Q210" s="7">
        <v>9867461</v>
      </c>
      <c r="S210" s="7">
        <v>558478</v>
      </c>
      <c r="U210" s="7">
        <f>17463319+558478</f>
        <v>18021797</v>
      </c>
      <c r="W210" s="7">
        <v>23538956</v>
      </c>
      <c r="Y210" s="7">
        <f>4864739+2133386+2574648+2144867+3338</f>
        <v>11720978</v>
      </c>
      <c r="AA210" s="7">
        <v>5986344</v>
      </c>
      <c r="AC210" s="7">
        <f t="shared" si="55"/>
        <v>41246278</v>
      </c>
      <c r="AF210" s="7">
        <f t="shared" si="49"/>
        <v>0</v>
      </c>
    </row>
    <row r="211" spans="1:32" s="9" customFormat="1" ht="12.75" customHeight="1" x14ac:dyDescent="0.2">
      <c r="A211" s="9" t="s">
        <v>225</v>
      </c>
      <c r="C211" s="9" t="s">
        <v>15</v>
      </c>
      <c r="E211" s="61">
        <f t="shared" si="53"/>
        <v>8751944</v>
      </c>
      <c r="F211" s="7"/>
      <c r="G211" s="7">
        <f>484539+12986191</f>
        <v>13470730</v>
      </c>
      <c r="H211" s="7"/>
      <c r="I211" s="7">
        <v>0</v>
      </c>
      <c r="J211" s="7"/>
      <c r="K211" s="7">
        <v>0</v>
      </c>
      <c r="L211" s="7"/>
      <c r="M211" s="7">
        <v>22222674</v>
      </c>
      <c r="N211" s="7"/>
      <c r="O211" s="7">
        <f t="shared" si="56"/>
        <v>5325157</v>
      </c>
      <c r="P211" s="7"/>
      <c r="Q211" s="7">
        <v>2187607</v>
      </c>
      <c r="R211" s="7"/>
      <c r="S211" s="7">
        <v>0</v>
      </c>
      <c r="T211" s="7"/>
      <c r="U211" s="7">
        <v>7512764</v>
      </c>
      <c r="V211" s="7"/>
      <c r="W211" s="7">
        <v>11259942</v>
      </c>
      <c r="X211" s="7"/>
      <c r="Y211" s="7">
        <f>14709910-11259942-1447994</f>
        <v>2001974</v>
      </c>
      <c r="Z211" s="7"/>
      <c r="AA211" s="7">
        <v>1447994</v>
      </c>
      <c r="AB211" s="7"/>
      <c r="AC211" s="7">
        <f t="shared" si="55"/>
        <v>14709910</v>
      </c>
      <c r="AD211" s="7"/>
      <c r="AE211" s="7"/>
      <c r="AF211" s="7">
        <f t="shared" si="49"/>
        <v>0</v>
      </c>
    </row>
    <row r="212" spans="1:32" ht="12.75" customHeight="1" x14ac:dyDescent="0.2">
      <c r="A212" s="7" t="s">
        <v>226</v>
      </c>
      <c r="C212" s="7" t="s">
        <v>151</v>
      </c>
      <c r="E212" s="61">
        <f t="shared" si="53"/>
        <v>11763008</v>
      </c>
      <c r="G212" s="7">
        <f>764792+16908029</f>
        <v>17672821</v>
      </c>
      <c r="I212" s="7">
        <v>0</v>
      </c>
      <c r="K212" s="7">
        <v>218451</v>
      </c>
      <c r="M212" s="7">
        <v>29654280</v>
      </c>
      <c r="O212" s="7">
        <f t="shared" si="56"/>
        <v>1437241</v>
      </c>
      <c r="Q212" s="7">
        <v>6968296</v>
      </c>
      <c r="S212" s="7">
        <v>0</v>
      </c>
      <c r="U212" s="7">
        <v>8405537</v>
      </c>
      <c r="W212" s="7">
        <v>16186380</v>
      </c>
      <c r="Y212" s="7">
        <f>21248743-16186380-1217611</f>
        <v>3844752</v>
      </c>
      <c r="AA212" s="7">
        <v>1217611</v>
      </c>
      <c r="AC212" s="7">
        <f t="shared" si="55"/>
        <v>21248743</v>
      </c>
      <c r="AF212" s="7">
        <f t="shared" si="49"/>
        <v>0</v>
      </c>
    </row>
    <row r="213" spans="1:32" ht="12.75" customHeight="1" x14ac:dyDescent="0.2">
      <c r="A213" s="7" t="s">
        <v>227</v>
      </c>
      <c r="C213" s="7" t="s">
        <v>226</v>
      </c>
      <c r="E213" s="61">
        <f t="shared" si="53"/>
        <v>17526876</v>
      </c>
      <c r="G213" s="7">
        <f>7754862+2827687+42997658</f>
        <v>53580207</v>
      </c>
      <c r="I213" s="7">
        <v>0</v>
      </c>
      <c r="K213" s="7">
        <v>0</v>
      </c>
      <c r="M213" s="7">
        <v>71107083</v>
      </c>
      <c r="O213" s="7">
        <f t="shared" si="56"/>
        <v>5030428</v>
      </c>
      <c r="Q213" s="7">
        <v>8121298</v>
      </c>
      <c r="S213" s="7">
        <v>1813145</v>
      </c>
      <c r="U213" s="7">
        <f>11338581+1813145</f>
        <v>13151726</v>
      </c>
      <c r="W213" s="7">
        <v>46484983</v>
      </c>
      <c r="Y213" s="7">
        <f>57955357-46484983-9014089</f>
        <v>2456285</v>
      </c>
      <c r="AA213" s="7">
        <v>9014089</v>
      </c>
      <c r="AC213" s="7">
        <f t="shared" si="55"/>
        <v>57955357</v>
      </c>
      <c r="AF213" s="7">
        <f t="shared" si="49"/>
        <v>0</v>
      </c>
    </row>
    <row r="214" spans="1:32" ht="12.75" hidden="1" customHeight="1" x14ac:dyDescent="0.2">
      <c r="A214" s="7" t="s">
        <v>228</v>
      </c>
      <c r="C214" s="7" t="s">
        <v>43</v>
      </c>
      <c r="E214" s="61">
        <f t="shared" si="53"/>
        <v>0</v>
      </c>
      <c r="O214" s="7">
        <f t="shared" si="56"/>
        <v>0</v>
      </c>
      <c r="AC214" s="7">
        <f t="shared" si="55"/>
        <v>0</v>
      </c>
      <c r="AF214" s="7">
        <f t="shared" si="49"/>
        <v>0</v>
      </c>
    </row>
    <row r="215" spans="1:32" ht="12.75" customHeight="1" x14ac:dyDescent="0.2">
      <c r="A215" s="7" t="s">
        <v>229</v>
      </c>
      <c r="C215" s="7" t="s">
        <v>25</v>
      </c>
      <c r="E215" s="61">
        <f t="shared" si="53"/>
        <v>52346666</v>
      </c>
      <c r="G215" s="7">
        <f>10582593+121255503</f>
        <v>131838096</v>
      </c>
      <c r="I215" s="7">
        <v>0</v>
      </c>
      <c r="K215" s="7">
        <v>0</v>
      </c>
      <c r="M215" s="7">
        <v>184184762</v>
      </c>
      <c r="O215" s="7">
        <f t="shared" si="56"/>
        <v>9155258</v>
      </c>
      <c r="Q215" s="7">
        <v>10649974</v>
      </c>
      <c r="S215" s="7">
        <v>3552353</v>
      </c>
      <c r="U215" s="7">
        <f>16252879+3552353</f>
        <v>19805232</v>
      </c>
      <c r="W215" s="7">
        <v>131699509</v>
      </c>
      <c r="Y215" s="7">
        <f>164379530-131699509-15590196</f>
        <v>17089825</v>
      </c>
      <c r="AA215" s="7">
        <v>15590196</v>
      </c>
      <c r="AC215" s="7">
        <f t="shared" si="55"/>
        <v>164379530</v>
      </c>
      <c r="AF215" s="7">
        <f t="shared" si="49"/>
        <v>0</v>
      </c>
    </row>
    <row r="216" spans="1:32" ht="12.75" customHeight="1" x14ac:dyDescent="0.2">
      <c r="A216" s="7" t="s">
        <v>230</v>
      </c>
      <c r="C216" s="7" t="s">
        <v>25</v>
      </c>
      <c r="E216" s="61">
        <f t="shared" si="53"/>
        <v>26140089</v>
      </c>
      <c r="G216" s="7">
        <f>919007+44862292</f>
        <v>45781299</v>
      </c>
      <c r="I216" s="7">
        <v>68314</v>
      </c>
      <c r="K216" s="7">
        <v>0</v>
      </c>
      <c r="M216" s="7">
        <f>71853074+68314</f>
        <v>71921388</v>
      </c>
      <c r="O216" s="7">
        <f t="shared" si="56"/>
        <v>10994258</v>
      </c>
      <c r="Q216" s="7">
        <v>26028087</v>
      </c>
      <c r="S216" s="7">
        <v>3809081</v>
      </c>
      <c r="U216" s="7">
        <f>33213264+3809081</f>
        <v>37022345</v>
      </c>
      <c r="W216" s="7">
        <v>18625891</v>
      </c>
      <c r="Y216" s="7">
        <f>34899043-18625891-5414022</f>
        <v>10859130</v>
      </c>
      <c r="AA216" s="7">
        <v>5414022</v>
      </c>
      <c r="AC216" s="7">
        <f t="shared" si="55"/>
        <v>34899043</v>
      </c>
      <c r="AF216" s="7">
        <f t="shared" si="49"/>
        <v>0</v>
      </c>
    </row>
    <row r="217" spans="1:32" ht="12.75" customHeight="1" x14ac:dyDescent="0.2">
      <c r="A217" s="7" t="s">
        <v>231</v>
      </c>
      <c r="C217" s="7" t="s">
        <v>109</v>
      </c>
      <c r="E217" s="61">
        <f t="shared" ref="E217:E272" si="57">+M217-G217-K217</f>
        <v>22390788</v>
      </c>
      <c r="G217" s="7">
        <f>18636953+31616144</f>
        <v>50253097</v>
      </c>
      <c r="I217" s="7">
        <v>0</v>
      </c>
      <c r="K217" s="7">
        <v>0</v>
      </c>
      <c r="M217" s="7">
        <v>72643885</v>
      </c>
      <c r="O217" s="7">
        <f t="shared" ref="O217:O272" si="58">+U217-Q217</f>
        <v>5791566</v>
      </c>
      <c r="Q217" s="7">
        <v>12077455</v>
      </c>
      <c r="S217" s="7">
        <v>724491</v>
      </c>
      <c r="U217" s="7">
        <f>17144530+724491</f>
        <v>17869021</v>
      </c>
      <c r="W217" s="7">
        <v>39980429</v>
      </c>
      <c r="Y217" s="7">
        <f>5588621+2589850+199472+1298711+370478</f>
        <v>10047132</v>
      </c>
      <c r="AA217" s="7">
        <v>4747303</v>
      </c>
      <c r="AC217" s="7">
        <f t="shared" ref="AC217:AC272" si="59">W217+Y217+AA217</f>
        <v>54774864</v>
      </c>
      <c r="AF217" s="7">
        <f t="shared" si="45"/>
        <v>0</v>
      </c>
    </row>
    <row r="218" spans="1:32" ht="12.75" customHeight="1" x14ac:dyDescent="0.2">
      <c r="A218" s="7" t="s">
        <v>232</v>
      </c>
      <c r="C218" s="7" t="s">
        <v>43</v>
      </c>
      <c r="E218" s="61">
        <f t="shared" si="57"/>
        <v>13752519</v>
      </c>
      <c r="G218" s="7">
        <f>3789069+39921835</f>
        <v>43710904</v>
      </c>
      <c r="I218" s="7">
        <v>0</v>
      </c>
      <c r="K218" s="7">
        <v>0</v>
      </c>
      <c r="M218" s="7">
        <v>57463423</v>
      </c>
      <c r="O218" s="7">
        <f t="shared" si="58"/>
        <v>3816414</v>
      </c>
      <c r="Q218" s="7">
        <v>4521992</v>
      </c>
      <c r="S218" s="7">
        <v>0</v>
      </c>
      <c r="U218" s="7">
        <v>8338406</v>
      </c>
      <c r="W218" s="7">
        <v>39189433</v>
      </c>
      <c r="Y218" s="7">
        <f>686213+794548+169814</f>
        <v>1650575</v>
      </c>
      <c r="AA218" s="7">
        <v>8285009</v>
      </c>
      <c r="AC218" s="7">
        <f t="shared" si="59"/>
        <v>49125017</v>
      </c>
      <c r="AF218" s="7">
        <f t="shared" si="45"/>
        <v>0</v>
      </c>
    </row>
    <row r="219" spans="1:32" ht="12.75" customHeight="1" x14ac:dyDescent="0.2">
      <c r="A219" s="7" t="s">
        <v>233</v>
      </c>
      <c r="C219" s="7" t="s">
        <v>181</v>
      </c>
      <c r="E219" s="61">
        <f t="shared" si="57"/>
        <v>55161855</v>
      </c>
      <c r="G219" s="7">
        <f>10875165+4951439+60615457</f>
        <v>76442061</v>
      </c>
      <c r="I219" s="7">
        <v>48688</v>
      </c>
      <c r="K219" s="7">
        <v>0</v>
      </c>
      <c r="M219" s="7">
        <f>131555228+48688</f>
        <v>131603916</v>
      </c>
      <c r="O219" s="7">
        <f t="shared" si="58"/>
        <v>10721485</v>
      </c>
      <c r="Q219" s="7">
        <v>15951639</v>
      </c>
      <c r="S219" s="7">
        <v>3049025</v>
      </c>
      <c r="U219" s="7">
        <f>23624099+3049025</f>
        <v>26673124</v>
      </c>
      <c r="W219" s="7">
        <v>69926410</v>
      </c>
      <c r="Y219" s="7">
        <f>18423989+4172560+5264945+386953</f>
        <v>28248447</v>
      </c>
      <c r="AA219" s="7">
        <v>6755935</v>
      </c>
      <c r="AC219" s="7">
        <f t="shared" si="59"/>
        <v>104930792</v>
      </c>
      <c r="AF219" s="7">
        <f t="shared" si="45"/>
        <v>0</v>
      </c>
    </row>
    <row r="220" spans="1:32" ht="12.75" hidden="1" customHeight="1" x14ac:dyDescent="0.2">
      <c r="A220" s="7" t="s">
        <v>234</v>
      </c>
      <c r="C220" s="7" t="s">
        <v>43</v>
      </c>
      <c r="E220" s="61">
        <f t="shared" si="57"/>
        <v>8531148</v>
      </c>
      <c r="G220" s="7">
        <f>6983866+16999526</f>
        <v>23983392</v>
      </c>
      <c r="K220" s="7">
        <v>0</v>
      </c>
      <c r="M220" s="7">
        <v>32514540</v>
      </c>
      <c r="O220" s="7">
        <f t="shared" si="58"/>
        <v>3159587</v>
      </c>
      <c r="Q220" s="7">
        <v>6120949</v>
      </c>
      <c r="U220" s="7">
        <v>9280536</v>
      </c>
      <c r="W220" s="7">
        <v>19391994</v>
      </c>
      <c r="Y220" s="7">
        <f>1169022+1149861</f>
        <v>2318883</v>
      </c>
      <c r="AA220" s="7">
        <v>1523127</v>
      </c>
      <c r="AC220" s="7">
        <f t="shared" si="59"/>
        <v>23234004</v>
      </c>
      <c r="AF220" s="7">
        <f t="shared" si="45"/>
        <v>0</v>
      </c>
    </row>
    <row r="221" spans="1:32" ht="12.75" hidden="1" customHeight="1" x14ac:dyDescent="0.2">
      <c r="A221" s="7" t="s">
        <v>235</v>
      </c>
      <c r="C221" s="7" t="s">
        <v>31</v>
      </c>
      <c r="E221" s="61">
        <f t="shared" si="57"/>
        <v>3176160</v>
      </c>
      <c r="G221" s="7">
        <f>1271438+6529307</f>
        <v>7800745</v>
      </c>
      <c r="K221" s="7">
        <v>0</v>
      </c>
      <c r="M221" s="7">
        <v>10976905</v>
      </c>
      <c r="O221" s="7">
        <f t="shared" si="58"/>
        <v>1062627</v>
      </c>
      <c r="Q221" s="7">
        <v>1184630</v>
      </c>
      <c r="U221" s="7">
        <v>2247257</v>
      </c>
      <c r="W221" s="7">
        <v>6560890</v>
      </c>
      <c r="Y221" s="7">
        <f>163523+1442204</f>
        <v>1605727</v>
      </c>
      <c r="AA221" s="7">
        <v>563031</v>
      </c>
      <c r="AC221" s="7">
        <f t="shared" si="59"/>
        <v>8729648</v>
      </c>
      <c r="AF221" s="7">
        <f t="shared" si="45"/>
        <v>0</v>
      </c>
    </row>
    <row r="222" spans="1:32" ht="12.75" customHeight="1" x14ac:dyDescent="0.2">
      <c r="A222" s="7" t="s">
        <v>236</v>
      </c>
      <c r="C222" s="7" t="s">
        <v>237</v>
      </c>
      <c r="E222" s="61">
        <f t="shared" si="57"/>
        <v>14567388</v>
      </c>
      <c r="G222" s="7">
        <v>18999996</v>
      </c>
      <c r="I222" s="7">
        <v>0</v>
      </c>
      <c r="K222" s="7">
        <v>0</v>
      </c>
      <c r="M222" s="7">
        <v>33567384</v>
      </c>
      <c r="O222" s="7">
        <f t="shared" si="58"/>
        <v>906108</v>
      </c>
      <c r="Q222" s="7">
        <v>333457</v>
      </c>
      <c r="S222" s="7">
        <v>366344</v>
      </c>
      <c r="U222" s="7">
        <f>873221+366344</f>
        <v>1239565</v>
      </c>
      <c r="W222" s="7">
        <v>18969996</v>
      </c>
      <c r="Y222" s="7">
        <f>3654836+22287+1384922+2101833+20597</f>
        <v>7184475</v>
      </c>
      <c r="AA222" s="7">
        <v>6173348</v>
      </c>
      <c r="AC222" s="7">
        <f t="shared" si="59"/>
        <v>32327819</v>
      </c>
      <c r="AF222" s="7">
        <f t="shared" si="45"/>
        <v>0</v>
      </c>
    </row>
    <row r="223" spans="1:32" ht="12.75" customHeight="1" x14ac:dyDescent="0.2">
      <c r="A223" s="7" t="s">
        <v>480</v>
      </c>
      <c r="C223" s="7" t="s">
        <v>247</v>
      </c>
      <c r="E223" s="61">
        <f t="shared" si="57"/>
        <v>13708119</v>
      </c>
      <c r="G223" s="7">
        <f>761773+34241486</f>
        <v>35003259</v>
      </c>
      <c r="I223" s="7">
        <v>0</v>
      </c>
      <c r="K223" s="7">
        <v>0</v>
      </c>
      <c r="M223" s="7">
        <v>48711378</v>
      </c>
      <c r="O223" s="7">
        <f t="shared" si="58"/>
        <v>3152828</v>
      </c>
      <c r="Q223" s="7">
        <v>7328418</v>
      </c>
      <c r="S223" s="7">
        <v>1219624</v>
      </c>
      <c r="U223" s="7">
        <f>9261622+1219624</f>
        <v>10481246</v>
      </c>
      <c r="W223" s="7">
        <v>30670862</v>
      </c>
      <c r="Y223" s="7">
        <f>38230132-30670862-4492295</f>
        <v>3066975</v>
      </c>
      <c r="AA223" s="7">
        <v>4492295</v>
      </c>
      <c r="AC223" s="7">
        <f t="shared" si="59"/>
        <v>38230132</v>
      </c>
      <c r="AF223" s="7">
        <f>+M223-U223-AC223</f>
        <v>0</v>
      </c>
    </row>
    <row r="224" spans="1:32" ht="12.75" customHeight="1" x14ac:dyDescent="0.2">
      <c r="A224" s="7" t="s">
        <v>238</v>
      </c>
      <c r="C224" s="7" t="s">
        <v>11</v>
      </c>
      <c r="E224" s="61">
        <f t="shared" si="57"/>
        <v>26074814</v>
      </c>
      <c r="G224" s="7">
        <v>64212384</v>
      </c>
      <c r="I224" s="7">
        <v>197701</v>
      </c>
      <c r="K224" s="7">
        <v>0</v>
      </c>
      <c r="M224" s="7">
        <v>90287198</v>
      </c>
      <c r="O224" s="7">
        <f t="shared" si="58"/>
        <v>12491633</v>
      </c>
      <c r="Q224" s="7">
        <v>23368708</v>
      </c>
      <c r="S224" s="7">
        <v>6634278</v>
      </c>
      <c r="U224" s="7">
        <v>35860341</v>
      </c>
      <c r="W224" s="7">
        <v>42370606</v>
      </c>
      <c r="Y224" s="7">
        <f>54426857-42370606-5733071</f>
        <v>6323180</v>
      </c>
      <c r="AA224" s="7">
        <v>5733071</v>
      </c>
      <c r="AC224" s="7">
        <f t="shared" si="59"/>
        <v>54426857</v>
      </c>
      <c r="AF224" s="7">
        <f t="shared" si="45"/>
        <v>0</v>
      </c>
    </row>
    <row r="225" spans="1:35" ht="12.75" customHeight="1" x14ac:dyDescent="0.2">
      <c r="A225" s="7" t="s">
        <v>239</v>
      </c>
      <c r="C225" s="7" t="s">
        <v>20</v>
      </c>
      <c r="E225" s="61">
        <f t="shared" si="57"/>
        <v>11646078</v>
      </c>
      <c r="G225" s="7">
        <f>1908840+13007709</f>
        <v>14916549</v>
      </c>
      <c r="I225" s="7">
        <v>51479</v>
      </c>
      <c r="K225" s="7">
        <v>0</v>
      </c>
      <c r="M225" s="7">
        <f>26511148+51479</f>
        <v>26562627</v>
      </c>
      <c r="O225" s="7">
        <f t="shared" si="58"/>
        <v>3039957</v>
      </c>
      <c r="Q225" s="7">
        <v>7589698</v>
      </c>
      <c r="S225" s="7">
        <v>1243069</v>
      </c>
      <c r="U225" s="7">
        <f>9386586+1243069</f>
        <v>10629655</v>
      </c>
      <c r="W225" s="7">
        <v>12492406</v>
      </c>
      <c r="Y225" s="7">
        <f>15932972-12492406-1555766</f>
        <v>1884800</v>
      </c>
      <c r="AA225" s="7">
        <v>1555766</v>
      </c>
      <c r="AC225" s="7">
        <f t="shared" si="59"/>
        <v>15932972</v>
      </c>
      <c r="AF225" s="7">
        <f t="shared" si="45"/>
        <v>0</v>
      </c>
    </row>
    <row r="226" spans="1:35" ht="12.75" customHeight="1" x14ac:dyDescent="0.2">
      <c r="A226" s="7" t="s">
        <v>240</v>
      </c>
      <c r="C226" s="7" t="s">
        <v>25</v>
      </c>
      <c r="E226" s="61">
        <f t="shared" si="57"/>
        <v>46116955</v>
      </c>
      <c r="G226" s="7">
        <f>12959173+170833539</f>
        <v>183792712</v>
      </c>
      <c r="I226" s="7">
        <v>386381</v>
      </c>
      <c r="K226" s="7">
        <v>0</v>
      </c>
      <c r="M226" s="7">
        <f>229523286+386381</f>
        <v>229909667</v>
      </c>
      <c r="O226" s="7">
        <f t="shared" si="58"/>
        <v>21343123</v>
      </c>
      <c r="Q226" s="7">
        <v>49899835</v>
      </c>
      <c r="S226" s="7">
        <v>9511241</v>
      </c>
      <c r="U226" s="7">
        <f>61731717+9511241</f>
        <v>71242958</v>
      </c>
      <c r="W226" s="7">
        <v>132674654</v>
      </c>
      <c r="Y226" s="7">
        <f>158666709-132674654-13679441</f>
        <v>12312614</v>
      </c>
      <c r="AA226" s="7">
        <v>13679441</v>
      </c>
      <c r="AC226" s="7">
        <f t="shared" si="59"/>
        <v>158666709</v>
      </c>
      <c r="AF226" s="7">
        <f t="shared" si="45"/>
        <v>0</v>
      </c>
    </row>
    <row r="227" spans="1:35" ht="12.75" customHeight="1" x14ac:dyDescent="0.2">
      <c r="A227" s="7" t="s">
        <v>510</v>
      </c>
      <c r="C227" s="7" t="s">
        <v>59</v>
      </c>
      <c r="E227" s="61">
        <v>728013</v>
      </c>
      <c r="G227" s="7">
        <v>0</v>
      </c>
      <c r="I227" s="7">
        <v>0</v>
      </c>
      <c r="K227" s="7">
        <v>0</v>
      </c>
      <c r="M227" s="7">
        <v>728013</v>
      </c>
      <c r="O227" s="7">
        <v>0</v>
      </c>
      <c r="Q227" s="7">
        <v>0</v>
      </c>
      <c r="S227" s="7">
        <v>0</v>
      </c>
      <c r="U227" s="7">
        <v>0</v>
      </c>
      <c r="W227" s="7">
        <v>0</v>
      </c>
      <c r="Y227" s="7">
        <f>102468+10863+14278+27369+52323+25383+1871</f>
        <v>234555</v>
      </c>
      <c r="AA227" s="7">
        <v>493458</v>
      </c>
      <c r="AC227" s="7">
        <f t="shared" ref="AC227" si="60">W227+Y227+AA227</f>
        <v>728013</v>
      </c>
      <c r="AF227" s="7">
        <f t="shared" ref="AF227" si="61">+M227-U227-AC227</f>
        <v>0</v>
      </c>
    </row>
    <row r="228" spans="1:35" ht="12.75" customHeight="1" x14ac:dyDescent="0.2">
      <c r="A228" s="7" t="s">
        <v>241</v>
      </c>
      <c r="C228" s="7" t="s">
        <v>161</v>
      </c>
      <c r="E228" s="61">
        <f t="shared" si="57"/>
        <v>26306744</v>
      </c>
      <c r="G228" s="7">
        <f>9867881+27024268</f>
        <v>36892149</v>
      </c>
      <c r="I228" s="7">
        <v>73033</v>
      </c>
      <c r="K228" s="7">
        <v>0</v>
      </c>
      <c r="M228" s="7">
        <f>63125860+73033</f>
        <v>63198893</v>
      </c>
      <c r="O228" s="7">
        <f t="shared" si="58"/>
        <v>4694961</v>
      </c>
      <c r="Q228" s="7">
        <v>21920550</v>
      </c>
      <c r="S228" s="7">
        <v>2018426</v>
      </c>
      <c r="U228" s="7">
        <f>24597085+2018426</f>
        <v>26615511</v>
      </c>
      <c r="W228" s="7">
        <v>14718466</v>
      </c>
      <c r="Y228" s="7">
        <f>322420+15380+1939711</f>
        <v>2277511</v>
      </c>
      <c r="AA228" s="7">
        <v>19587405</v>
      </c>
      <c r="AC228" s="7">
        <f t="shared" si="59"/>
        <v>36583382</v>
      </c>
      <c r="AF228" s="7">
        <f t="shared" ref="AF228" si="62">+M228-U228-AC228</f>
        <v>0</v>
      </c>
    </row>
    <row r="229" spans="1:35" ht="12.75" customHeight="1" x14ac:dyDescent="0.2">
      <c r="A229" s="7" t="s">
        <v>242</v>
      </c>
      <c r="C229" s="7" t="s">
        <v>11</v>
      </c>
      <c r="E229" s="61">
        <f t="shared" si="57"/>
        <v>14128567</v>
      </c>
      <c r="G229" s="7">
        <f>3057643+23932013</f>
        <v>26989656</v>
      </c>
      <c r="I229" s="7">
        <v>47626</v>
      </c>
      <c r="K229" s="7">
        <v>0</v>
      </c>
      <c r="M229" s="7">
        <v>41118223</v>
      </c>
      <c r="O229" s="7">
        <f t="shared" si="58"/>
        <v>4300565</v>
      </c>
      <c r="Q229" s="7">
        <v>10057514</v>
      </c>
      <c r="S229" s="7">
        <v>2172357</v>
      </c>
      <c r="U229" s="7">
        <v>14358079</v>
      </c>
      <c r="W229" s="7">
        <v>17813396</v>
      </c>
      <c r="Y229" s="7">
        <f>26760144-17813396-6688846</f>
        <v>2257902</v>
      </c>
      <c r="AA229" s="7">
        <v>6688846</v>
      </c>
      <c r="AC229" s="7">
        <f t="shared" si="59"/>
        <v>26760144</v>
      </c>
      <c r="AF229" s="7">
        <f t="shared" ref="AF229:AF272" si="63">+M229-U229-AC229</f>
        <v>0</v>
      </c>
    </row>
    <row r="230" spans="1:35" ht="12.75" customHeight="1" x14ac:dyDescent="0.2">
      <c r="A230" s="7" t="s">
        <v>243</v>
      </c>
      <c r="C230" s="7" t="s">
        <v>108</v>
      </c>
      <c r="E230" s="61">
        <f t="shared" si="57"/>
        <v>10021553</v>
      </c>
      <c r="G230" s="7">
        <f>3133105+20092094</f>
        <v>23225199</v>
      </c>
      <c r="I230" s="7">
        <v>0</v>
      </c>
      <c r="K230" s="7">
        <v>0</v>
      </c>
      <c r="M230" s="7">
        <v>33246752</v>
      </c>
      <c r="O230" s="7">
        <f t="shared" si="58"/>
        <v>2341049</v>
      </c>
      <c r="Q230" s="7">
        <v>2811425</v>
      </c>
      <c r="S230" s="7">
        <v>1007662</v>
      </c>
      <c r="U230" s="7">
        <v>5152474</v>
      </c>
      <c r="W230" s="7">
        <v>20698296</v>
      </c>
      <c r="Y230" s="7">
        <f>28094278-20698296-4690054</f>
        <v>2705928</v>
      </c>
      <c r="AA230" s="7">
        <v>4690054</v>
      </c>
      <c r="AC230" s="7">
        <f t="shared" si="59"/>
        <v>28094278</v>
      </c>
      <c r="AF230" s="7">
        <f t="shared" si="63"/>
        <v>0</v>
      </c>
    </row>
    <row r="231" spans="1:35" ht="12.75" customHeight="1" x14ac:dyDescent="0.2">
      <c r="A231" s="7" t="s">
        <v>244</v>
      </c>
      <c r="C231" s="7" t="s">
        <v>207</v>
      </c>
      <c r="E231" s="61">
        <f t="shared" si="57"/>
        <v>12305483</v>
      </c>
      <c r="G231" s="7">
        <f>13564811+25197350</f>
        <v>38762161</v>
      </c>
      <c r="I231" s="7">
        <v>0</v>
      </c>
      <c r="K231" s="7">
        <v>0</v>
      </c>
      <c r="M231" s="7">
        <v>51067644</v>
      </c>
      <c r="O231" s="7">
        <f t="shared" si="58"/>
        <v>6438915</v>
      </c>
      <c r="Q231" s="7">
        <v>1765086</v>
      </c>
      <c r="S231" s="7">
        <v>326977</v>
      </c>
      <c r="U231" s="7">
        <f>7877024+326977</f>
        <v>8204001</v>
      </c>
      <c r="W231" s="7">
        <v>31966661</v>
      </c>
      <c r="Y231" s="7">
        <f>928240+883567+46357</f>
        <v>1858164</v>
      </c>
      <c r="AA231" s="7">
        <v>9038818</v>
      </c>
      <c r="AC231" s="7">
        <f t="shared" si="59"/>
        <v>42863643</v>
      </c>
      <c r="AF231" s="7">
        <f t="shared" si="63"/>
        <v>0</v>
      </c>
    </row>
    <row r="232" spans="1:35" ht="12.75" hidden="1" customHeight="1" x14ac:dyDescent="0.2">
      <c r="A232" s="7" t="s">
        <v>245</v>
      </c>
      <c r="C232" s="7" t="s">
        <v>161</v>
      </c>
      <c r="E232" s="61">
        <f t="shared" si="57"/>
        <v>229563000</v>
      </c>
      <c r="G232" s="7">
        <f>123917000+429619000</f>
        <v>553536000</v>
      </c>
      <c r="I232" s="7">
        <v>0</v>
      </c>
      <c r="K232" s="7">
        <v>0</v>
      </c>
      <c r="M232" s="7">
        <v>783099000</v>
      </c>
      <c r="O232" s="7">
        <f t="shared" si="58"/>
        <v>114124000</v>
      </c>
      <c r="Q232" s="7">
        <f>23885000+177311000</f>
        <v>201196000</v>
      </c>
      <c r="S232" s="7">
        <v>0</v>
      </c>
      <c r="U232" s="7">
        <v>315320000</v>
      </c>
      <c r="W232" s="7">
        <v>368093000</v>
      </c>
      <c r="Y232" s="7">
        <f>467779000-368093000-18429000</f>
        <v>81257000</v>
      </c>
      <c r="AA232" s="7">
        <v>18429000</v>
      </c>
      <c r="AC232" s="7">
        <f t="shared" si="59"/>
        <v>467779000</v>
      </c>
      <c r="AF232" s="7">
        <f>+M232-U232-AC232</f>
        <v>0</v>
      </c>
      <c r="AG232" s="10"/>
    </row>
    <row r="233" spans="1:35" ht="12.75" customHeight="1" x14ac:dyDescent="0.2">
      <c r="A233" s="7" t="s">
        <v>246</v>
      </c>
      <c r="C233" s="7" t="s">
        <v>247</v>
      </c>
      <c r="E233" s="61">
        <f t="shared" si="57"/>
        <v>4055744</v>
      </c>
      <c r="G233" s="7">
        <f>157500+3962456</f>
        <v>4119956</v>
      </c>
      <c r="I233" s="7">
        <v>0</v>
      </c>
      <c r="K233" s="7">
        <v>0</v>
      </c>
      <c r="M233" s="7">
        <v>8175700</v>
      </c>
      <c r="O233" s="7">
        <f t="shared" si="58"/>
        <v>329556</v>
      </c>
      <c r="Q233" s="7">
        <v>953180</v>
      </c>
      <c r="S233" s="7">
        <v>0</v>
      </c>
      <c r="U233" s="7">
        <v>1282736</v>
      </c>
      <c r="W233" s="7">
        <v>3393085</v>
      </c>
      <c r="Y233" s="7">
        <f>967248+1117376</f>
        <v>2084624</v>
      </c>
      <c r="AA233" s="7">
        <v>1415255</v>
      </c>
      <c r="AC233" s="7">
        <f t="shared" si="59"/>
        <v>6892964</v>
      </c>
      <c r="AF233" s="7">
        <f t="shared" si="63"/>
        <v>0</v>
      </c>
    </row>
    <row r="234" spans="1:35" ht="12.75" customHeight="1" x14ac:dyDescent="0.2">
      <c r="A234" s="7" t="s">
        <v>248</v>
      </c>
      <c r="C234" s="7" t="s">
        <v>101</v>
      </c>
      <c r="E234" s="61">
        <f t="shared" si="57"/>
        <v>5287363</v>
      </c>
      <c r="G234" s="7">
        <f>1687444+690477+2918214-2958120</f>
        <v>2338015</v>
      </c>
      <c r="I234" s="7">
        <v>0</v>
      </c>
      <c r="K234" s="7">
        <v>0</v>
      </c>
      <c r="M234" s="7">
        <v>7625378</v>
      </c>
      <c r="O234" s="7">
        <f t="shared" si="58"/>
        <v>1078090</v>
      </c>
      <c r="Q234" s="7">
        <v>148579</v>
      </c>
      <c r="S234" s="7">
        <v>0</v>
      </c>
      <c r="U234" s="7">
        <v>1226669</v>
      </c>
      <c r="W234" s="7">
        <v>2727579</v>
      </c>
      <c r="Y234" s="7">
        <f>714718+33729+173874+551067</f>
        <v>1473388</v>
      </c>
      <c r="AA234" s="7">
        <v>2197742</v>
      </c>
      <c r="AC234" s="7">
        <f t="shared" si="59"/>
        <v>6398709</v>
      </c>
      <c r="AF234" s="7">
        <f t="shared" si="63"/>
        <v>0</v>
      </c>
    </row>
    <row r="235" spans="1:35" ht="12.75" customHeight="1" x14ac:dyDescent="0.2">
      <c r="A235" s="7" t="s">
        <v>249</v>
      </c>
      <c r="C235" s="7" t="s">
        <v>64</v>
      </c>
      <c r="E235" s="61">
        <f t="shared" si="57"/>
        <v>13839614</v>
      </c>
      <c r="G235" s="7">
        <f>28417804+31352284</f>
        <v>59770088</v>
      </c>
      <c r="I235" s="7">
        <v>0</v>
      </c>
      <c r="K235" s="7">
        <v>218992</v>
      </c>
      <c r="M235" s="7">
        <v>73828694</v>
      </c>
      <c r="O235" s="7">
        <f t="shared" si="58"/>
        <v>11110982</v>
      </c>
      <c r="Q235" s="7">
        <v>16411065</v>
      </c>
      <c r="S235" s="7">
        <v>0</v>
      </c>
      <c r="U235" s="7">
        <v>27522047</v>
      </c>
      <c r="W235" s="7">
        <v>41119351</v>
      </c>
      <c r="Y235" s="7">
        <f>46306647-41119351-2554249</f>
        <v>2633047</v>
      </c>
      <c r="AA235" s="7">
        <v>2554249</v>
      </c>
      <c r="AC235" s="7">
        <f t="shared" si="59"/>
        <v>46306647</v>
      </c>
      <c r="AF235" s="7">
        <f t="shared" si="63"/>
        <v>0</v>
      </c>
    </row>
    <row r="236" spans="1:35" ht="12.75" customHeight="1" x14ac:dyDescent="0.2">
      <c r="A236" s="7" t="s">
        <v>250</v>
      </c>
      <c r="C236" s="7" t="s">
        <v>207</v>
      </c>
      <c r="E236" s="61">
        <f t="shared" si="57"/>
        <v>62961331</v>
      </c>
      <c r="G236" s="7">
        <f>12339181+28600658</f>
        <v>40939839</v>
      </c>
      <c r="I236" s="7">
        <v>0</v>
      </c>
      <c r="K236" s="7">
        <v>85808</v>
      </c>
      <c r="M236" s="7">
        <v>103986978</v>
      </c>
      <c r="O236" s="7">
        <f t="shared" si="58"/>
        <v>3857113</v>
      </c>
      <c r="Q236" s="7">
        <v>7704947</v>
      </c>
      <c r="S236" s="7">
        <v>0</v>
      </c>
      <c r="U236" s="7">
        <v>11562060</v>
      </c>
      <c r="W236" s="7">
        <v>32060415</v>
      </c>
      <c r="Y236" s="7">
        <f>92424918-32060415-51876747</f>
        <v>8487756</v>
      </c>
      <c r="AA236" s="7">
        <v>51876747</v>
      </c>
      <c r="AC236" s="7">
        <f t="shared" si="59"/>
        <v>92424918</v>
      </c>
      <c r="AF236" s="7">
        <f t="shared" si="63"/>
        <v>0</v>
      </c>
    </row>
    <row r="237" spans="1:35" ht="12.75" hidden="1" customHeight="1" x14ac:dyDescent="0.2">
      <c r="A237" s="7" t="s">
        <v>251</v>
      </c>
      <c r="C237" s="7" t="s">
        <v>11</v>
      </c>
      <c r="E237" s="61">
        <f t="shared" si="57"/>
        <v>30851334</v>
      </c>
      <c r="G237" s="7">
        <f>27168390+94692607</f>
        <v>121860997</v>
      </c>
      <c r="K237" s="7">
        <v>122196</v>
      </c>
      <c r="M237" s="7">
        <v>152834527</v>
      </c>
      <c r="O237" s="7">
        <f t="shared" si="58"/>
        <v>4897486</v>
      </c>
      <c r="Q237" s="7">
        <v>14512514</v>
      </c>
      <c r="U237" s="7">
        <v>19410000</v>
      </c>
      <c r="W237" s="7">
        <v>106963648</v>
      </c>
      <c r="Y237" s="7">
        <f>11516+4747551+4204747</f>
        <v>8963814</v>
      </c>
      <c r="AA237" s="7">
        <v>17497065</v>
      </c>
      <c r="AC237" s="7">
        <f t="shared" si="59"/>
        <v>133424527</v>
      </c>
      <c r="AF237" s="7">
        <f t="shared" si="63"/>
        <v>0</v>
      </c>
    </row>
    <row r="238" spans="1:35" ht="12.75" customHeight="1" x14ac:dyDescent="0.2">
      <c r="A238" s="7" t="s">
        <v>252</v>
      </c>
      <c r="C238" s="7" t="s">
        <v>87</v>
      </c>
      <c r="E238" s="61">
        <f t="shared" si="57"/>
        <v>2681184</v>
      </c>
      <c r="G238" s="7">
        <f>1185655+6608365</f>
        <v>7794020</v>
      </c>
      <c r="I238" s="7">
        <v>0</v>
      </c>
      <c r="K238" s="7">
        <v>0</v>
      </c>
      <c r="M238" s="7">
        <v>10475204</v>
      </c>
      <c r="O238" s="7">
        <f t="shared" si="58"/>
        <v>988576</v>
      </c>
      <c r="Q238" s="7">
        <v>2139044</v>
      </c>
      <c r="S238" s="7">
        <v>0</v>
      </c>
      <c r="U238" s="7">
        <v>3127620</v>
      </c>
      <c r="W238" s="7">
        <v>5791032</v>
      </c>
      <c r="Y238" s="7">
        <f>766644+494024</f>
        <v>1260668</v>
      </c>
      <c r="AA238" s="7">
        <v>295884</v>
      </c>
      <c r="AC238" s="7">
        <f t="shared" si="59"/>
        <v>7347584</v>
      </c>
      <c r="AF238" s="7">
        <f t="shared" si="63"/>
        <v>0</v>
      </c>
      <c r="AI238" s="7" t="s">
        <v>446</v>
      </c>
    </row>
    <row r="239" spans="1:35" ht="12.75" customHeight="1" x14ac:dyDescent="0.2">
      <c r="A239" s="7" t="s">
        <v>157</v>
      </c>
      <c r="C239" s="10" t="s">
        <v>64</v>
      </c>
      <c r="E239" s="61">
        <f t="shared" si="57"/>
        <v>4573016</v>
      </c>
      <c r="G239" s="7">
        <f>1279452+164713+4891874</f>
        <v>6336039</v>
      </c>
      <c r="I239" s="7">
        <v>0</v>
      </c>
      <c r="K239" s="7">
        <v>0</v>
      </c>
      <c r="M239" s="7">
        <v>10909055</v>
      </c>
      <c r="O239" s="7">
        <f t="shared" si="58"/>
        <v>1956205</v>
      </c>
      <c r="Q239" s="7">
        <v>1210778</v>
      </c>
      <c r="S239" s="7">
        <v>0</v>
      </c>
      <c r="U239" s="7">
        <v>3166983</v>
      </c>
      <c r="W239" s="7">
        <v>4752639</v>
      </c>
      <c r="Y239" s="7">
        <f>150864+897822+26142</f>
        <v>1074828</v>
      </c>
      <c r="AA239" s="7">
        <v>1914605</v>
      </c>
      <c r="AC239" s="7">
        <f t="shared" si="59"/>
        <v>7742072</v>
      </c>
      <c r="AF239" s="7">
        <f>+M239-U239-AC239</f>
        <v>0</v>
      </c>
    </row>
    <row r="240" spans="1:35" ht="12.75" customHeight="1" x14ac:dyDescent="0.2">
      <c r="A240" s="7" t="s">
        <v>253</v>
      </c>
      <c r="C240" s="7" t="s">
        <v>25</v>
      </c>
      <c r="E240" s="61">
        <f t="shared" si="57"/>
        <v>13849470</v>
      </c>
      <c r="G240" s="7">
        <f>985954+5681665</f>
        <v>6667619</v>
      </c>
      <c r="I240" s="7">
        <v>0</v>
      </c>
      <c r="K240" s="7">
        <v>0</v>
      </c>
      <c r="M240" s="7">
        <v>20517089</v>
      </c>
      <c r="O240" s="7">
        <f t="shared" si="58"/>
        <v>7142128</v>
      </c>
      <c r="Q240" s="7">
        <v>2031116</v>
      </c>
      <c r="S240" s="7">
        <v>2748320</v>
      </c>
      <c r="U240" s="7">
        <f>6424924+2748320</f>
        <v>9173244</v>
      </c>
      <c r="W240" s="7">
        <v>2545932</v>
      </c>
      <c r="Y240" s="7">
        <f>11343845-2545932-5785896</f>
        <v>3012017</v>
      </c>
      <c r="AA240" s="7">
        <v>5785896</v>
      </c>
      <c r="AC240" s="7">
        <f t="shared" si="59"/>
        <v>11343845</v>
      </c>
      <c r="AF240" s="7">
        <f t="shared" si="63"/>
        <v>0</v>
      </c>
    </row>
    <row r="241" spans="1:33" s="9" customFormat="1" ht="12.75" customHeight="1" x14ac:dyDescent="0.2">
      <c r="A241" s="9" t="s">
        <v>254</v>
      </c>
      <c r="C241" s="9" t="s">
        <v>41</v>
      </c>
      <c r="E241" s="7">
        <f>+M241-G241-K241</f>
        <v>80089676</v>
      </c>
      <c r="F241" s="7"/>
      <c r="G241" s="7">
        <f>9264600+10121718+67582486</f>
        <v>86968804</v>
      </c>
      <c r="H241" s="7"/>
      <c r="I241" s="7">
        <v>680606</v>
      </c>
      <c r="J241" s="7"/>
      <c r="K241" s="7">
        <v>0</v>
      </c>
      <c r="L241" s="7"/>
      <c r="M241" s="7">
        <f>166377874+680606</f>
        <v>167058480</v>
      </c>
      <c r="N241" s="7"/>
      <c r="O241" s="7">
        <f>+U241-Q241</f>
        <v>23041434</v>
      </c>
      <c r="P241" s="7"/>
      <c r="Q241" s="7">
        <f>1273747+47478111</f>
        <v>48751858</v>
      </c>
      <c r="R241" s="7"/>
      <c r="S241" s="7">
        <v>11847787</v>
      </c>
      <c r="T241" s="7"/>
      <c r="U241" s="7">
        <f>59945505+11847787</f>
        <v>71793292</v>
      </c>
      <c r="V241" s="7"/>
      <c r="W241" s="7">
        <v>46341471</v>
      </c>
      <c r="X241" s="7"/>
      <c r="Y241" s="7">
        <f>95265188-46341471-43802927</f>
        <v>5120790</v>
      </c>
      <c r="Z241" s="7"/>
      <c r="AA241" s="7">
        <v>43802927</v>
      </c>
      <c r="AB241" s="7"/>
      <c r="AC241" s="7">
        <f>W241+Y241+AA241</f>
        <v>95265188</v>
      </c>
      <c r="AF241" s="9">
        <f>+M241-U241-AC241</f>
        <v>0</v>
      </c>
      <c r="AG241" s="7"/>
    </row>
    <row r="242" spans="1:33" ht="12.75" customHeight="1" x14ac:dyDescent="0.2">
      <c r="E242" s="61"/>
      <c r="AC242" s="11" t="s">
        <v>478</v>
      </c>
    </row>
    <row r="243" spans="1:33" ht="12.75" customHeight="1" x14ac:dyDescent="0.2">
      <c r="A243" s="7" t="s">
        <v>255</v>
      </c>
      <c r="C243" s="7" t="s">
        <v>256</v>
      </c>
      <c r="E243" s="86">
        <f t="shared" si="57"/>
        <v>4030261</v>
      </c>
      <c r="F243" s="9"/>
      <c r="G243" s="9">
        <f>959274+6845108</f>
        <v>7804382</v>
      </c>
      <c r="H243" s="9"/>
      <c r="I243" s="9">
        <v>0</v>
      </c>
      <c r="J243" s="9"/>
      <c r="K243" s="9">
        <v>0</v>
      </c>
      <c r="L243" s="9"/>
      <c r="M243" s="9">
        <v>11834643</v>
      </c>
      <c r="N243" s="9"/>
      <c r="O243" s="9">
        <f t="shared" si="58"/>
        <v>1250055</v>
      </c>
      <c r="P243" s="9"/>
      <c r="Q243" s="9">
        <v>4837356</v>
      </c>
      <c r="R243" s="9"/>
      <c r="S243" s="9">
        <v>0</v>
      </c>
      <c r="T243" s="9"/>
      <c r="U243" s="9">
        <v>6087411</v>
      </c>
      <c r="V243" s="9"/>
      <c r="W243" s="9">
        <v>7741726</v>
      </c>
      <c r="X243" s="9"/>
      <c r="Y243" s="9">
        <f>344360+388800</f>
        <v>733160</v>
      </c>
      <c r="Z243" s="9"/>
      <c r="AA243" s="9">
        <v>-2727654</v>
      </c>
      <c r="AB243" s="9"/>
      <c r="AC243" s="9">
        <f t="shared" si="59"/>
        <v>5747232</v>
      </c>
      <c r="AF243" s="7">
        <f>+M243-U243-AC243</f>
        <v>0</v>
      </c>
    </row>
    <row r="244" spans="1:33" ht="12.75" customHeight="1" x14ac:dyDescent="0.2">
      <c r="A244" s="7" t="s">
        <v>257</v>
      </c>
      <c r="C244" s="7" t="s">
        <v>258</v>
      </c>
      <c r="E244" s="61">
        <f t="shared" si="57"/>
        <v>8272819</v>
      </c>
      <c r="G244" s="7">
        <f>6520919+19445460</f>
        <v>25966379</v>
      </c>
      <c r="I244" s="7">
        <v>0</v>
      </c>
      <c r="K244" s="7">
        <v>0</v>
      </c>
      <c r="M244" s="7">
        <v>34239198</v>
      </c>
      <c r="O244" s="7">
        <f t="shared" si="58"/>
        <v>2505727</v>
      </c>
      <c r="Q244" s="7">
        <v>3904147</v>
      </c>
      <c r="S244" s="7">
        <v>535837</v>
      </c>
      <c r="U244" s="7">
        <f>5874037+535837</f>
        <v>6409874</v>
      </c>
      <c r="W244" s="7">
        <v>23370225</v>
      </c>
      <c r="Y244" s="7">
        <f>27829324-23370225-2822047</f>
        <v>1637052</v>
      </c>
      <c r="AA244" s="7">
        <v>2822047</v>
      </c>
      <c r="AC244" s="7">
        <f t="shared" si="59"/>
        <v>27829324</v>
      </c>
      <c r="AF244" s="7">
        <f t="shared" si="63"/>
        <v>0</v>
      </c>
    </row>
    <row r="245" spans="1:33" ht="12.75" customHeight="1" x14ac:dyDescent="0.2">
      <c r="A245" s="7" t="s">
        <v>259</v>
      </c>
      <c r="C245" s="7" t="s">
        <v>64</v>
      </c>
      <c r="E245" s="61">
        <f t="shared" si="57"/>
        <v>28155671</v>
      </c>
      <c r="G245" s="7">
        <f>5870447+47582534</f>
        <v>53452981</v>
      </c>
      <c r="I245" s="7">
        <v>0</v>
      </c>
      <c r="K245" s="7">
        <v>0</v>
      </c>
      <c r="M245" s="7">
        <v>81608652</v>
      </c>
      <c r="O245" s="7">
        <f t="shared" si="58"/>
        <v>9407054</v>
      </c>
      <c r="Q245" s="7">
        <v>10562971</v>
      </c>
      <c r="S245" s="7">
        <v>1252177</v>
      </c>
      <c r="U245" s="7">
        <f>18717848+1252177</f>
        <v>19970025</v>
      </c>
      <c r="W245" s="7">
        <v>42909665</v>
      </c>
      <c r="Y245" s="7">
        <f>1159601+1443268+403476</f>
        <v>3006345</v>
      </c>
      <c r="AA245" s="7">
        <v>15722617</v>
      </c>
      <c r="AC245" s="7">
        <f t="shared" si="59"/>
        <v>61638627</v>
      </c>
      <c r="AF245" s="7">
        <f t="shared" si="63"/>
        <v>0</v>
      </c>
    </row>
    <row r="246" spans="1:33" ht="12.75" customHeight="1" x14ac:dyDescent="0.2">
      <c r="A246" s="7" t="s">
        <v>260</v>
      </c>
      <c r="C246" s="7" t="s">
        <v>130</v>
      </c>
      <c r="E246" s="61">
        <f t="shared" si="57"/>
        <v>9995111</v>
      </c>
      <c r="G246" s="7">
        <f>3680167+10142437</f>
        <v>13822604</v>
      </c>
      <c r="I246" s="7">
        <v>0</v>
      </c>
      <c r="K246" s="7">
        <v>55812</v>
      </c>
      <c r="M246" s="7">
        <v>23873527</v>
      </c>
      <c r="O246" s="7">
        <f t="shared" si="58"/>
        <v>5817347</v>
      </c>
      <c r="Q246" s="7">
        <v>2599113</v>
      </c>
      <c r="S246" s="7">
        <v>0</v>
      </c>
      <c r="U246" s="7">
        <v>8416460</v>
      </c>
      <c r="W246" s="7">
        <v>9739877</v>
      </c>
      <c r="Y246" s="7">
        <f>3168243+417672+1860584+33753</f>
        <v>5480252</v>
      </c>
      <c r="AA246" s="7">
        <v>236938</v>
      </c>
      <c r="AC246" s="7">
        <f t="shared" si="59"/>
        <v>15457067</v>
      </c>
      <c r="AF246" s="7">
        <f t="shared" si="63"/>
        <v>0</v>
      </c>
    </row>
    <row r="247" spans="1:33" ht="12.75" customHeight="1" x14ac:dyDescent="0.2">
      <c r="A247" s="7" t="s">
        <v>497</v>
      </c>
      <c r="C247" s="7" t="s">
        <v>43</v>
      </c>
      <c r="E247" s="61">
        <f t="shared" si="57"/>
        <v>25980402</v>
      </c>
      <c r="G247" s="7">
        <f>81594202+18163291</f>
        <v>99757493</v>
      </c>
      <c r="I247" s="7">
        <v>0</v>
      </c>
      <c r="K247" s="7">
        <v>0</v>
      </c>
      <c r="M247" s="7">
        <v>125737895</v>
      </c>
      <c r="O247" s="7">
        <f t="shared" si="58"/>
        <v>2680437</v>
      </c>
      <c r="Q247" s="7">
        <v>2770050</v>
      </c>
      <c r="S247" s="7">
        <v>687527</v>
      </c>
      <c r="U247" s="7">
        <f>4762960+687527</f>
        <v>5450487</v>
      </c>
      <c r="W247" s="7">
        <v>97590658</v>
      </c>
      <c r="Y247" s="7">
        <f>3389+1214658</f>
        <v>1218047</v>
      </c>
      <c r="AA247" s="7">
        <v>21478703</v>
      </c>
      <c r="AC247" s="7">
        <f t="shared" si="59"/>
        <v>120287408</v>
      </c>
      <c r="AF247" s="7">
        <f t="shared" si="63"/>
        <v>0</v>
      </c>
    </row>
    <row r="248" spans="1:33" ht="12.75" customHeight="1" x14ac:dyDescent="0.2">
      <c r="A248" s="7" t="s">
        <v>261</v>
      </c>
      <c r="C248" s="7" t="s">
        <v>51</v>
      </c>
      <c r="E248" s="61">
        <f t="shared" si="57"/>
        <v>27019946</v>
      </c>
      <c r="G248" s="7">
        <f>6360979+21198972</f>
        <v>27559951</v>
      </c>
      <c r="I248" s="7">
        <v>0</v>
      </c>
      <c r="K248" s="7">
        <v>0</v>
      </c>
      <c r="M248" s="7">
        <v>54579897</v>
      </c>
      <c r="O248" s="7">
        <f t="shared" si="58"/>
        <v>4347807</v>
      </c>
      <c r="Q248" s="7">
        <v>20187210</v>
      </c>
      <c r="S248" s="7">
        <v>0</v>
      </c>
      <c r="U248" s="7">
        <v>24535017</v>
      </c>
      <c r="W248" s="7">
        <v>27128076</v>
      </c>
      <c r="Y248" s="7">
        <f>30044880-27128076--9543072</f>
        <v>12459876</v>
      </c>
      <c r="AA248" s="7">
        <v>-9543072</v>
      </c>
      <c r="AC248" s="7">
        <f t="shared" si="59"/>
        <v>30044880</v>
      </c>
      <c r="AF248" s="7">
        <f t="shared" si="63"/>
        <v>0</v>
      </c>
    </row>
    <row r="249" spans="1:33" ht="12.75" customHeight="1" x14ac:dyDescent="0.2">
      <c r="A249" s="7" t="s">
        <v>262</v>
      </c>
      <c r="C249" s="7" t="s">
        <v>237</v>
      </c>
      <c r="E249" s="61">
        <f t="shared" si="57"/>
        <v>7812658</v>
      </c>
      <c r="G249" s="7">
        <f>1654022+19503245</f>
        <v>21157267</v>
      </c>
      <c r="I249" s="7">
        <v>0</v>
      </c>
      <c r="K249" s="7">
        <v>0</v>
      </c>
      <c r="M249" s="7">
        <v>28969925</v>
      </c>
      <c r="O249" s="7">
        <f t="shared" si="58"/>
        <v>1210003</v>
      </c>
      <c r="Q249" s="7">
        <v>573530</v>
      </c>
      <c r="S249" s="7">
        <v>458801</v>
      </c>
      <c r="U249" s="7">
        <f>1324732+458801</f>
        <v>1783533</v>
      </c>
      <c r="W249" s="7">
        <v>20891574</v>
      </c>
      <c r="Y249" s="7">
        <f>2039417+656877+712876</f>
        <v>3409170</v>
      </c>
      <c r="AA249" s="7">
        <v>2885648</v>
      </c>
      <c r="AC249" s="7">
        <f t="shared" si="59"/>
        <v>27186392</v>
      </c>
      <c r="AF249" s="7">
        <f>+M249-U249-AC249</f>
        <v>0</v>
      </c>
    </row>
    <row r="250" spans="1:33" ht="12.75" customHeight="1" x14ac:dyDescent="0.2">
      <c r="A250" s="7" t="s">
        <v>109</v>
      </c>
      <c r="C250" s="7" t="s">
        <v>78</v>
      </c>
      <c r="E250" s="61">
        <f t="shared" si="57"/>
        <v>30092418</v>
      </c>
      <c r="G250" s="7">
        <v>43918355</v>
      </c>
      <c r="I250" s="7">
        <v>27438</v>
      </c>
      <c r="K250" s="7">
        <v>0</v>
      </c>
      <c r="M250" s="7">
        <f>73983335+27438</f>
        <v>74010773</v>
      </c>
      <c r="O250" s="7">
        <f t="shared" si="58"/>
        <v>6821445</v>
      </c>
      <c r="Q250" s="7">
        <v>9186930</v>
      </c>
      <c r="S250" s="7">
        <v>1383575</v>
      </c>
      <c r="U250" s="7">
        <f>14624800+1383575</f>
        <v>16008375</v>
      </c>
      <c r="W250" s="7">
        <v>42910889</v>
      </c>
      <c r="Y250" s="7">
        <f>58002398-42910889--659287</f>
        <v>15750796</v>
      </c>
      <c r="AA250" s="7">
        <v>-659287</v>
      </c>
      <c r="AC250" s="7">
        <f t="shared" si="59"/>
        <v>58002398</v>
      </c>
      <c r="AF250" s="7">
        <f t="shared" si="63"/>
        <v>0</v>
      </c>
    </row>
    <row r="251" spans="1:33" ht="12.75" hidden="1" customHeight="1" x14ac:dyDescent="0.2">
      <c r="A251" s="7" t="s">
        <v>263</v>
      </c>
      <c r="C251" s="7" t="s">
        <v>25</v>
      </c>
      <c r="E251" s="61">
        <f t="shared" si="57"/>
        <v>12813261</v>
      </c>
      <c r="G251" s="7">
        <f>3133700+21313959</f>
        <v>24447659</v>
      </c>
      <c r="I251" s="7">
        <v>0</v>
      </c>
      <c r="K251" s="7">
        <v>0</v>
      </c>
      <c r="M251" s="7">
        <v>37260920</v>
      </c>
      <c r="O251" s="7">
        <f t="shared" si="58"/>
        <v>12352840</v>
      </c>
      <c r="Q251" s="7">
        <v>11150356</v>
      </c>
      <c r="S251" s="7">
        <v>0</v>
      </c>
      <c r="U251" s="7">
        <v>23503196</v>
      </c>
      <c r="W251" s="7">
        <v>767581</v>
      </c>
      <c r="Y251" s="7">
        <f>40724-767581-643700</f>
        <v>-1370557</v>
      </c>
      <c r="AA251" s="7">
        <v>643700</v>
      </c>
      <c r="AC251" s="7">
        <f t="shared" si="59"/>
        <v>40724</v>
      </c>
      <c r="AF251" s="7">
        <f t="shared" si="63"/>
        <v>13717000</v>
      </c>
    </row>
    <row r="252" spans="1:33" ht="12.75" customHeight="1" x14ac:dyDescent="0.2">
      <c r="A252" s="7" t="s">
        <v>498</v>
      </c>
      <c r="C252" s="7" t="s">
        <v>448</v>
      </c>
      <c r="E252" s="61">
        <f t="shared" si="57"/>
        <v>8833617</v>
      </c>
      <c r="G252" s="7">
        <f>1496375+19871407</f>
        <v>21367782</v>
      </c>
      <c r="I252" s="7">
        <v>0</v>
      </c>
      <c r="K252" s="7">
        <v>243890</v>
      </c>
      <c r="M252" s="7">
        <v>30445289</v>
      </c>
      <c r="O252" s="7">
        <f t="shared" si="58"/>
        <v>4574985</v>
      </c>
      <c r="Q252" s="7">
        <v>13503328</v>
      </c>
      <c r="S252" s="7">
        <v>0</v>
      </c>
      <c r="U252" s="7">
        <v>18078313</v>
      </c>
      <c r="W252" s="7">
        <v>8098140</v>
      </c>
      <c r="Y252" s="7">
        <f>1062547+882962+1369732</f>
        <v>3315241</v>
      </c>
      <c r="AA252" s="7">
        <v>953595</v>
      </c>
      <c r="AC252" s="7">
        <f t="shared" si="59"/>
        <v>12366976</v>
      </c>
      <c r="AF252" s="7">
        <f t="shared" si="63"/>
        <v>0</v>
      </c>
    </row>
    <row r="253" spans="1:33" ht="12.75" customHeight="1" x14ac:dyDescent="0.2">
      <c r="A253" s="7" t="s">
        <v>499</v>
      </c>
      <c r="C253" s="7" t="s">
        <v>161</v>
      </c>
      <c r="E253" s="61">
        <f t="shared" si="57"/>
        <v>4134821</v>
      </c>
      <c r="G253" s="7">
        <f>2541404+13137714</f>
        <v>15679118</v>
      </c>
      <c r="I253" s="7">
        <v>0</v>
      </c>
      <c r="K253" s="7">
        <v>0</v>
      </c>
      <c r="M253" s="7">
        <v>19813939</v>
      </c>
      <c r="O253" s="7">
        <f t="shared" si="58"/>
        <v>2277880</v>
      </c>
      <c r="Q253" s="7">
        <v>2616355</v>
      </c>
      <c r="S253" s="7">
        <v>351775</v>
      </c>
      <c r="U253" s="7">
        <f>4542460+351775</f>
        <v>4894235</v>
      </c>
      <c r="W253" s="7">
        <v>11894317</v>
      </c>
      <c r="Y253" s="7">
        <f>1024713+138589+190594</f>
        <v>1353896</v>
      </c>
      <c r="AA253" s="7">
        <v>1671491</v>
      </c>
      <c r="AC253" s="7">
        <f t="shared" si="59"/>
        <v>14919704</v>
      </c>
      <c r="AF253" s="7">
        <f t="shared" si="63"/>
        <v>0</v>
      </c>
    </row>
    <row r="254" spans="1:33" ht="12.75" customHeight="1" x14ac:dyDescent="0.2">
      <c r="A254" s="7" t="s">
        <v>264</v>
      </c>
      <c r="C254" s="7" t="s">
        <v>265</v>
      </c>
      <c r="E254" s="61">
        <f t="shared" si="57"/>
        <v>5289064</v>
      </c>
      <c r="G254" s="7">
        <f>1369566+11618467</f>
        <v>12988033</v>
      </c>
      <c r="I254" s="7">
        <v>0</v>
      </c>
      <c r="K254" s="7">
        <v>0</v>
      </c>
      <c r="M254" s="7">
        <v>18277097</v>
      </c>
      <c r="O254" s="7">
        <f t="shared" si="58"/>
        <v>845603</v>
      </c>
      <c r="Q254" s="7">
        <v>2791323</v>
      </c>
      <c r="S254" s="7">
        <v>219355</v>
      </c>
      <c r="U254" s="7">
        <f>3417571+219355</f>
        <v>3636926</v>
      </c>
      <c r="W254" s="7">
        <v>10268033</v>
      </c>
      <c r="Y254" s="7">
        <v>1484570</v>
      </c>
      <c r="AA254" s="7">
        <v>2887568</v>
      </c>
      <c r="AC254" s="7">
        <f t="shared" si="59"/>
        <v>14640171</v>
      </c>
      <c r="AF254" s="7">
        <f t="shared" si="63"/>
        <v>0</v>
      </c>
    </row>
    <row r="255" spans="1:33" ht="12.75" hidden="1" customHeight="1" x14ac:dyDescent="0.2">
      <c r="A255" s="7" t="s">
        <v>266</v>
      </c>
      <c r="C255" s="7" t="s">
        <v>267</v>
      </c>
      <c r="E255" s="61">
        <f t="shared" si="57"/>
        <v>2518781</v>
      </c>
      <c r="G255" s="7">
        <f>239268+3454258</f>
        <v>3693526</v>
      </c>
      <c r="K255" s="7">
        <v>0</v>
      </c>
      <c r="M255" s="7">
        <v>6212307</v>
      </c>
      <c r="O255" s="7">
        <f t="shared" si="58"/>
        <v>1525440</v>
      </c>
      <c r="Q255" s="7">
        <v>167958</v>
      </c>
      <c r="U255" s="7">
        <v>1693398</v>
      </c>
      <c r="W255" s="7">
        <v>2936623</v>
      </c>
      <c r="Y255" s="7">
        <f>246078+164190+164182+264466</f>
        <v>838916</v>
      </c>
      <c r="AA255" s="7">
        <v>743370</v>
      </c>
      <c r="AC255" s="7">
        <f t="shared" si="59"/>
        <v>4518909</v>
      </c>
      <c r="AF255" s="7">
        <f t="shared" si="63"/>
        <v>0</v>
      </c>
    </row>
    <row r="256" spans="1:33" ht="12.75" customHeight="1" x14ac:dyDescent="0.2">
      <c r="A256" s="7" t="s">
        <v>268</v>
      </c>
      <c r="C256" s="7" t="s">
        <v>134</v>
      </c>
      <c r="E256" s="61">
        <f t="shared" si="57"/>
        <v>5444829</v>
      </c>
      <c r="G256" s="7">
        <f>184691+1348806</f>
        <v>1533497</v>
      </c>
      <c r="I256" s="7">
        <v>0</v>
      </c>
      <c r="K256" s="7">
        <v>0</v>
      </c>
      <c r="M256" s="7">
        <v>6978326</v>
      </c>
      <c r="O256" s="7">
        <f t="shared" si="58"/>
        <v>603747</v>
      </c>
      <c r="Q256" s="7">
        <v>151902</v>
      </c>
      <c r="S256" s="7">
        <v>389395</v>
      </c>
      <c r="U256" s="7">
        <f>366254+389395</f>
        <v>755649</v>
      </c>
      <c r="W256" s="7">
        <v>1412614</v>
      </c>
      <c r="Y256" s="7">
        <f>6222677-1412614-128606</f>
        <v>4681457</v>
      </c>
      <c r="AA256" s="7">
        <v>128606</v>
      </c>
      <c r="AC256" s="7">
        <f t="shared" si="59"/>
        <v>6222677</v>
      </c>
      <c r="AF256" s="7">
        <f>+M256-U256-AC256</f>
        <v>0</v>
      </c>
    </row>
    <row r="257" spans="1:32" ht="12.75" customHeight="1" x14ac:dyDescent="0.2">
      <c r="A257" s="7" t="s">
        <v>269</v>
      </c>
      <c r="C257" s="7" t="s">
        <v>64</v>
      </c>
      <c r="E257" s="61">
        <f t="shared" si="57"/>
        <v>6550360</v>
      </c>
      <c r="G257" s="7">
        <f>4695276+14792757</f>
        <v>19488033</v>
      </c>
      <c r="I257" s="7">
        <v>0</v>
      </c>
      <c r="K257" s="7">
        <v>0</v>
      </c>
      <c r="M257" s="7">
        <v>26038393</v>
      </c>
      <c r="O257" s="7">
        <f t="shared" si="58"/>
        <v>4320645</v>
      </c>
      <c r="Q257" s="7">
        <v>3604480</v>
      </c>
      <c r="S257" s="7">
        <v>0</v>
      </c>
      <c r="U257" s="7">
        <v>7925125</v>
      </c>
      <c r="W257" s="7">
        <v>14680988</v>
      </c>
      <c r="Y257" s="7">
        <f>18113268-14680988-2068262</f>
        <v>1364018</v>
      </c>
      <c r="AA257" s="7">
        <v>2068262</v>
      </c>
      <c r="AC257" s="7">
        <f t="shared" si="59"/>
        <v>18113268</v>
      </c>
      <c r="AF257" s="7">
        <f t="shared" si="63"/>
        <v>0</v>
      </c>
    </row>
    <row r="258" spans="1:32" ht="12.75" customHeight="1" x14ac:dyDescent="0.2">
      <c r="A258" s="7" t="s">
        <v>270</v>
      </c>
      <c r="C258" s="7" t="s">
        <v>41</v>
      </c>
      <c r="E258" s="61">
        <f t="shared" si="57"/>
        <v>84523985</v>
      </c>
      <c r="G258" s="7">
        <f>151703763+74212474</f>
        <v>225916237</v>
      </c>
      <c r="I258" s="7">
        <v>241706</v>
      </c>
      <c r="K258" s="7">
        <v>0</v>
      </c>
      <c r="M258" s="7">
        <f>310198516+241706</f>
        <v>310440222</v>
      </c>
      <c r="O258" s="7">
        <f t="shared" si="58"/>
        <v>23628375</v>
      </c>
      <c r="Q258" s="7">
        <v>30495405</v>
      </c>
      <c r="S258" s="7">
        <v>14559210</v>
      </c>
      <c r="U258" s="7">
        <f>39564570+14559210</f>
        <v>54123780</v>
      </c>
      <c r="W258" s="7">
        <v>193493934</v>
      </c>
      <c r="Y258" s="7">
        <f>256316442-193493934-47689348</f>
        <v>15133160</v>
      </c>
      <c r="AA258" s="7">
        <v>47689348</v>
      </c>
      <c r="AC258" s="7">
        <f t="shared" si="59"/>
        <v>256316442</v>
      </c>
      <c r="AF258" s="7">
        <f t="shared" si="63"/>
        <v>0</v>
      </c>
    </row>
    <row r="259" spans="1:32" ht="12.75" customHeight="1" x14ac:dyDescent="0.2">
      <c r="A259" s="7" t="s">
        <v>271</v>
      </c>
      <c r="C259" s="7" t="s">
        <v>25</v>
      </c>
      <c r="E259" s="61">
        <f t="shared" si="57"/>
        <v>96848067</v>
      </c>
      <c r="G259" s="7">
        <f>18453532+122026775</f>
        <v>140480307</v>
      </c>
      <c r="I259" s="7">
        <v>262291</v>
      </c>
      <c r="K259" s="7">
        <v>0</v>
      </c>
      <c r="M259" s="7">
        <f>237066083+262291</f>
        <v>237328374</v>
      </c>
      <c r="O259" s="7">
        <f t="shared" si="58"/>
        <v>16881344</v>
      </c>
      <c r="Q259" s="7">
        <v>22776358</v>
      </c>
      <c r="S259" s="7">
        <v>11086081</v>
      </c>
      <c r="U259" s="7">
        <f>28571621+11086081</f>
        <v>39657702</v>
      </c>
      <c r="W259" s="7">
        <v>121260350</v>
      </c>
      <c r="Y259" s="7">
        <f>197670672-121260350-38520735</f>
        <v>37889587</v>
      </c>
      <c r="AA259" s="7">
        <v>38520735</v>
      </c>
      <c r="AC259" s="7">
        <f t="shared" si="59"/>
        <v>197670672</v>
      </c>
      <c r="AF259" s="7">
        <f t="shared" si="63"/>
        <v>0</v>
      </c>
    </row>
    <row r="260" spans="1:32" ht="12.75" customHeight="1" x14ac:dyDescent="0.2">
      <c r="A260" s="7" t="s">
        <v>272</v>
      </c>
      <c r="C260" s="7" t="s">
        <v>41</v>
      </c>
      <c r="E260" s="61">
        <f t="shared" si="57"/>
        <v>18605933</v>
      </c>
      <c r="G260" s="7">
        <f>1936482+22237963</f>
        <v>24174445</v>
      </c>
      <c r="I260" s="7">
        <v>28153</v>
      </c>
      <c r="K260" s="7">
        <v>0</v>
      </c>
      <c r="M260" s="7">
        <f>42752225+28153</f>
        <v>42780378</v>
      </c>
      <c r="O260" s="7">
        <f t="shared" si="58"/>
        <v>3898852</v>
      </c>
      <c r="Q260" s="7">
        <v>1909497</v>
      </c>
      <c r="S260" s="7">
        <v>804105</v>
      </c>
      <c r="U260" s="7">
        <f>5004244+804105</f>
        <v>5808349</v>
      </c>
      <c r="W260" s="7">
        <v>22765096</v>
      </c>
      <c r="Y260" s="7">
        <f>36972029-22765096-10695908</f>
        <v>3511025</v>
      </c>
      <c r="AA260" s="7">
        <v>10695908</v>
      </c>
      <c r="AC260" s="7">
        <f t="shared" si="59"/>
        <v>36972029</v>
      </c>
      <c r="AF260" s="7">
        <f t="shared" si="63"/>
        <v>0</v>
      </c>
    </row>
    <row r="261" spans="1:32" ht="12.75" customHeight="1" x14ac:dyDescent="0.2">
      <c r="A261" s="7" t="s">
        <v>273</v>
      </c>
      <c r="C261" s="7" t="s">
        <v>90</v>
      </c>
      <c r="E261" s="61">
        <f t="shared" si="57"/>
        <v>14240603</v>
      </c>
      <c r="G261" s="7">
        <f>19162320+68423927</f>
        <v>87586247</v>
      </c>
      <c r="I261" s="7">
        <v>0</v>
      </c>
      <c r="K261" s="7">
        <v>0</v>
      </c>
      <c r="M261" s="7">
        <v>101826850</v>
      </c>
      <c r="O261" s="7">
        <f t="shared" si="58"/>
        <v>3671473</v>
      </c>
      <c r="Q261" s="7">
        <v>3294601</v>
      </c>
      <c r="S261" s="7">
        <v>1928246</v>
      </c>
      <c r="U261" s="7">
        <f>5037828+1928246</f>
        <v>6966074</v>
      </c>
      <c r="W261" s="7">
        <v>85616246</v>
      </c>
      <c r="Y261" s="7">
        <f>132923+603934</f>
        <v>736857</v>
      </c>
      <c r="AA261" s="7">
        <v>8507673</v>
      </c>
      <c r="AC261" s="7">
        <f t="shared" si="59"/>
        <v>94860776</v>
      </c>
      <c r="AF261" s="7">
        <f t="shared" si="63"/>
        <v>0</v>
      </c>
    </row>
    <row r="262" spans="1:32" ht="12.75" customHeight="1" x14ac:dyDescent="0.2">
      <c r="A262" s="7" t="s">
        <v>274</v>
      </c>
      <c r="C262" s="7" t="s">
        <v>36</v>
      </c>
      <c r="E262" s="61">
        <f t="shared" si="57"/>
        <v>7492492</v>
      </c>
      <c r="G262" s="7">
        <v>9735032</v>
      </c>
      <c r="I262" s="7">
        <v>0</v>
      </c>
      <c r="K262" s="7">
        <v>0</v>
      </c>
      <c r="M262" s="7">
        <v>17227524</v>
      </c>
      <c r="O262" s="7">
        <f t="shared" si="58"/>
        <v>1366744</v>
      </c>
      <c r="Q262" s="7">
        <v>778910</v>
      </c>
      <c r="S262" s="7">
        <v>293961</v>
      </c>
      <c r="U262" s="7">
        <v>2145654</v>
      </c>
      <c r="W262" s="7">
        <v>8524808</v>
      </c>
      <c r="Y262" s="7">
        <f>15081870-8524808-2599280</f>
        <v>3957782</v>
      </c>
      <c r="AA262" s="7">
        <v>2599280</v>
      </c>
      <c r="AC262" s="7">
        <f t="shared" si="59"/>
        <v>15081870</v>
      </c>
      <c r="AF262" s="7">
        <f t="shared" si="63"/>
        <v>0</v>
      </c>
    </row>
    <row r="263" spans="1:32" ht="12.75" customHeight="1" x14ac:dyDescent="0.2">
      <c r="A263" s="7" t="s">
        <v>275</v>
      </c>
      <c r="C263" s="7" t="s">
        <v>90</v>
      </c>
      <c r="E263" s="61">
        <f t="shared" si="57"/>
        <v>33477145</v>
      </c>
      <c r="G263" s="7">
        <f>12486283+51735881</f>
        <v>64222164</v>
      </c>
      <c r="I263" s="7">
        <v>92961</v>
      </c>
      <c r="K263" s="7">
        <v>0</v>
      </c>
      <c r="M263" s="7">
        <f>97606348+92961</f>
        <v>97699309</v>
      </c>
      <c r="O263" s="7">
        <f t="shared" si="58"/>
        <v>13519619</v>
      </c>
      <c r="Q263" s="7">
        <v>18271422</v>
      </c>
      <c r="S263" s="7">
        <v>3151654</v>
      </c>
      <c r="U263" s="7">
        <f>28639387+3151654</f>
        <v>31791041</v>
      </c>
      <c r="W263" s="7">
        <v>44429348</v>
      </c>
      <c r="Y263" s="7">
        <f>65908268-44429348-8602908</f>
        <v>12876012</v>
      </c>
      <c r="AA263" s="7">
        <v>8602908</v>
      </c>
      <c r="AC263" s="7">
        <f t="shared" si="59"/>
        <v>65908268</v>
      </c>
      <c r="AF263" s="7">
        <f t="shared" si="63"/>
        <v>0</v>
      </c>
    </row>
    <row r="264" spans="1:32" ht="12.75" customHeight="1" x14ac:dyDescent="0.2">
      <c r="A264" s="7" t="s">
        <v>276</v>
      </c>
      <c r="C264" s="7" t="s">
        <v>90</v>
      </c>
      <c r="E264" s="61">
        <f t="shared" si="57"/>
        <v>16698345</v>
      </c>
      <c r="G264" s="7">
        <f>619751+12818621</f>
        <v>13438372</v>
      </c>
      <c r="I264" s="7">
        <v>0</v>
      </c>
      <c r="K264" s="7">
        <v>0</v>
      </c>
      <c r="M264" s="7">
        <v>30136717</v>
      </c>
      <c r="O264" s="7">
        <f t="shared" si="58"/>
        <v>3836936</v>
      </c>
      <c r="Q264" s="7">
        <v>12023307</v>
      </c>
      <c r="S264" s="7">
        <v>1661431</v>
      </c>
      <c r="U264" s="7">
        <f>14198812+1661431</f>
        <v>15860243</v>
      </c>
      <c r="W264" s="7">
        <v>10033276</v>
      </c>
      <c r="Y264" s="7">
        <f>14276474-10033276-1685746</f>
        <v>2557452</v>
      </c>
      <c r="AA264" s="7">
        <v>1685746</v>
      </c>
      <c r="AC264" s="7">
        <f t="shared" si="59"/>
        <v>14276474</v>
      </c>
      <c r="AF264" s="7">
        <f t="shared" si="63"/>
        <v>0</v>
      </c>
    </row>
    <row r="265" spans="1:32" ht="12.75" customHeight="1" x14ac:dyDescent="0.2">
      <c r="A265" s="7" t="s">
        <v>277</v>
      </c>
      <c r="C265" s="7" t="s">
        <v>90</v>
      </c>
      <c r="E265" s="61">
        <f t="shared" si="57"/>
        <v>12095984</v>
      </c>
      <c r="G265" s="7">
        <f>1107022+30360917</f>
        <v>31467939</v>
      </c>
      <c r="I265" s="7">
        <v>0</v>
      </c>
      <c r="K265" s="7">
        <v>0</v>
      </c>
      <c r="M265" s="7">
        <v>43563923</v>
      </c>
      <c r="O265" s="7">
        <f t="shared" si="58"/>
        <v>5623033</v>
      </c>
      <c r="Q265" s="7">
        <v>3011586</v>
      </c>
      <c r="S265" s="7">
        <v>0</v>
      </c>
      <c r="U265" s="7">
        <v>8634619</v>
      </c>
      <c r="W265" s="7">
        <v>29064871</v>
      </c>
      <c r="Y265" s="7">
        <f>1636708+217458+2310467</f>
        <v>4164633</v>
      </c>
      <c r="AA265" s="7">
        <v>1699800</v>
      </c>
      <c r="AC265" s="7">
        <f t="shared" si="59"/>
        <v>34929304</v>
      </c>
      <c r="AF265" s="7">
        <f t="shared" si="63"/>
        <v>0</v>
      </c>
    </row>
    <row r="266" spans="1:32" ht="12.75" customHeight="1" x14ac:dyDescent="0.2">
      <c r="A266" s="7" t="s">
        <v>278</v>
      </c>
      <c r="C266" s="7" t="s">
        <v>279</v>
      </c>
      <c r="E266" s="61">
        <f t="shared" si="57"/>
        <v>9598928</v>
      </c>
      <c r="G266" s="7">
        <f>2569198+12742659</f>
        <v>15311857</v>
      </c>
      <c r="I266" s="7">
        <v>0</v>
      </c>
      <c r="K266" s="7">
        <v>0</v>
      </c>
      <c r="M266" s="7">
        <v>24910785</v>
      </c>
      <c r="O266" s="7">
        <f t="shared" si="58"/>
        <v>3762415</v>
      </c>
      <c r="Q266" s="7">
        <v>5916012</v>
      </c>
      <c r="S266" s="7">
        <v>0</v>
      </c>
      <c r="U266" s="7">
        <v>9678427</v>
      </c>
      <c r="W266" s="7">
        <v>10146306</v>
      </c>
      <c r="Y266" s="7">
        <f>15232358-10146306-3772228</f>
        <v>1313824</v>
      </c>
      <c r="AA266" s="7">
        <v>3772228</v>
      </c>
      <c r="AC266" s="7">
        <f t="shared" si="59"/>
        <v>15232358</v>
      </c>
      <c r="AF266" s="7">
        <f t="shared" si="63"/>
        <v>0</v>
      </c>
    </row>
    <row r="267" spans="1:32" ht="12.75" customHeight="1" x14ac:dyDescent="0.2">
      <c r="A267" s="7" t="s">
        <v>280</v>
      </c>
      <c r="C267" s="7" t="s">
        <v>197</v>
      </c>
      <c r="E267" s="61">
        <f t="shared" si="57"/>
        <v>27340337</v>
      </c>
      <c r="G267" s="7">
        <v>48854340</v>
      </c>
      <c r="I267" s="7">
        <v>0</v>
      </c>
      <c r="K267" s="7">
        <v>0</v>
      </c>
      <c r="M267" s="7">
        <v>76194677</v>
      </c>
      <c r="O267" s="7">
        <f t="shared" si="58"/>
        <v>6221661</v>
      </c>
      <c r="Q267" s="7">
        <v>4794504</v>
      </c>
      <c r="S267" s="7">
        <v>0</v>
      </c>
      <c r="U267" s="7">
        <v>11016165</v>
      </c>
      <c r="W267" s="7">
        <v>45012043</v>
      </c>
      <c r="Y267" s="7">
        <f>65178512-45012043-11397374</f>
        <v>8769095</v>
      </c>
      <c r="AA267" s="7">
        <v>11397374</v>
      </c>
      <c r="AC267" s="7">
        <f t="shared" si="59"/>
        <v>65178512</v>
      </c>
      <c r="AF267" s="7">
        <f t="shared" si="63"/>
        <v>0</v>
      </c>
    </row>
    <row r="268" spans="1:32" ht="12.75" customHeight="1" x14ac:dyDescent="0.2">
      <c r="A268" s="7" t="s">
        <v>281</v>
      </c>
      <c r="C268" s="7" t="s">
        <v>41</v>
      </c>
      <c r="E268" s="61">
        <f t="shared" si="57"/>
        <v>23850843</v>
      </c>
      <c r="G268" s="7">
        <f>6228399+33442563</f>
        <v>39670962</v>
      </c>
      <c r="I268" s="7">
        <v>363169</v>
      </c>
      <c r="K268" s="7">
        <v>0</v>
      </c>
      <c r="M268" s="7">
        <f>63158636+363169</f>
        <v>63521805</v>
      </c>
      <c r="O268" s="7">
        <f t="shared" si="58"/>
        <v>5856899</v>
      </c>
      <c r="Q268" s="7">
        <v>8786014</v>
      </c>
      <c r="S268" s="7">
        <v>2512148</v>
      </c>
      <c r="U268" s="7">
        <f>12130765+2512148</f>
        <v>14642913</v>
      </c>
      <c r="W268" s="7">
        <v>31344906</v>
      </c>
      <c r="Y268" s="7">
        <f>773800+974652+928804</f>
        <v>2677256</v>
      </c>
      <c r="AA268" s="7">
        <v>14856730</v>
      </c>
      <c r="AC268" s="7">
        <f t="shared" si="59"/>
        <v>48878892</v>
      </c>
      <c r="AF268" s="7">
        <f t="shared" si="63"/>
        <v>0</v>
      </c>
    </row>
    <row r="269" spans="1:32" ht="12.75" customHeight="1" x14ac:dyDescent="0.2">
      <c r="A269" s="7" t="s">
        <v>282</v>
      </c>
      <c r="C269" s="7" t="s">
        <v>43</v>
      </c>
      <c r="E269" s="61">
        <f t="shared" si="57"/>
        <v>9745841</v>
      </c>
      <c r="G269" s="7">
        <f>9392480+21696258</f>
        <v>31088738</v>
      </c>
      <c r="I269" s="7">
        <v>0</v>
      </c>
      <c r="K269" s="7">
        <v>0</v>
      </c>
      <c r="M269" s="7">
        <v>40834579</v>
      </c>
      <c r="O269" s="7">
        <f t="shared" si="58"/>
        <v>3869576</v>
      </c>
      <c r="Q269" s="7">
        <v>11742410</v>
      </c>
      <c r="S269" s="7">
        <v>0</v>
      </c>
      <c r="U269" s="7">
        <v>15611986</v>
      </c>
      <c r="W269" s="7">
        <v>19545514</v>
      </c>
      <c r="Y269" s="7">
        <f>544992+95919+37186</f>
        <v>678097</v>
      </c>
      <c r="AA269" s="7">
        <v>4998982</v>
      </c>
      <c r="AC269" s="7">
        <f t="shared" si="59"/>
        <v>25222593</v>
      </c>
      <c r="AF269" s="7">
        <f t="shared" si="63"/>
        <v>0</v>
      </c>
    </row>
    <row r="270" spans="1:32" ht="12.75" customHeight="1" x14ac:dyDescent="0.2">
      <c r="A270" s="7" t="s">
        <v>283</v>
      </c>
      <c r="C270" s="7" t="s">
        <v>28</v>
      </c>
      <c r="E270" s="61">
        <f t="shared" si="57"/>
        <v>15888384</v>
      </c>
      <c r="G270" s="7">
        <f>16956235+19669478</f>
        <v>36625713</v>
      </c>
      <c r="I270" s="7">
        <v>0</v>
      </c>
      <c r="K270" s="7">
        <v>0</v>
      </c>
      <c r="M270" s="7">
        <v>52514097</v>
      </c>
      <c r="O270" s="7">
        <f t="shared" si="58"/>
        <v>3020003</v>
      </c>
      <c r="Q270" s="7">
        <v>3419564</v>
      </c>
      <c r="S270" s="7">
        <v>0</v>
      </c>
      <c r="U270" s="7">
        <v>6439567</v>
      </c>
      <c r="W270" s="7">
        <v>34504785</v>
      </c>
      <c r="Y270" s="7">
        <f>46074530-34504785-6749337</f>
        <v>4820408</v>
      </c>
      <c r="AA270" s="7">
        <v>6749337</v>
      </c>
      <c r="AC270" s="7">
        <f t="shared" si="59"/>
        <v>46074530</v>
      </c>
      <c r="AF270" s="7">
        <f t="shared" si="63"/>
        <v>0</v>
      </c>
    </row>
    <row r="271" spans="1:32" ht="12.75" customHeight="1" x14ac:dyDescent="0.2">
      <c r="A271" s="7" t="s">
        <v>284</v>
      </c>
      <c r="C271" s="7" t="s">
        <v>59</v>
      </c>
      <c r="E271" s="61">
        <f t="shared" si="57"/>
        <v>35598451</v>
      </c>
      <c r="G271" s="7">
        <f>15205965+95520406</f>
        <v>110726371</v>
      </c>
      <c r="I271" s="7">
        <v>0</v>
      </c>
      <c r="K271" s="7">
        <v>392754</v>
      </c>
      <c r="M271" s="7">
        <v>146717576</v>
      </c>
      <c r="O271" s="7">
        <f t="shared" si="58"/>
        <v>22432999</v>
      </c>
      <c r="Q271" s="7">
        <v>24304990</v>
      </c>
      <c r="S271" s="7">
        <v>0</v>
      </c>
      <c r="U271" s="7">
        <v>46737989</v>
      </c>
      <c r="W271" s="7">
        <v>91220447</v>
      </c>
      <c r="Y271" s="7">
        <f>99979587-91220447--5640463</f>
        <v>14399603</v>
      </c>
      <c r="AA271" s="7">
        <v>-5640463</v>
      </c>
      <c r="AC271" s="7">
        <f t="shared" si="59"/>
        <v>99979587</v>
      </c>
      <c r="AF271" s="7">
        <f t="shared" si="63"/>
        <v>0</v>
      </c>
    </row>
    <row r="272" spans="1:32" ht="12.75" customHeight="1" x14ac:dyDescent="0.2">
      <c r="A272" s="7" t="s">
        <v>285</v>
      </c>
      <c r="C272" s="7" t="s">
        <v>286</v>
      </c>
      <c r="E272" s="61">
        <f t="shared" si="57"/>
        <v>17868263</v>
      </c>
      <c r="G272" s="7">
        <f>4809000+15104402</f>
        <v>19913402</v>
      </c>
      <c r="I272" s="7">
        <v>0</v>
      </c>
      <c r="K272" s="7">
        <v>0</v>
      </c>
      <c r="M272" s="7">
        <v>37781665</v>
      </c>
      <c r="O272" s="7">
        <f t="shared" si="58"/>
        <v>5448492</v>
      </c>
      <c r="Q272" s="7">
        <v>5668309</v>
      </c>
      <c r="S272" s="7">
        <v>1072117</v>
      </c>
      <c r="U272" s="7">
        <f>10044684+1072117</f>
        <v>11116801</v>
      </c>
      <c r="W272" s="7">
        <v>14193919</v>
      </c>
      <c r="Y272" s="7">
        <f>26664864-14193919-6980892</f>
        <v>5490053</v>
      </c>
      <c r="AA272" s="7">
        <v>6980892</v>
      </c>
      <c r="AC272" s="7">
        <f t="shared" si="59"/>
        <v>26664864</v>
      </c>
      <c r="AF272" s="7">
        <f t="shared" si="63"/>
        <v>0</v>
      </c>
    </row>
  </sheetData>
  <mergeCells count="6">
    <mergeCell ref="W6:AA6"/>
    <mergeCell ref="E6:K6"/>
    <mergeCell ref="O6:S6"/>
    <mergeCell ref="E93:K93"/>
    <mergeCell ref="O93:S93"/>
    <mergeCell ref="W93:AA93"/>
  </mergeCells>
  <phoneticPr fontId="4" type="noConversion"/>
  <printOptions horizontalCentered="1"/>
  <pageMargins left="0.75" right="0.75" top="0.5" bottom="0.5" header="0" footer="0.25"/>
  <pageSetup scale="74" firstPageNumber="4" pageOrder="overThenDown" orientation="portrait" useFirstPageNumber="1" r:id="rId1"/>
  <headerFooter alignWithMargins="0">
    <oddFooter>&amp;C&amp;"Times New Roman,Regular"&amp;11&amp;P</oddFooter>
  </headerFooter>
  <rowBreaks count="3" manualBreakCount="3">
    <brk id="87" max="28" man="1"/>
    <brk id="168" max="28" man="1"/>
    <brk id="242" max="28" man="1"/>
  </rowBreaks>
  <colBreaks count="1" manualBreakCount="1">
    <brk id="14" max="272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S282"/>
  <sheetViews>
    <sheetView view="pageBreakPreview" zoomScale="80" zoomScaleNormal="100" zoomScaleSheetLayoutView="80" workbookViewId="0">
      <pane xSplit="3" ySplit="10" topLeftCell="D226" activePane="bottomRight" state="frozen"/>
      <selection pane="topRight" activeCell="D1" sqref="D1"/>
      <selection pane="bottomLeft" activeCell="A11" sqref="A11"/>
      <selection pane="bottomRight" activeCell="BF257" sqref="BF257:BN257"/>
    </sheetView>
  </sheetViews>
  <sheetFormatPr defaultColWidth="0" defaultRowHeight="12.75" customHeight="1" x14ac:dyDescent="0.2"/>
  <cols>
    <col min="1" max="1" width="19.140625" style="6" customWidth="1"/>
    <col min="2" max="2" width="2.140625" style="14" customWidth="1"/>
    <col min="3" max="3" width="11.42578125" style="6" customWidth="1"/>
    <col min="4" max="4" width="1.85546875" style="7" customWidth="1"/>
    <col min="5" max="5" width="12.7109375" style="6" bestFit="1" customWidth="1"/>
    <col min="6" max="6" width="2" style="6" customWidth="1"/>
    <col min="7" max="7" width="13.7109375" style="6" bestFit="1" customWidth="1"/>
    <col min="8" max="8" width="2" style="6" customWidth="1"/>
    <col min="9" max="9" width="14.28515625" style="6" bestFit="1" customWidth="1"/>
    <col min="10" max="10" width="2" style="6" customWidth="1"/>
    <col min="11" max="11" width="11.7109375" style="6" customWidth="1"/>
    <col min="12" max="12" width="2" style="6" customWidth="1"/>
    <col min="13" max="13" width="12.42578125" style="6" bestFit="1" customWidth="1"/>
    <col min="14" max="14" width="2.140625" style="6" customWidth="1"/>
    <col min="15" max="15" width="12.42578125" style="6" bestFit="1" customWidth="1"/>
    <col min="16" max="16" width="2.7109375" style="6" customWidth="1"/>
    <col min="17" max="17" width="12.42578125" style="6" bestFit="1" customWidth="1"/>
    <col min="18" max="18" width="1.7109375" style="6" customWidth="1"/>
    <col min="19" max="19" width="11.7109375" style="6" customWidth="1"/>
    <col min="20" max="20" width="1.7109375" style="6" customWidth="1"/>
    <col min="21" max="21" width="12.42578125" style="6" bestFit="1" customWidth="1"/>
    <col min="22" max="22" width="1.7109375" style="6" customWidth="1"/>
    <col min="23" max="23" width="13.7109375" style="6" bestFit="1" customWidth="1"/>
    <col min="24" max="24" width="1.7109375" style="14" customWidth="1"/>
    <col min="25" max="25" width="25" style="14" customWidth="1"/>
    <col min="26" max="26" width="19.140625" style="6" customWidth="1"/>
    <col min="27" max="27" width="1.7109375" style="10" customWidth="1"/>
    <col min="28" max="28" width="11.140625" style="6" customWidth="1"/>
    <col min="29" max="29" width="1.7109375" style="14" customWidth="1"/>
    <col min="30" max="30" width="12.42578125" style="6" bestFit="1" customWidth="1"/>
    <col min="31" max="31" width="1.7109375" style="6" customWidth="1"/>
    <col min="32" max="32" width="11.7109375" style="6" customWidth="1"/>
    <col min="33" max="33" width="1.7109375" style="6" customWidth="1"/>
    <col min="34" max="34" width="11.7109375" style="6" customWidth="1"/>
    <col min="35" max="35" width="1.7109375" style="6" customWidth="1"/>
    <col min="36" max="36" width="11.7109375" style="6" customWidth="1"/>
    <col min="37" max="37" width="1.7109375" style="6" customWidth="1"/>
    <col min="38" max="38" width="11.7109375" style="6" customWidth="1"/>
    <col min="39" max="39" width="2.7109375" style="6" customWidth="1"/>
    <col min="40" max="40" width="11.42578125" style="14" customWidth="1"/>
    <col min="41" max="41" width="1.7109375" style="14" customWidth="1"/>
    <col min="42" max="42" width="11.28515625" style="14" customWidth="1"/>
    <col min="43" max="43" width="1.7109375" style="14" customWidth="1"/>
    <col min="44" max="44" width="12.140625" style="14" bestFit="1" customWidth="1"/>
    <col min="45" max="45" width="1.7109375" style="14" customWidth="1"/>
    <col min="46" max="46" width="11.42578125" style="14" bestFit="1" customWidth="1"/>
    <col min="47" max="47" width="1.7109375" style="14" customWidth="1"/>
    <col min="48" max="48" width="10.28515625" style="14" hidden="1" customWidth="1"/>
    <col min="49" max="49" width="1.7109375" style="14" hidden="1" customWidth="1"/>
    <col min="50" max="50" width="9.7109375" style="14" hidden="1" customWidth="1"/>
    <col min="51" max="51" width="1.7109375" style="14" hidden="1" customWidth="1"/>
    <col min="52" max="52" width="12.42578125" style="20" bestFit="1" customWidth="1"/>
    <col min="53" max="53" width="18.28515625" style="14" customWidth="1"/>
    <col min="54" max="54" width="19.28515625" style="18" customWidth="1"/>
    <col min="55" max="55" width="1.42578125" style="18" customWidth="1"/>
    <col min="56" max="56" width="11" style="18" customWidth="1"/>
    <col min="57" max="57" width="1.42578125" style="18" customWidth="1"/>
    <col min="58" max="58" width="12.42578125" style="18" bestFit="1" customWidth="1"/>
    <col min="59" max="59" width="1.42578125" style="18" customWidth="1"/>
    <col min="60" max="60" width="12.7109375" style="18" bestFit="1" customWidth="1"/>
    <col min="61" max="61" width="1.42578125" style="18" customWidth="1"/>
    <col min="62" max="62" width="12.140625" style="18" bestFit="1" customWidth="1"/>
    <col min="63" max="63" width="1.42578125" style="18" customWidth="1"/>
    <col min="64" max="64" width="11.7109375" style="18" bestFit="1" customWidth="1"/>
    <col min="65" max="65" width="1.42578125" style="18" customWidth="1"/>
    <col min="66" max="66" width="12.42578125" style="18" bestFit="1" customWidth="1"/>
    <col min="67" max="67" width="1.7109375" style="18" customWidth="1"/>
    <col min="68" max="68" width="11.7109375" style="18" customWidth="1"/>
    <col min="69" max="69" width="1.7109375" style="18" customWidth="1"/>
    <col min="70" max="72" width="8.42578125" style="18" customWidth="1"/>
    <col min="73" max="73" width="8.42578125" style="30" customWidth="1"/>
    <col min="74" max="95" width="8.42578125" style="18" customWidth="1"/>
    <col min="96" max="228" width="8.42578125" style="6" hidden="1" customWidth="1"/>
    <col min="229" max="16384" width="8.42578125" style="6" hidden="1"/>
  </cols>
  <sheetData>
    <row r="1" spans="1:95" s="24" customFormat="1" ht="12.75" customHeight="1" x14ac:dyDescent="0.2">
      <c r="A1" s="23" t="s">
        <v>389</v>
      </c>
      <c r="D1" s="7"/>
      <c r="Z1" s="23" t="s">
        <v>389</v>
      </c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14"/>
      <c r="BB1" s="23" t="s">
        <v>488</v>
      </c>
      <c r="BE1" s="6"/>
      <c r="BF1" s="6"/>
      <c r="BG1" s="6"/>
      <c r="BH1" s="6"/>
      <c r="BI1" s="6"/>
      <c r="BJ1" s="6"/>
      <c r="BK1" s="6"/>
      <c r="BL1" s="6"/>
      <c r="BM1" s="6"/>
      <c r="BO1" s="17"/>
      <c r="BS1" s="31"/>
      <c r="BT1" s="31"/>
      <c r="BU1" s="73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</row>
    <row r="2" spans="1:95" s="24" customFormat="1" ht="12.75" customHeight="1" x14ac:dyDescent="0.2">
      <c r="A2" s="38" t="s">
        <v>515</v>
      </c>
      <c r="D2" s="7"/>
      <c r="Z2" s="38" t="s">
        <v>518</v>
      </c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14"/>
      <c r="BB2" s="25" t="s">
        <v>346</v>
      </c>
      <c r="BE2" s="6"/>
      <c r="BF2" s="6"/>
      <c r="BG2" s="6"/>
      <c r="BH2" s="6"/>
      <c r="BI2" s="6"/>
      <c r="BJ2" s="6"/>
      <c r="BK2" s="6"/>
      <c r="BL2" s="6"/>
      <c r="BM2" s="6"/>
      <c r="BO2" s="17"/>
      <c r="BS2" s="31"/>
      <c r="BT2" s="31"/>
      <c r="BU2" s="73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</row>
    <row r="3" spans="1:95" s="24" customFormat="1" ht="12.75" customHeight="1" x14ac:dyDescent="0.2">
      <c r="A3" s="23" t="s">
        <v>504</v>
      </c>
      <c r="D3" s="7"/>
      <c r="Z3" s="23" t="s">
        <v>505</v>
      </c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14"/>
      <c r="BB3" s="23" t="s">
        <v>504</v>
      </c>
      <c r="BE3" s="6"/>
      <c r="BF3" s="6"/>
      <c r="BG3" s="6"/>
      <c r="BH3" s="6"/>
      <c r="BI3" s="6"/>
      <c r="BJ3" s="6"/>
      <c r="BK3" s="6"/>
      <c r="BL3" s="6"/>
      <c r="BM3" s="6"/>
      <c r="BO3" s="17"/>
      <c r="BS3" s="18"/>
      <c r="BT3" s="18"/>
      <c r="BU3" s="30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</row>
    <row r="4" spans="1:95" ht="12.75" customHeight="1" x14ac:dyDescent="0.2">
      <c r="A4" s="24" t="s">
        <v>287</v>
      </c>
      <c r="Z4" s="24" t="s">
        <v>287</v>
      </c>
      <c r="AA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B4" s="24" t="s">
        <v>287</v>
      </c>
      <c r="BC4" s="10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17"/>
      <c r="BP4" s="6"/>
      <c r="BQ4" s="6"/>
      <c r="BR4" s="6"/>
    </row>
    <row r="5" spans="1:95" ht="12.75" hidden="1" customHeight="1" x14ac:dyDescent="0.2"/>
    <row r="6" spans="1:95" ht="12.75" hidden="1" customHeight="1" x14ac:dyDescent="0.2">
      <c r="A6" s="24"/>
      <c r="V6" s="39"/>
      <c r="W6" s="39"/>
      <c r="Z6" s="24"/>
      <c r="AA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B6" s="24"/>
      <c r="BC6" s="10"/>
      <c r="BD6" s="6"/>
      <c r="BE6" s="6"/>
      <c r="BF6" s="26"/>
      <c r="BG6" s="26"/>
      <c r="BH6" s="26"/>
      <c r="BI6" s="26"/>
      <c r="BJ6" s="26"/>
      <c r="BK6" s="26"/>
      <c r="BL6" s="26"/>
      <c r="BM6" s="26"/>
      <c r="BN6" s="6"/>
      <c r="BO6" s="17"/>
      <c r="BP6" s="6"/>
      <c r="BQ6" s="6"/>
      <c r="BR6" s="6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</row>
    <row r="7" spans="1:95" ht="12.75" customHeight="1" x14ac:dyDescent="0.2">
      <c r="A7" s="24"/>
      <c r="Q7" s="93" t="s">
        <v>512</v>
      </c>
      <c r="R7" s="93"/>
      <c r="S7" s="93"/>
      <c r="T7" s="93"/>
      <c r="U7" s="93"/>
      <c r="Z7" s="24"/>
      <c r="AT7" s="72"/>
      <c r="AV7" s="68" t="s">
        <v>409</v>
      </c>
      <c r="AW7" s="6"/>
      <c r="AX7" s="68" t="s">
        <v>410</v>
      </c>
      <c r="BB7" s="24"/>
    </row>
    <row r="8" spans="1:95" s="68" customFormat="1" ht="12.75" customHeight="1" x14ac:dyDescent="0.2">
      <c r="D8" s="63"/>
      <c r="Q8" s="68" t="s">
        <v>516</v>
      </c>
      <c r="AV8" s="68" t="s">
        <v>347</v>
      </c>
      <c r="AX8" s="68" t="s">
        <v>347</v>
      </c>
      <c r="BA8" s="14"/>
      <c r="BF8" s="68" t="s">
        <v>294</v>
      </c>
      <c r="BH8" s="68" t="s">
        <v>348</v>
      </c>
      <c r="BL8" s="68" t="s">
        <v>292</v>
      </c>
      <c r="BN8" s="68" t="s">
        <v>5</v>
      </c>
      <c r="BO8" s="17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</row>
    <row r="9" spans="1:95" s="68" customFormat="1" ht="12.75" customHeight="1" x14ac:dyDescent="0.2">
      <c r="E9" s="68" t="s">
        <v>2</v>
      </c>
      <c r="G9" s="68" t="s">
        <v>349</v>
      </c>
      <c r="I9" s="68" t="s">
        <v>5</v>
      </c>
      <c r="K9" s="68" t="s">
        <v>2</v>
      </c>
      <c r="M9" s="68" t="s">
        <v>349</v>
      </c>
      <c r="O9" s="68" t="s">
        <v>5</v>
      </c>
      <c r="Q9" s="68" t="s">
        <v>517</v>
      </c>
      <c r="W9" s="68" t="s">
        <v>5</v>
      </c>
      <c r="AD9" s="68" t="s">
        <v>343</v>
      </c>
      <c r="AF9" s="68" t="s">
        <v>351</v>
      </c>
      <c r="AJ9" s="68" t="s">
        <v>343</v>
      </c>
      <c r="AL9" s="68" t="s">
        <v>352</v>
      </c>
      <c r="AR9" s="68" t="s">
        <v>3</v>
      </c>
      <c r="AT9" s="68" t="s">
        <v>366</v>
      </c>
      <c r="AV9" s="68" t="s">
        <v>411</v>
      </c>
      <c r="AX9" s="68" t="s">
        <v>411</v>
      </c>
      <c r="AZ9" s="68" t="s">
        <v>353</v>
      </c>
      <c r="BA9" s="14"/>
      <c r="BF9" s="68" t="s">
        <v>354</v>
      </c>
      <c r="BH9" s="68" t="s">
        <v>300</v>
      </c>
      <c r="BL9" s="68" t="s">
        <v>350</v>
      </c>
      <c r="BN9" s="68" t="s">
        <v>350</v>
      </c>
      <c r="BO9" s="17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</row>
    <row r="10" spans="1:95" s="68" customFormat="1" ht="12.75" customHeight="1" x14ac:dyDescent="0.2">
      <c r="A10" s="67" t="s">
        <v>6</v>
      </c>
      <c r="C10" s="67" t="s">
        <v>7</v>
      </c>
      <c r="E10" s="67" t="s">
        <v>0</v>
      </c>
      <c r="G10" s="67" t="s">
        <v>0</v>
      </c>
      <c r="I10" s="67" t="s">
        <v>0</v>
      </c>
      <c r="K10" s="67" t="s">
        <v>1</v>
      </c>
      <c r="M10" s="67" t="s">
        <v>1</v>
      </c>
      <c r="O10" s="67" t="s">
        <v>1</v>
      </c>
      <c r="Q10" s="67" t="s">
        <v>0</v>
      </c>
      <c r="S10" s="67" t="s">
        <v>8</v>
      </c>
      <c r="U10" s="67" t="s">
        <v>9</v>
      </c>
      <c r="W10" s="67" t="s">
        <v>512</v>
      </c>
      <c r="Z10" s="67" t="s">
        <v>6</v>
      </c>
      <c r="AB10" s="67" t="s">
        <v>7</v>
      </c>
      <c r="AD10" s="27" t="s">
        <v>300</v>
      </c>
      <c r="AE10" s="27"/>
      <c r="AF10" s="27" t="s">
        <v>355</v>
      </c>
      <c r="AH10" s="27" t="s">
        <v>355</v>
      </c>
      <c r="AJ10" s="27" t="s">
        <v>356</v>
      </c>
      <c r="AL10" s="27" t="s">
        <v>412</v>
      </c>
      <c r="AN10" s="27" t="s">
        <v>357</v>
      </c>
      <c r="AP10" s="27" t="s">
        <v>358</v>
      </c>
      <c r="AR10" s="27" t="s">
        <v>359</v>
      </c>
      <c r="AT10" s="27" t="s">
        <v>512</v>
      </c>
      <c r="AV10" s="67" t="s">
        <v>413</v>
      </c>
      <c r="AX10" s="67" t="s">
        <v>413</v>
      </c>
      <c r="AZ10" s="27" t="s">
        <v>3</v>
      </c>
      <c r="BA10" s="14"/>
      <c r="BB10" s="67" t="s">
        <v>6</v>
      </c>
      <c r="BD10" s="67" t="s">
        <v>7</v>
      </c>
      <c r="BF10" s="27" t="s">
        <v>360</v>
      </c>
      <c r="BH10" s="27" t="s">
        <v>360</v>
      </c>
      <c r="BJ10" s="27" t="s">
        <v>361</v>
      </c>
      <c r="BL10" s="27" t="s">
        <v>362</v>
      </c>
      <c r="BN10" s="67" t="s">
        <v>362</v>
      </c>
      <c r="BO10" s="17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</row>
    <row r="11" spans="1:95" s="68" customFormat="1" ht="12.75" customHeight="1" x14ac:dyDescent="0.2">
      <c r="BA11" s="14"/>
      <c r="BO11" s="17"/>
      <c r="BS11" s="18"/>
      <c r="BT11" s="18"/>
      <c r="BU11" s="30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</row>
    <row r="12" spans="1:95" s="19" customFormat="1" ht="12.75" hidden="1" customHeight="1" x14ac:dyDescent="0.2">
      <c r="A12" s="6" t="s">
        <v>10</v>
      </c>
      <c r="B12" s="14"/>
      <c r="C12" s="6" t="s">
        <v>11</v>
      </c>
      <c r="D12" s="7"/>
      <c r="E12" s="28">
        <v>16632282</v>
      </c>
      <c r="F12" s="28"/>
      <c r="G12" s="28">
        <v>143755183</v>
      </c>
      <c r="H12" s="28"/>
      <c r="I12" s="28">
        <f>+E12+G12</f>
        <v>160387465</v>
      </c>
      <c r="J12" s="28"/>
      <c r="K12" s="28">
        <v>9357410</v>
      </c>
      <c r="L12" s="28"/>
      <c r="M12" s="28">
        <v>46494109</v>
      </c>
      <c r="N12" s="28"/>
      <c r="O12" s="28">
        <f>+K12+M12</f>
        <v>55851519</v>
      </c>
      <c r="P12" s="28"/>
      <c r="Q12" s="28">
        <v>97108075</v>
      </c>
      <c r="R12" s="28"/>
      <c r="S12" s="28">
        <v>3064054</v>
      </c>
      <c r="T12" s="28"/>
      <c r="U12" s="28">
        <v>3315080</v>
      </c>
      <c r="V12" s="28"/>
      <c r="W12" s="28">
        <f t="shared" ref="W12:W81" si="0">SUM(Q12:U12)</f>
        <v>103487209</v>
      </c>
      <c r="Z12" s="6" t="s">
        <v>10</v>
      </c>
      <c r="AA12" s="16"/>
      <c r="AB12" s="6" t="s">
        <v>11</v>
      </c>
      <c r="AC12" s="14"/>
      <c r="AD12" s="28">
        <v>33448401</v>
      </c>
      <c r="AE12" s="28"/>
      <c r="AF12" s="28">
        <f>26625683-4944220</f>
        <v>21681463</v>
      </c>
      <c r="AG12" s="28"/>
      <c r="AH12" s="28">
        <v>4944220</v>
      </c>
      <c r="AI12" s="28"/>
      <c r="AJ12" s="40">
        <f t="shared" ref="AJ12:AJ13" si="1">+AD12-AF12-AH12</f>
        <v>6822718</v>
      </c>
      <c r="AK12" s="40"/>
      <c r="AL12" s="40">
        <v>-1690492</v>
      </c>
      <c r="AM12" s="40"/>
      <c r="AN12" s="28">
        <v>0</v>
      </c>
      <c r="AO12" s="28"/>
      <c r="AP12" s="28">
        <v>0</v>
      </c>
      <c r="AQ12" s="28"/>
      <c r="AR12" s="28">
        <v>235064</v>
      </c>
      <c r="AS12" s="28"/>
      <c r="AT12" s="40">
        <f t="shared" ref="AT12:AT13" si="2">+AJ12+AL12+AN12-AP12+AR12</f>
        <v>5367290</v>
      </c>
      <c r="AU12" s="40"/>
      <c r="AV12" s="28">
        <v>0</v>
      </c>
      <c r="AW12" s="28"/>
      <c r="AX12" s="28">
        <v>0</v>
      </c>
      <c r="AY12" s="28"/>
      <c r="AZ12" s="28">
        <f>E12-K12</f>
        <v>7274872</v>
      </c>
      <c r="BA12" s="21"/>
      <c r="BB12" s="6" t="s">
        <v>10</v>
      </c>
      <c r="BC12" s="6"/>
      <c r="BD12" s="6" t="s">
        <v>11</v>
      </c>
      <c r="BE12" s="16"/>
      <c r="BF12" s="28">
        <v>0</v>
      </c>
      <c r="BG12" s="28"/>
      <c r="BH12" s="28">
        <v>3340000</v>
      </c>
      <c r="BI12" s="28"/>
      <c r="BJ12" s="28">
        <f>1029389+95958</f>
        <v>1125347</v>
      </c>
      <c r="BK12" s="28"/>
      <c r="BL12" s="28">
        <f>46494109+55614</f>
        <v>46549723</v>
      </c>
      <c r="BM12" s="28"/>
      <c r="BN12" s="28">
        <f t="shared" ref="BN12:BN81" si="3">SUM(BF12:BL12)</f>
        <v>51015070</v>
      </c>
      <c r="BO12" s="37"/>
      <c r="BS12" s="36"/>
      <c r="BT12" s="36"/>
      <c r="BU12" s="41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</row>
    <row r="13" spans="1:95" s="19" customFormat="1" ht="12.75" customHeight="1" x14ac:dyDescent="0.2">
      <c r="A13" s="6" t="s">
        <v>12</v>
      </c>
      <c r="B13" s="14"/>
      <c r="C13" s="6" t="s">
        <v>13</v>
      </c>
      <c r="D13" s="7"/>
      <c r="E13" s="28">
        <v>4201747</v>
      </c>
      <c r="F13" s="28"/>
      <c r="G13" s="28">
        <v>14743216</v>
      </c>
      <c r="H13" s="28"/>
      <c r="I13" s="28">
        <f>+E13+G13</f>
        <v>18944963</v>
      </c>
      <c r="J13" s="28"/>
      <c r="K13" s="28">
        <v>1621367</v>
      </c>
      <c r="L13" s="28"/>
      <c r="M13" s="28">
        <v>10435223</v>
      </c>
      <c r="N13" s="28"/>
      <c r="O13" s="28">
        <f>+K13+M13</f>
        <v>12056590</v>
      </c>
      <c r="P13" s="28"/>
      <c r="Q13" s="28">
        <v>2981331</v>
      </c>
      <c r="R13" s="28"/>
      <c r="S13" s="28">
        <f>592084+1903787</f>
        <v>2495871</v>
      </c>
      <c r="T13" s="28"/>
      <c r="U13" s="28">
        <v>2354737</v>
      </c>
      <c r="V13" s="28"/>
      <c r="W13" s="28">
        <f t="shared" si="0"/>
        <v>7831939</v>
      </c>
      <c r="Z13" s="6" t="s">
        <v>12</v>
      </c>
      <c r="AA13" s="16"/>
      <c r="AB13" s="6" t="s">
        <v>13</v>
      </c>
      <c r="AC13" s="14"/>
      <c r="AD13" s="28">
        <v>4935880</v>
      </c>
      <c r="AE13" s="28"/>
      <c r="AF13" s="28">
        <f>3876124-594115</f>
        <v>3282009</v>
      </c>
      <c r="AG13" s="28"/>
      <c r="AH13" s="28">
        <v>594115</v>
      </c>
      <c r="AI13" s="28"/>
      <c r="AJ13" s="40">
        <f t="shared" si="1"/>
        <v>1059756</v>
      </c>
      <c r="AK13" s="40"/>
      <c r="AL13" s="40">
        <v>-259760</v>
      </c>
      <c r="AM13" s="40"/>
      <c r="AN13" s="28">
        <v>0</v>
      </c>
      <c r="AO13" s="28"/>
      <c r="AP13" s="28">
        <v>0</v>
      </c>
      <c r="AQ13" s="28"/>
      <c r="AR13" s="28">
        <v>0</v>
      </c>
      <c r="AS13" s="28"/>
      <c r="AT13" s="40">
        <f t="shared" si="2"/>
        <v>799996</v>
      </c>
      <c r="AU13" s="40"/>
      <c r="AV13" s="28">
        <v>0</v>
      </c>
      <c r="AW13" s="28"/>
      <c r="AX13" s="28">
        <v>0</v>
      </c>
      <c r="AY13" s="28"/>
      <c r="AZ13" s="28">
        <f t="shared" ref="AZ13:AZ57" si="4">E13-K13</f>
        <v>2580380</v>
      </c>
      <c r="BA13" s="21"/>
      <c r="BB13" s="6" t="s">
        <v>12</v>
      </c>
      <c r="BC13" s="6"/>
      <c r="BD13" s="6" t="s">
        <v>13</v>
      </c>
      <c r="BE13" s="16"/>
      <c r="BF13" s="28">
        <f>1135182+50010</f>
        <v>1185192</v>
      </c>
      <c r="BG13" s="28"/>
      <c r="BH13" s="28">
        <f>9092028+1133295</f>
        <v>10225323</v>
      </c>
      <c r="BI13" s="28"/>
      <c r="BJ13" s="28">
        <v>0</v>
      </c>
      <c r="BK13" s="28"/>
      <c r="BL13" s="28">
        <f>208013+207450</f>
        <v>415463</v>
      </c>
      <c r="BM13" s="28"/>
      <c r="BN13" s="28">
        <f t="shared" si="3"/>
        <v>11825978</v>
      </c>
      <c r="BO13" s="37"/>
      <c r="BS13" s="36"/>
      <c r="BT13" s="36"/>
      <c r="BU13" s="41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</row>
    <row r="14" spans="1:95" ht="12.75" customHeight="1" x14ac:dyDescent="0.2">
      <c r="A14" s="6" t="s">
        <v>14</v>
      </c>
      <c r="C14" s="6" t="s">
        <v>15</v>
      </c>
      <c r="E14" s="16">
        <v>1609205</v>
      </c>
      <c r="F14" s="16"/>
      <c r="G14" s="16">
        <v>4086907</v>
      </c>
      <c r="H14" s="16"/>
      <c r="I14" s="16">
        <f>+E14+G14</f>
        <v>5696112</v>
      </c>
      <c r="J14" s="16"/>
      <c r="K14" s="16">
        <v>396366</v>
      </c>
      <c r="L14" s="16"/>
      <c r="M14" s="16">
        <v>968312</v>
      </c>
      <c r="N14" s="16"/>
      <c r="O14" s="16">
        <f>+K14+M14</f>
        <v>1364678</v>
      </c>
      <c r="P14" s="16"/>
      <c r="Q14" s="16">
        <v>3026907</v>
      </c>
      <c r="R14" s="16"/>
      <c r="S14" s="16">
        <v>0</v>
      </c>
      <c r="T14" s="16"/>
      <c r="U14" s="16">
        <v>1304527</v>
      </c>
      <c r="V14" s="16"/>
      <c r="W14" s="16">
        <f t="shared" si="0"/>
        <v>4331434</v>
      </c>
      <c r="Z14" s="6" t="s">
        <v>14</v>
      </c>
      <c r="AA14" s="16"/>
      <c r="AB14" s="6" t="s">
        <v>15</v>
      </c>
      <c r="AD14" s="16">
        <v>2761070</v>
      </c>
      <c r="AE14" s="16"/>
      <c r="AF14" s="16">
        <f>2815635-164699</f>
        <v>2650936</v>
      </c>
      <c r="AG14" s="16"/>
      <c r="AH14" s="16">
        <v>164699</v>
      </c>
      <c r="AI14" s="16"/>
      <c r="AJ14" s="8">
        <f t="shared" ref="AJ14:AJ79" si="5">+AD14-AF14-AH14</f>
        <v>-54565</v>
      </c>
      <c r="AK14" s="8"/>
      <c r="AL14" s="16">
        <v>-49096</v>
      </c>
      <c r="AM14" s="8"/>
      <c r="AN14" s="16">
        <v>0</v>
      </c>
      <c r="AO14" s="16"/>
      <c r="AP14" s="16">
        <v>0</v>
      </c>
      <c r="AQ14" s="16"/>
      <c r="AR14" s="16">
        <v>0</v>
      </c>
      <c r="AS14" s="16"/>
      <c r="AT14" s="8">
        <f t="shared" ref="AT14:AT79" si="6">+AJ14+AL14+AN14-AP14+AR14</f>
        <v>-103661</v>
      </c>
      <c r="AU14" s="8"/>
      <c r="AV14" s="16">
        <v>0</v>
      </c>
      <c r="AW14" s="16"/>
      <c r="AX14" s="16">
        <v>0</v>
      </c>
      <c r="AY14" s="16"/>
      <c r="AZ14" s="16">
        <f t="shared" si="4"/>
        <v>1212839</v>
      </c>
      <c r="BB14" s="6" t="s">
        <v>14</v>
      </c>
      <c r="BC14" s="6"/>
      <c r="BD14" s="6" t="s">
        <v>15</v>
      </c>
      <c r="BE14" s="16"/>
      <c r="BF14" s="16">
        <f>960000+100000</f>
        <v>1060000</v>
      </c>
      <c r="BG14" s="16"/>
      <c r="BH14" s="16">
        <v>0</v>
      </c>
      <c r="BI14" s="16"/>
      <c r="BJ14" s="16">
        <v>0</v>
      </c>
      <c r="BK14" s="16"/>
      <c r="BL14" s="16">
        <f>8312+476</f>
        <v>8788</v>
      </c>
      <c r="BM14" s="16"/>
      <c r="BN14" s="16">
        <f t="shared" si="3"/>
        <v>1068788</v>
      </c>
      <c r="BO14" s="17"/>
      <c r="BP14" s="6"/>
      <c r="BQ14" s="6"/>
      <c r="BR14" s="6"/>
    </row>
    <row r="15" spans="1:95" ht="12.75" customHeight="1" x14ac:dyDescent="0.2">
      <c r="A15" s="6" t="s">
        <v>16</v>
      </c>
      <c r="C15" s="6" t="s">
        <v>16</v>
      </c>
      <c r="E15" s="16">
        <v>1663834</v>
      </c>
      <c r="F15" s="16"/>
      <c r="G15" s="16">
        <v>14288117</v>
      </c>
      <c r="H15" s="16"/>
      <c r="I15" s="16">
        <f>+E15+G15</f>
        <v>15951951</v>
      </c>
      <c r="J15" s="16"/>
      <c r="K15" s="16">
        <v>506917</v>
      </c>
      <c r="L15" s="16"/>
      <c r="M15" s="16">
        <v>4519615</v>
      </c>
      <c r="N15" s="16"/>
      <c r="O15" s="16">
        <f>+K15+M15</f>
        <v>5026532</v>
      </c>
      <c r="P15" s="16"/>
      <c r="Q15" s="16">
        <v>9449876</v>
      </c>
      <c r="R15" s="16"/>
      <c r="S15" s="16">
        <v>0</v>
      </c>
      <c r="T15" s="16"/>
      <c r="U15" s="16">
        <v>1475543</v>
      </c>
      <c r="V15" s="16"/>
      <c r="W15" s="16">
        <f t="shared" si="0"/>
        <v>10925419</v>
      </c>
      <c r="Z15" s="6" t="s">
        <v>16</v>
      </c>
      <c r="AA15" s="16"/>
      <c r="AB15" s="6" t="s">
        <v>16</v>
      </c>
      <c r="AD15" s="16">
        <v>3298482</v>
      </c>
      <c r="AE15" s="16"/>
      <c r="AF15" s="16">
        <f>3124149-553576</f>
        <v>2570573</v>
      </c>
      <c r="AG15" s="16"/>
      <c r="AH15" s="16">
        <v>553576</v>
      </c>
      <c r="AI15" s="16"/>
      <c r="AJ15" s="8">
        <f t="shared" si="5"/>
        <v>174333</v>
      </c>
      <c r="AK15" s="8"/>
      <c r="AL15" s="16">
        <v>-176481</v>
      </c>
      <c r="AM15" s="8"/>
      <c r="AN15" s="16">
        <v>17065</v>
      </c>
      <c r="AO15" s="16"/>
      <c r="AP15" s="16">
        <v>0</v>
      </c>
      <c r="AQ15" s="16"/>
      <c r="AR15" s="16">
        <v>0</v>
      </c>
      <c r="AS15" s="16"/>
      <c r="AT15" s="8">
        <f t="shared" si="6"/>
        <v>14917</v>
      </c>
      <c r="AU15" s="8"/>
      <c r="AV15" s="16">
        <v>0</v>
      </c>
      <c r="AW15" s="16"/>
      <c r="AX15" s="16">
        <v>0</v>
      </c>
      <c r="AY15" s="16"/>
      <c r="AZ15" s="16">
        <f t="shared" si="4"/>
        <v>1156917</v>
      </c>
      <c r="BB15" s="6" t="s">
        <v>16</v>
      </c>
      <c r="BC15" s="6"/>
      <c r="BD15" s="6" t="s">
        <v>16</v>
      </c>
      <c r="BE15" s="16"/>
      <c r="BF15" s="16">
        <f>4466241+372000</f>
        <v>4838241</v>
      </c>
      <c r="BG15" s="16"/>
      <c r="BH15" s="16">
        <v>0</v>
      </c>
      <c r="BI15" s="16"/>
      <c r="BJ15" s="16">
        <v>0</v>
      </c>
      <c r="BK15" s="16"/>
      <c r="BL15" s="16">
        <f>53374+2122</f>
        <v>55496</v>
      </c>
      <c r="BM15" s="16"/>
      <c r="BN15" s="16">
        <f t="shared" si="3"/>
        <v>4893737</v>
      </c>
      <c r="BO15" s="17"/>
      <c r="BP15" s="6"/>
      <c r="BQ15" s="6"/>
      <c r="BR15" s="6"/>
    </row>
    <row r="16" spans="1:95" ht="12.75" hidden="1" customHeight="1" x14ac:dyDescent="0.2">
      <c r="A16" s="6" t="s">
        <v>17</v>
      </c>
      <c r="C16" s="6" t="s">
        <v>17</v>
      </c>
      <c r="E16" s="16">
        <f t="shared" ref="E16:E78" si="7">I16-G16</f>
        <v>0</v>
      </c>
      <c r="F16" s="16"/>
      <c r="G16" s="16"/>
      <c r="H16" s="16"/>
      <c r="I16" s="16"/>
      <c r="J16" s="16"/>
      <c r="K16" s="16">
        <f t="shared" ref="K16:K78" si="8">O16-M16</f>
        <v>0</v>
      </c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>
        <f t="shared" si="0"/>
        <v>0</v>
      </c>
      <c r="Z16" s="6" t="s">
        <v>17</v>
      </c>
      <c r="AA16" s="16"/>
      <c r="AB16" s="6" t="s">
        <v>17</v>
      </c>
      <c r="AD16" s="16"/>
      <c r="AE16" s="16"/>
      <c r="AF16" s="16"/>
      <c r="AG16" s="16"/>
      <c r="AH16" s="16"/>
      <c r="AI16" s="16"/>
      <c r="AJ16" s="8">
        <f t="shared" si="5"/>
        <v>0</v>
      </c>
      <c r="AK16" s="8"/>
      <c r="AL16" s="16"/>
      <c r="AM16" s="8"/>
      <c r="AN16" s="16"/>
      <c r="AO16" s="16"/>
      <c r="AP16" s="16"/>
      <c r="AQ16" s="16"/>
      <c r="AR16" s="16"/>
      <c r="AS16" s="16"/>
      <c r="AT16" s="8">
        <f t="shared" si="6"/>
        <v>0</v>
      </c>
      <c r="AU16" s="8"/>
      <c r="AV16" s="16">
        <v>0</v>
      </c>
      <c r="AW16" s="16"/>
      <c r="AX16" s="16">
        <v>0</v>
      </c>
      <c r="AY16" s="16"/>
      <c r="AZ16" s="16">
        <f t="shared" si="4"/>
        <v>0</v>
      </c>
      <c r="BB16" s="6" t="s">
        <v>17</v>
      </c>
      <c r="BC16" s="6"/>
      <c r="BD16" s="6" t="s">
        <v>17</v>
      </c>
      <c r="BE16" s="16"/>
      <c r="BF16" s="16"/>
      <c r="BG16" s="16"/>
      <c r="BH16" s="16"/>
      <c r="BI16" s="16"/>
      <c r="BJ16" s="16"/>
      <c r="BK16" s="16"/>
      <c r="BL16" s="16"/>
      <c r="BM16" s="16"/>
      <c r="BN16" s="16">
        <f t="shared" si="3"/>
        <v>0</v>
      </c>
      <c r="BO16" s="17"/>
      <c r="BP16" s="6"/>
      <c r="BQ16" s="6"/>
      <c r="BR16" s="6"/>
    </row>
    <row r="17" spans="1:70" ht="12.75" customHeight="1" x14ac:dyDescent="0.2">
      <c r="A17" s="6" t="s">
        <v>18</v>
      </c>
      <c r="C17" s="6" t="s">
        <v>18</v>
      </c>
      <c r="E17" s="16">
        <f>1141810+293766+27551+248192+11344</f>
        <v>1722663</v>
      </c>
      <c r="F17" s="16"/>
      <c r="G17" s="16">
        <f>697482+6304357</f>
        <v>7001839</v>
      </c>
      <c r="H17" s="16"/>
      <c r="I17" s="16">
        <f>+E17+G17</f>
        <v>8724502</v>
      </c>
      <c r="J17" s="16"/>
      <c r="K17" s="16">
        <f t="shared" si="8"/>
        <v>349040</v>
      </c>
      <c r="L17" s="16"/>
      <c r="M17" s="16">
        <f>52684+990375</f>
        <v>1043059</v>
      </c>
      <c r="N17" s="16"/>
      <c r="O17" s="16">
        <v>1392099</v>
      </c>
      <c r="P17" s="16"/>
      <c r="Q17" s="16">
        <v>5987464</v>
      </c>
      <c r="R17" s="16"/>
      <c r="S17" s="16">
        <v>0</v>
      </c>
      <c r="T17" s="16"/>
      <c r="U17" s="16">
        <v>1344939</v>
      </c>
      <c r="V17" s="16"/>
      <c r="W17" s="16">
        <f t="shared" si="0"/>
        <v>7332403</v>
      </c>
      <c r="X17" s="6"/>
      <c r="Y17" s="6"/>
      <c r="Z17" s="6" t="s">
        <v>18</v>
      </c>
      <c r="AA17" s="16"/>
      <c r="AB17" s="6" t="s">
        <v>18</v>
      </c>
      <c r="AD17" s="16">
        <v>3198218</v>
      </c>
      <c r="AE17" s="16"/>
      <c r="AF17" s="16">
        <f>3098952-296689</f>
        <v>2802263</v>
      </c>
      <c r="AG17" s="16"/>
      <c r="AH17" s="16">
        <v>296689</v>
      </c>
      <c r="AI17" s="16"/>
      <c r="AJ17" s="8">
        <f t="shared" si="5"/>
        <v>99266</v>
      </c>
      <c r="AK17" s="8"/>
      <c r="AL17" s="16">
        <v>36818</v>
      </c>
      <c r="AM17" s="8"/>
      <c r="AN17" s="16">
        <v>1676</v>
      </c>
      <c r="AO17" s="16"/>
      <c r="AP17" s="16">
        <v>0</v>
      </c>
      <c r="AQ17" s="16"/>
      <c r="AR17" s="16">
        <v>0</v>
      </c>
      <c r="AS17" s="16"/>
      <c r="AT17" s="8">
        <f t="shared" si="6"/>
        <v>137760</v>
      </c>
      <c r="AU17" s="8"/>
      <c r="AV17" s="16">
        <v>0</v>
      </c>
      <c r="AW17" s="16"/>
      <c r="AX17" s="16">
        <v>0</v>
      </c>
      <c r="AY17" s="16"/>
      <c r="AZ17" s="16">
        <f t="shared" si="4"/>
        <v>1373623</v>
      </c>
      <c r="BB17" s="6" t="s">
        <v>18</v>
      </c>
      <c r="BC17" s="6"/>
      <c r="BD17" s="6" t="s">
        <v>18</v>
      </c>
      <c r="BE17" s="16"/>
      <c r="BF17" s="16">
        <v>0</v>
      </c>
      <c r="BG17" s="16"/>
      <c r="BH17" s="16">
        <v>0</v>
      </c>
      <c r="BI17" s="16"/>
      <c r="BJ17" s="16">
        <f>990375+24000</f>
        <v>1014375</v>
      </c>
      <c r="BK17" s="16"/>
      <c r="BL17" s="16">
        <f>115382+52684</f>
        <v>168066</v>
      </c>
      <c r="BM17" s="16"/>
      <c r="BN17" s="16">
        <f t="shared" si="3"/>
        <v>1182441</v>
      </c>
      <c r="BO17" s="17"/>
      <c r="BP17" s="6"/>
      <c r="BQ17" s="6"/>
      <c r="BR17" s="6"/>
    </row>
    <row r="18" spans="1:70" ht="12.75" customHeight="1" x14ac:dyDescent="0.2">
      <c r="A18" s="6" t="s">
        <v>19</v>
      </c>
      <c r="C18" s="6" t="s">
        <v>20</v>
      </c>
      <c r="E18" s="16">
        <v>1921442</v>
      </c>
      <c r="F18" s="16"/>
      <c r="G18" s="16">
        <v>12421817</v>
      </c>
      <c r="H18" s="16"/>
      <c r="I18" s="16">
        <f>+E18+G18</f>
        <v>14343259</v>
      </c>
      <c r="J18" s="16"/>
      <c r="K18" s="16">
        <v>589469</v>
      </c>
      <c r="L18" s="16"/>
      <c r="M18" s="16">
        <v>122539</v>
      </c>
      <c r="N18" s="16"/>
      <c r="O18" s="16">
        <f>+K18+M18</f>
        <v>712008</v>
      </c>
      <c r="P18" s="16"/>
      <c r="Q18" s="16">
        <v>12311817</v>
      </c>
      <c r="R18" s="16"/>
      <c r="S18" s="16">
        <v>0</v>
      </c>
      <c r="T18" s="16"/>
      <c r="U18" s="16">
        <v>1319434</v>
      </c>
      <c r="V18" s="16"/>
      <c r="W18" s="16">
        <f t="shared" si="0"/>
        <v>13631251</v>
      </c>
      <c r="Z18" s="6" t="s">
        <v>19</v>
      </c>
      <c r="AA18" s="16"/>
      <c r="AB18" s="6" t="s">
        <v>20</v>
      </c>
      <c r="AD18" s="16">
        <v>3058872</v>
      </c>
      <c r="AE18" s="16"/>
      <c r="AF18" s="16">
        <f>2975408-345566</f>
        <v>2629842</v>
      </c>
      <c r="AG18" s="16"/>
      <c r="AH18" s="16">
        <v>345566</v>
      </c>
      <c r="AI18" s="16"/>
      <c r="AJ18" s="8">
        <f t="shared" si="5"/>
        <v>83464</v>
      </c>
      <c r="AK18" s="8"/>
      <c r="AL18" s="16">
        <v>-34355</v>
      </c>
      <c r="AM18" s="8"/>
      <c r="AN18" s="16">
        <v>0</v>
      </c>
      <c r="AO18" s="16"/>
      <c r="AP18" s="16">
        <v>0</v>
      </c>
      <c r="AQ18" s="16"/>
      <c r="AR18" s="16">
        <v>0</v>
      </c>
      <c r="AS18" s="16"/>
      <c r="AT18" s="8">
        <f t="shared" si="6"/>
        <v>49109</v>
      </c>
      <c r="AU18" s="8"/>
      <c r="AV18" s="16">
        <v>0</v>
      </c>
      <c r="AW18" s="16"/>
      <c r="AX18" s="16">
        <v>0</v>
      </c>
      <c r="AY18" s="16"/>
      <c r="AZ18" s="16">
        <f t="shared" si="4"/>
        <v>1331973</v>
      </c>
      <c r="BB18" s="6" t="s">
        <v>19</v>
      </c>
      <c r="BC18" s="6"/>
      <c r="BD18" s="6" t="s">
        <v>20</v>
      </c>
      <c r="BE18" s="16"/>
      <c r="BF18" s="16">
        <v>0</v>
      </c>
      <c r="BG18" s="16"/>
      <c r="BH18" s="16">
        <v>0</v>
      </c>
      <c r="BI18" s="16"/>
      <c r="BJ18" s="16">
        <f>100000+10000</f>
        <v>110000</v>
      </c>
      <c r="BK18" s="16"/>
      <c r="BL18" s="16">
        <f>107+22539</f>
        <v>22646</v>
      </c>
      <c r="BM18" s="16"/>
      <c r="BN18" s="16">
        <f t="shared" si="3"/>
        <v>132646</v>
      </c>
      <c r="BO18" s="17"/>
      <c r="BP18" s="6"/>
      <c r="BQ18" s="6"/>
      <c r="BR18" s="6"/>
    </row>
    <row r="19" spans="1:70" ht="12.75" customHeight="1" x14ac:dyDescent="0.2">
      <c r="A19" s="6" t="s">
        <v>21</v>
      </c>
      <c r="C19" s="6" t="s">
        <v>15</v>
      </c>
      <c r="E19" s="16">
        <v>3736760</v>
      </c>
      <c r="F19" s="16"/>
      <c r="G19" s="16">
        <v>12402601</v>
      </c>
      <c r="H19" s="16"/>
      <c r="I19" s="16">
        <f>+E19+G19</f>
        <v>16139361</v>
      </c>
      <c r="J19" s="16"/>
      <c r="K19" s="16">
        <v>539451</v>
      </c>
      <c r="L19" s="16"/>
      <c r="M19" s="16">
        <v>3058065</v>
      </c>
      <c r="N19" s="16"/>
      <c r="O19" s="16">
        <f>+K19+M19</f>
        <v>3597516</v>
      </c>
      <c r="P19" s="16"/>
      <c r="Q19" s="16">
        <v>9253988</v>
      </c>
      <c r="R19" s="16"/>
      <c r="S19" s="16">
        <v>0</v>
      </c>
      <c r="T19" s="16"/>
      <c r="U19" s="16">
        <v>3287857</v>
      </c>
      <c r="V19" s="16"/>
      <c r="W19" s="16">
        <f t="shared" si="0"/>
        <v>12541845</v>
      </c>
      <c r="Z19" s="6" t="s">
        <v>21</v>
      </c>
      <c r="AA19" s="16"/>
      <c r="AB19" s="6" t="s">
        <v>15</v>
      </c>
      <c r="AD19" s="16">
        <v>2992481</v>
      </c>
      <c r="AE19" s="16"/>
      <c r="AF19" s="16">
        <f>3144869-1143807</f>
        <v>2001062</v>
      </c>
      <c r="AG19" s="16"/>
      <c r="AH19" s="16">
        <v>1143807</v>
      </c>
      <c r="AI19" s="16"/>
      <c r="AJ19" s="8">
        <f t="shared" si="5"/>
        <v>-152388</v>
      </c>
      <c r="AK19" s="8"/>
      <c r="AL19" s="16">
        <v>-119290</v>
      </c>
      <c r="AM19" s="8"/>
      <c r="AN19" s="16">
        <v>55272</v>
      </c>
      <c r="AO19" s="16"/>
      <c r="AP19" s="16">
        <v>99620</v>
      </c>
      <c r="AQ19" s="16"/>
      <c r="AR19" s="16">
        <v>87805</v>
      </c>
      <c r="AS19" s="16"/>
      <c r="AT19" s="8">
        <f t="shared" si="6"/>
        <v>-228221</v>
      </c>
      <c r="AU19" s="8"/>
      <c r="AV19" s="16">
        <v>0</v>
      </c>
      <c r="AW19" s="16"/>
      <c r="AX19" s="16">
        <v>0</v>
      </c>
      <c r="AY19" s="16"/>
      <c r="AZ19" s="16">
        <f t="shared" si="4"/>
        <v>3197309</v>
      </c>
      <c r="BB19" s="6" t="s">
        <v>21</v>
      </c>
      <c r="BC19" s="6"/>
      <c r="BD19" s="6" t="s">
        <v>15</v>
      </c>
      <c r="BE19" s="16"/>
      <c r="BF19" s="16">
        <f>2454139+10466</f>
        <v>2464605</v>
      </c>
      <c r="BG19" s="16"/>
      <c r="BH19" s="16">
        <v>0</v>
      </c>
      <c r="BI19" s="16"/>
      <c r="BJ19" s="16">
        <v>0</v>
      </c>
      <c r="BK19" s="16"/>
      <c r="BL19" s="16">
        <f>64755+539171+144837+9039</f>
        <v>757802</v>
      </c>
      <c r="BM19" s="16"/>
      <c r="BN19" s="16">
        <f t="shared" si="3"/>
        <v>3222407</v>
      </c>
      <c r="BO19" s="17"/>
      <c r="BP19" s="6"/>
      <c r="BQ19" s="6"/>
      <c r="BR19" s="6"/>
    </row>
    <row r="20" spans="1:70" ht="12.75" customHeight="1" x14ac:dyDescent="0.2">
      <c r="A20" s="6" t="s">
        <v>22</v>
      </c>
      <c r="C20" s="6" t="s">
        <v>15</v>
      </c>
      <c r="E20" s="16">
        <v>2983786</v>
      </c>
      <c r="F20" s="16"/>
      <c r="G20" s="16">
        <v>12910138</v>
      </c>
      <c r="H20" s="16"/>
      <c r="I20" s="16">
        <f>+E20+G20</f>
        <v>15893924</v>
      </c>
      <c r="J20" s="16"/>
      <c r="K20" s="16">
        <v>894683</v>
      </c>
      <c r="L20" s="16"/>
      <c r="M20" s="16">
        <v>1079698</v>
      </c>
      <c r="N20" s="16"/>
      <c r="O20" s="16">
        <f>+K20+M20</f>
        <v>1974381</v>
      </c>
      <c r="P20" s="16"/>
      <c r="Q20" s="16">
        <v>10177215</v>
      </c>
      <c r="R20" s="16"/>
      <c r="S20" s="16">
        <v>0</v>
      </c>
      <c r="T20" s="16"/>
      <c r="U20" s="16">
        <v>3742328</v>
      </c>
      <c r="V20" s="16"/>
      <c r="W20" s="16">
        <f t="shared" ref="W20" si="9">SUM(Q20:U20)</f>
        <v>13919543</v>
      </c>
      <c r="Z20" s="6" t="s">
        <v>21</v>
      </c>
      <c r="AA20" s="16"/>
      <c r="AB20" s="6" t="s">
        <v>15</v>
      </c>
      <c r="AD20" s="16">
        <v>2076858</v>
      </c>
      <c r="AE20" s="16"/>
      <c r="AF20" s="16">
        <f>2557004-362436</f>
        <v>2194568</v>
      </c>
      <c r="AG20" s="16"/>
      <c r="AH20" s="16">
        <v>362436</v>
      </c>
      <c r="AI20" s="16"/>
      <c r="AJ20" s="8">
        <f t="shared" ref="AJ20" si="10">+AD20-AF20-AH20</f>
        <v>-480146</v>
      </c>
      <c r="AK20" s="8"/>
      <c r="AL20" s="16">
        <v>-84686</v>
      </c>
      <c r="AM20" s="8"/>
      <c r="AN20" s="16">
        <v>0</v>
      </c>
      <c r="AO20" s="16"/>
      <c r="AP20" s="16">
        <v>0</v>
      </c>
      <c r="AQ20" s="16"/>
      <c r="AR20" s="16">
        <v>1290440</v>
      </c>
      <c r="AS20" s="16"/>
      <c r="AT20" s="8">
        <f t="shared" ref="AT20" si="11">+AJ20+AL20+AN20-AP20+AR20</f>
        <v>725608</v>
      </c>
      <c r="AU20" s="8"/>
      <c r="AV20" s="16">
        <v>0</v>
      </c>
      <c r="AW20" s="16"/>
      <c r="AX20" s="16">
        <v>0</v>
      </c>
      <c r="AY20" s="16"/>
      <c r="AZ20" s="16">
        <f t="shared" ref="AZ20" si="12">E20-K20</f>
        <v>2089103</v>
      </c>
      <c r="BB20" s="6" t="s">
        <v>22</v>
      </c>
      <c r="BC20" s="6"/>
      <c r="BD20" s="6" t="s">
        <v>15</v>
      </c>
      <c r="BE20" s="16"/>
      <c r="BF20" s="16">
        <f>169107+29400</f>
        <v>198507</v>
      </c>
      <c r="BG20" s="16"/>
      <c r="BH20" s="16">
        <v>0</v>
      </c>
      <c r="BI20" s="16"/>
      <c r="BJ20" s="16">
        <v>0</v>
      </c>
      <c r="BK20" s="16"/>
      <c r="BL20" s="16">
        <f>46970+863621+641350+4409+147870</f>
        <v>1704220</v>
      </c>
      <c r="BM20" s="16"/>
      <c r="BN20" s="16">
        <f t="shared" ref="BN20" si="13">SUM(BF20:BL20)</f>
        <v>1902727</v>
      </c>
      <c r="BO20" s="17"/>
      <c r="BP20" s="6"/>
      <c r="BQ20" s="6"/>
      <c r="BR20" s="6"/>
    </row>
    <row r="21" spans="1:70" ht="12.75" customHeight="1" x14ac:dyDescent="0.2">
      <c r="A21" s="6" t="s">
        <v>23</v>
      </c>
      <c r="B21" s="6"/>
      <c r="C21" s="6" t="s">
        <v>11</v>
      </c>
      <c r="E21" s="16">
        <v>5747727</v>
      </c>
      <c r="F21" s="16"/>
      <c r="G21" s="16">
        <v>22334424</v>
      </c>
      <c r="H21" s="16"/>
      <c r="I21" s="16">
        <f>+E21+G21</f>
        <v>28082151</v>
      </c>
      <c r="J21" s="16"/>
      <c r="K21" s="16">
        <v>1165625</v>
      </c>
      <c r="L21" s="16"/>
      <c r="M21" s="16">
        <v>10847777</v>
      </c>
      <c r="N21" s="16"/>
      <c r="O21" s="16">
        <f>+K21+M21</f>
        <v>12013402</v>
      </c>
      <c r="P21" s="16"/>
      <c r="Q21" s="16">
        <v>10968789</v>
      </c>
      <c r="R21" s="16"/>
      <c r="S21" s="16">
        <v>0</v>
      </c>
      <c r="T21" s="16"/>
      <c r="U21" s="16">
        <v>5099960</v>
      </c>
      <c r="V21" s="16"/>
      <c r="W21" s="16">
        <f t="shared" si="0"/>
        <v>16068749</v>
      </c>
      <c r="Z21" s="6" t="s">
        <v>23</v>
      </c>
      <c r="AA21" s="16"/>
      <c r="AB21" s="6" t="s">
        <v>11</v>
      </c>
      <c r="AC21" s="6"/>
      <c r="AD21" s="16">
        <v>5658203</v>
      </c>
      <c r="AE21" s="16"/>
      <c r="AF21" s="16">
        <f>3966021-526988</f>
        <v>3439033</v>
      </c>
      <c r="AG21" s="16"/>
      <c r="AH21" s="16">
        <v>526988</v>
      </c>
      <c r="AI21" s="16"/>
      <c r="AJ21" s="8">
        <f t="shared" si="5"/>
        <v>1692182</v>
      </c>
      <c r="AK21" s="8"/>
      <c r="AL21" s="16">
        <v>-346391</v>
      </c>
      <c r="AM21" s="8"/>
      <c r="AN21" s="16">
        <v>0</v>
      </c>
      <c r="AO21" s="16"/>
      <c r="AP21" s="16">
        <v>0</v>
      </c>
      <c r="AQ21" s="16"/>
      <c r="AR21" s="16">
        <v>984616</v>
      </c>
      <c r="AS21" s="16"/>
      <c r="AT21" s="8">
        <f t="shared" si="6"/>
        <v>2330407</v>
      </c>
      <c r="AU21" s="8"/>
      <c r="AV21" s="16">
        <v>0</v>
      </c>
      <c r="AW21" s="16"/>
      <c r="AX21" s="16">
        <v>0</v>
      </c>
      <c r="AY21" s="16"/>
      <c r="AZ21" s="16">
        <f t="shared" si="4"/>
        <v>4582102</v>
      </c>
      <c r="BB21" s="6" t="s">
        <v>23</v>
      </c>
      <c r="BC21" s="6"/>
      <c r="BD21" s="6" t="s">
        <v>11</v>
      </c>
      <c r="BE21" s="16"/>
      <c r="BF21" s="16">
        <f>871656+126711</f>
        <v>998367</v>
      </c>
      <c r="BG21" s="16"/>
      <c r="BH21" s="16">
        <f>6884715+375000</f>
        <v>7259715</v>
      </c>
      <c r="BI21" s="16"/>
      <c r="BJ21" s="16">
        <f>1985389+875664</f>
        <v>2861053</v>
      </c>
      <c r="BK21" s="16"/>
      <c r="BL21" s="16">
        <f>230353+65539</f>
        <v>295892</v>
      </c>
      <c r="BM21" s="16"/>
      <c r="BN21" s="16">
        <f>SUM(BF21:BL21)</f>
        <v>11415027</v>
      </c>
      <c r="BO21" s="17"/>
      <c r="BP21" s="6"/>
      <c r="BQ21" s="6"/>
      <c r="BR21" s="6"/>
    </row>
    <row r="22" spans="1:70" ht="12.75" hidden="1" customHeight="1" x14ac:dyDescent="0.2">
      <c r="A22" s="6" t="s">
        <v>24</v>
      </c>
      <c r="C22" s="6" t="s">
        <v>25</v>
      </c>
      <c r="E22" s="16">
        <f t="shared" si="7"/>
        <v>0</v>
      </c>
      <c r="F22" s="16"/>
      <c r="G22" s="16"/>
      <c r="H22" s="16"/>
      <c r="I22" s="16"/>
      <c r="J22" s="16"/>
      <c r="K22" s="16">
        <f t="shared" si="8"/>
        <v>0</v>
      </c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>
        <f t="shared" si="0"/>
        <v>0</v>
      </c>
      <c r="Z22" s="6" t="s">
        <v>24</v>
      </c>
      <c r="AA22" s="16"/>
      <c r="AB22" s="6" t="s">
        <v>25</v>
      </c>
      <c r="AD22" s="16"/>
      <c r="AE22" s="16"/>
      <c r="AF22" s="16"/>
      <c r="AG22" s="16"/>
      <c r="AH22" s="16"/>
      <c r="AI22" s="16"/>
      <c r="AJ22" s="8">
        <f t="shared" si="5"/>
        <v>0</v>
      </c>
      <c r="AK22" s="8"/>
      <c r="AL22" s="16"/>
      <c r="AM22" s="8"/>
      <c r="AN22" s="16"/>
      <c r="AO22" s="16"/>
      <c r="AP22" s="16"/>
      <c r="AQ22" s="16"/>
      <c r="AR22" s="16"/>
      <c r="AS22" s="16"/>
      <c r="AT22" s="8">
        <f t="shared" si="6"/>
        <v>0</v>
      </c>
      <c r="AU22" s="8"/>
      <c r="AV22" s="16">
        <v>0</v>
      </c>
      <c r="AW22" s="16"/>
      <c r="AX22" s="16">
        <v>0</v>
      </c>
      <c r="AY22" s="16"/>
      <c r="AZ22" s="16">
        <f t="shared" si="4"/>
        <v>0</v>
      </c>
      <c r="BB22" s="6" t="s">
        <v>24</v>
      </c>
      <c r="BC22" s="6"/>
      <c r="BD22" s="6" t="s">
        <v>25</v>
      </c>
      <c r="BE22" s="16"/>
      <c r="BF22" s="16"/>
      <c r="BG22" s="16"/>
      <c r="BH22" s="16"/>
      <c r="BI22" s="16"/>
      <c r="BJ22" s="16"/>
      <c r="BK22" s="16"/>
      <c r="BL22" s="16"/>
      <c r="BM22" s="16"/>
      <c r="BN22" s="16">
        <f t="shared" si="3"/>
        <v>0</v>
      </c>
      <c r="BO22" s="17"/>
      <c r="BP22" s="6"/>
      <c r="BQ22" s="6"/>
      <c r="BR22" s="6"/>
    </row>
    <row r="23" spans="1:70" ht="12.75" hidden="1" customHeight="1" x14ac:dyDescent="0.2">
      <c r="A23" s="6" t="s">
        <v>26</v>
      </c>
      <c r="C23" s="6" t="s">
        <v>25</v>
      </c>
      <c r="E23" s="16">
        <f t="shared" si="7"/>
        <v>0</v>
      </c>
      <c r="F23" s="16"/>
      <c r="G23" s="16"/>
      <c r="H23" s="16"/>
      <c r="I23" s="16"/>
      <c r="J23" s="16"/>
      <c r="K23" s="16">
        <f t="shared" si="8"/>
        <v>0</v>
      </c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>
        <f t="shared" si="0"/>
        <v>0</v>
      </c>
      <c r="Z23" s="6" t="s">
        <v>26</v>
      </c>
      <c r="AA23" s="16"/>
      <c r="AB23" s="6" t="s">
        <v>25</v>
      </c>
      <c r="AD23" s="16"/>
      <c r="AE23" s="16"/>
      <c r="AF23" s="16"/>
      <c r="AG23" s="16"/>
      <c r="AH23" s="16"/>
      <c r="AI23" s="16"/>
      <c r="AJ23" s="8">
        <f t="shared" si="5"/>
        <v>0</v>
      </c>
      <c r="AK23" s="8"/>
      <c r="AL23" s="16"/>
      <c r="AM23" s="8"/>
      <c r="AN23" s="16"/>
      <c r="AO23" s="16"/>
      <c r="AP23" s="16"/>
      <c r="AQ23" s="16"/>
      <c r="AR23" s="16"/>
      <c r="AS23" s="16"/>
      <c r="AT23" s="8">
        <f t="shared" si="6"/>
        <v>0</v>
      </c>
      <c r="AU23" s="8"/>
      <c r="AV23" s="16">
        <v>0</v>
      </c>
      <c r="AW23" s="16"/>
      <c r="AX23" s="16">
        <v>0</v>
      </c>
      <c r="AY23" s="16"/>
      <c r="AZ23" s="16">
        <f t="shared" si="4"/>
        <v>0</v>
      </c>
      <c r="BB23" s="6" t="s">
        <v>26</v>
      </c>
      <c r="BC23" s="6"/>
      <c r="BD23" s="6" t="s">
        <v>25</v>
      </c>
      <c r="BE23" s="16"/>
      <c r="BF23" s="16"/>
      <c r="BG23" s="16"/>
      <c r="BH23" s="16"/>
      <c r="BI23" s="16"/>
      <c r="BJ23" s="16"/>
      <c r="BK23" s="16"/>
      <c r="BL23" s="16"/>
      <c r="BM23" s="16"/>
      <c r="BN23" s="16">
        <f t="shared" si="3"/>
        <v>0</v>
      </c>
      <c r="BO23" s="17"/>
      <c r="BP23" s="6"/>
      <c r="BQ23" s="6"/>
      <c r="BR23" s="6"/>
    </row>
    <row r="24" spans="1:70" ht="12.75" hidden="1" customHeight="1" x14ac:dyDescent="0.2">
      <c r="A24" s="6" t="s">
        <v>27</v>
      </c>
      <c r="C24" s="6" t="s">
        <v>28</v>
      </c>
      <c r="E24" s="16">
        <f t="shared" si="7"/>
        <v>0</v>
      </c>
      <c r="F24" s="16"/>
      <c r="G24" s="16"/>
      <c r="H24" s="16"/>
      <c r="I24" s="16"/>
      <c r="J24" s="16"/>
      <c r="K24" s="16">
        <f t="shared" si="8"/>
        <v>0</v>
      </c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>
        <f t="shared" si="0"/>
        <v>0</v>
      </c>
      <c r="Z24" s="6" t="s">
        <v>27</v>
      </c>
      <c r="AA24" s="16"/>
      <c r="AB24" s="6" t="s">
        <v>28</v>
      </c>
      <c r="AD24" s="16"/>
      <c r="AE24" s="16"/>
      <c r="AF24" s="16"/>
      <c r="AG24" s="16"/>
      <c r="AH24" s="16"/>
      <c r="AI24" s="16"/>
      <c r="AJ24" s="8">
        <f t="shared" si="5"/>
        <v>0</v>
      </c>
      <c r="AK24" s="8"/>
      <c r="AL24" s="16"/>
      <c r="AM24" s="8"/>
      <c r="AN24" s="16"/>
      <c r="AO24" s="16"/>
      <c r="AP24" s="16"/>
      <c r="AQ24" s="16"/>
      <c r="AR24" s="16"/>
      <c r="AS24" s="16"/>
      <c r="AT24" s="8">
        <f t="shared" si="6"/>
        <v>0</v>
      </c>
      <c r="AU24" s="8"/>
      <c r="AV24" s="16">
        <v>0</v>
      </c>
      <c r="AW24" s="16"/>
      <c r="AX24" s="16">
        <v>0</v>
      </c>
      <c r="AY24" s="16"/>
      <c r="AZ24" s="16">
        <f t="shared" si="4"/>
        <v>0</v>
      </c>
      <c r="BB24" s="6" t="s">
        <v>27</v>
      </c>
      <c r="BC24" s="6"/>
      <c r="BD24" s="6" t="s">
        <v>28</v>
      </c>
      <c r="BE24" s="16"/>
      <c r="BF24" s="16"/>
      <c r="BG24" s="16"/>
      <c r="BH24" s="16"/>
      <c r="BI24" s="16"/>
      <c r="BJ24" s="16"/>
      <c r="BK24" s="16"/>
      <c r="BL24" s="16"/>
      <c r="BM24" s="16"/>
      <c r="BN24" s="16">
        <f t="shared" si="3"/>
        <v>0</v>
      </c>
      <c r="BO24" s="17"/>
      <c r="BP24" s="6"/>
      <c r="BQ24" s="6"/>
      <c r="BR24" s="6"/>
    </row>
    <row r="25" spans="1:70" ht="12.75" customHeight="1" x14ac:dyDescent="0.2">
      <c r="A25" s="6" t="s">
        <v>29</v>
      </c>
      <c r="C25" s="6" t="s">
        <v>25</v>
      </c>
      <c r="E25" s="16">
        <v>4849551</v>
      </c>
      <c r="F25" s="16"/>
      <c r="G25" s="16">
        <v>5610302</v>
      </c>
      <c r="H25" s="16"/>
      <c r="I25" s="16">
        <f>+E25+G25</f>
        <v>10459853</v>
      </c>
      <c r="J25" s="16"/>
      <c r="K25" s="16">
        <v>536212</v>
      </c>
      <c r="L25" s="16"/>
      <c r="M25" s="16">
        <v>2999956</v>
      </c>
      <c r="N25" s="16"/>
      <c r="O25" s="16">
        <f>+K25+M25</f>
        <v>3536168</v>
      </c>
      <c r="P25" s="16"/>
      <c r="Q25" s="16">
        <v>2497493</v>
      </c>
      <c r="R25" s="16"/>
      <c r="S25" s="16">
        <v>0</v>
      </c>
      <c r="T25" s="16"/>
      <c r="U25" s="16">
        <v>4436403</v>
      </c>
      <c r="V25" s="16"/>
      <c r="W25" s="16">
        <f t="shared" si="0"/>
        <v>6933896</v>
      </c>
      <c r="X25" s="6"/>
      <c r="Y25" s="6"/>
      <c r="Z25" s="6" t="s">
        <v>29</v>
      </c>
      <c r="AA25" s="16"/>
      <c r="AB25" s="6" t="s">
        <v>25</v>
      </c>
      <c r="AD25" s="16">
        <v>4565384</v>
      </c>
      <c r="AE25" s="16"/>
      <c r="AF25" s="16">
        <f>3017422-107821</f>
        <v>2909601</v>
      </c>
      <c r="AG25" s="16"/>
      <c r="AH25" s="16">
        <v>107821</v>
      </c>
      <c r="AI25" s="16"/>
      <c r="AJ25" s="8">
        <f t="shared" si="5"/>
        <v>1547962</v>
      </c>
      <c r="AK25" s="8"/>
      <c r="AL25" s="16">
        <v>-164760</v>
      </c>
      <c r="AM25" s="8"/>
      <c r="AN25" s="16">
        <v>0</v>
      </c>
      <c r="AO25" s="16"/>
      <c r="AP25" s="16">
        <v>0</v>
      </c>
      <c r="AQ25" s="16"/>
      <c r="AR25" s="16">
        <v>0</v>
      </c>
      <c r="AS25" s="16"/>
      <c r="AT25" s="8">
        <f t="shared" si="6"/>
        <v>1383202</v>
      </c>
      <c r="AU25" s="8"/>
      <c r="AV25" s="16">
        <v>0</v>
      </c>
      <c r="AW25" s="16"/>
      <c r="AX25" s="16">
        <v>0</v>
      </c>
      <c r="AY25" s="16"/>
      <c r="AZ25" s="16">
        <f t="shared" si="4"/>
        <v>4313339</v>
      </c>
      <c r="BB25" s="6" t="s">
        <v>29</v>
      </c>
      <c r="BC25" s="6"/>
      <c r="BD25" s="6" t="s">
        <v>25</v>
      </c>
      <c r="BE25" s="16"/>
      <c r="BF25" s="16">
        <f>2237647+122200</f>
        <v>2359847</v>
      </c>
      <c r="BG25" s="16"/>
      <c r="BH25" s="16">
        <v>0</v>
      </c>
      <c r="BI25" s="16"/>
      <c r="BJ25" s="16">
        <f>729950+42700</f>
        <v>772650</v>
      </c>
      <c r="BK25" s="16"/>
      <c r="BL25" s="16">
        <f>32359+28002</f>
        <v>60361</v>
      </c>
      <c r="BM25" s="16"/>
      <c r="BN25" s="16">
        <f t="shared" si="3"/>
        <v>3192858</v>
      </c>
      <c r="BO25" s="17"/>
      <c r="BP25" s="6"/>
      <c r="BQ25" s="6"/>
      <c r="BR25" s="6"/>
    </row>
    <row r="26" spans="1:70" ht="12.75" hidden="1" customHeight="1" x14ac:dyDescent="0.2">
      <c r="A26" s="6" t="s">
        <v>30</v>
      </c>
      <c r="C26" s="6" t="s">
        <v>25</v>
      </c>
      <c r="E26" s="16">
        <f t="shared" si="7"/>
        <v>0</v>
      </c>
      <c r="F26" s="16"/>
      <c r="G26" s="16"/>
      <c r="H26" s="16"/>
      <c r="I26" s="16"/>
      <c r="J26" s="16"/>
      <c r="K26" s="16">
        <f t="shared" si="8"/>
        <v>0</v>
      </c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>
        <f t="shared" si="0"/>
        <v>0</v>
      </c>
      <c r="Z26" s="6" t="s">
        <v>30</v>
      </c>
      <c r="AA26" s="16"/>
      <c r="AB26" s="6" t="s">
        <v>25</v>
      </c>
      <c r="AD26" s="16"/>
      <c r="AE26" s="16"/>
      <c r="AF26" s="16"/>
      <c r="AG26" s="16"/>
      <c r="AH26" s="16"/>
      <c r="AI26" s="16"/>
      <c r="AJ26" s="8">
        <f t="shared" si="5"/>
        <v>0</v>
      </c>
      <c r="AK26" s="8"/>
      <c r="AL26" s="16"/>
      <c r="AM26" s="8"/>
      <c r="AN26" s="16"/>
      <c r="AO26" s="16"/>
      <c r="AP26" s="16"/>
      <c r="AQ26" s="16"/>
      <c r="AR26" s="16"/>
      <c r="AS26" s="16"/>
      <c r="AT26" s="8">
        <f t="shared" si="6"/>
        <v>0</v>
      </c>
      <c r="AU26" s="8"/>
      <c r="AV26" s="16">
        <v>0</v>
      </c>
      <c r="AW26" s="16"/>
      <c r="AX26" s="16">
        <v>0</v>
      </c>
      <c r="AY26" s="16"/>
      <c r="AZ26" s="16">
        <f t="shared" si="4"/>
        <v>0</v>
      </c>
      <c r="BB26" s="6" t="s">
        <v>30</v>
      </c>
      <c r="BC26" s="6"/>
      <c r="BD26" s="6" t="s">
        <v>25</v>
      </c>
      <c r="BE26" s="16"/>
      <c r="BF26" s="16"/>
      <c r="BG26" s="16"/>
      <c r="BH26" s="16"/>
      <c r="BI26" s="16"/>
      <c r="BJ26" s="16"/>
      <c r="BK26" s="16"/>
      <c r="BL26" s="16"/>
      <c r="BM26" s="16"/>
      <c r="BN26" s="16">
        <f t="shared" si="3"/>
        <v>0</v>
      </c>
      <c r="BO26" s="17"/>
      <c r="BP26" s="6"/>
      <c r="BQ26" s="6"/>
      <c r="BR26" s="6"/>
    </row>
    <row r="27" spans="1:70" ht="12.75" customHeight="1" x14ac:dyDescent="0.2">
      <c r="A27" s="6" t="s">
        <v>32</v>
      </c>
      <c r="C27" s="6" t="s">
        <v>28</v>
      </c>
      <c r="E27" s="16">
        <v>1669945</v>
      </c>
      <c r="F27" s="16"/>
      <c r="G27" s="16">
        <v>13009683</v>
      </c>
      <c r="H27" s="16"/>
      <c r="I27" s="16">
        <f t="shared" ref="I27:I32" si="14">+E27+G27</f>
        <v>14679628</v>
      </c>
      <c r="J27" s="16"/>
      <c r="K27" s="16">
        <v>259402</v>
      </c>
      <c r="L27" s="16"/>
      <c r="M27" s="16">
        <v>1696197</v>
      </c>
      <c r="N27" s="16"/>
      <c r="O27" s="16">
        <f t="shared" ref="O27:O32" si="15">+K27+M27</f>
        <v>1955599</v>
      </c>
      <c r="P27" s="16"/>
      <c r="Q27" s="16">
        <v>11176224</v>
      </c>
      <c r="R27" s="16"/>
      <c r="S27" s="16">
        <v>0</v>
      </c>
      <c r="T27" s="16"/>
      <c r="U27" s="16">
        <v>1547805</v>
      </c>
      <c r="V27" s="16"/>
      <c r="W27" s="16">
        <f t="shared" ref="W27:W57" si="16">SUM(Q27:U27)</f>
        <v>12724029</v>
      </c>
      <c r="Z27" s="6" t="s">
        <v>32</v>
      </c>
      <c r="AA27" s="16"/>
      <c r="AB27" s="6" t="s">
        <v>28</v>
      </c>
      <c r="AC27" s="6"/>
      <c r="AD27" s="16">
        <v>1703764</v>
      </c>
      <c r="AE27" s="16"/>
      <c r="AF27" s="16">
        <f>1469491-354737</f>
        <v>1114754</v>
      </c>
      <c r="AG27" s="16"/>
      <c r="AH27" s="16">
        <v>354737</v>
      </c>
      <c r="AI27" s="16"/>
      <c r="AJ27" s="8">
        <f t="shared" si="5"/>
        <v>234273</v>
      </c>
      <c r="AK27" s="8"/>
      <c r="AL27" s="16">
        <v>-21517</v>
      </c>
      <c r="AM27" s="8"/>
      <c r="AN27" s="16">
        <v>0</v>
      </c>
      <c r="AO27" s="16"/>
      <c r="AP27" s="16">
        <v>0</v>
      </c>
      <c r="AQ27" s="16"/>
      <c r="AR27" s="16">
        <v>0</v>
      </c>
      <c r="AS27" s="16"/>
      <c r="AT27" s="8">
        <f t="shared" si="6"/>
        <v>212756</v>
      </c>
      <c r="AU27" s="8"/>
      <c r="AV27" s="16">
        <v>0</v>
      </c>
      <c r="AW27" s="16"/>
      <c r="AX27" s="16">
        <v>0</v>
      </c>
      <c r="AY27" s="16"/>
      <c r="AZ27" s="16">
        <f t="shared" si="4"/>
        <v>1410543</v>
      </c>
      <c r="BB27" s="6" t="s">
        <v>32</v>
      </c>
      <c r="BC27" s="6"/>
      <c r="BD27" s="6" t="s">
        <v>28</v>
      </c>
      <c r="BE27" s="16"/>
      <c r="BF27" s="16">
        <f>550000+60000</f>
        <v>610000</v>
      </c>
      <c r="BG27" s="16"/>
      <c r="BH27" s="16">
        <v>0</v>
      </c>
      <c r="BI27" s="16"/>
      <c r="BJ27" s="16">
        <f>1142286+81173</f>
        <v>1223459</v>
      </c>
      <c r="BK27" s="16"/>
      <c r="BL27" s="16">
        <f>3911+46113</f>
        <v>50024</v>
      </c>
      <c r="BM27" s="16"/>
      <c r="BN27" s="16">
        <f t="shared" si="3"/>
        <v>1883483</v>
      </c>
      <c r="BO27" s="17"/>
      <c r="BP27" s="6"/>
      <c r="BQ27" s="6"/>
      <c r="BR27" s="6"/>
    </row>
    <row r="28" spans="1:70" ht="12.75" customHeight="1" x14ac:dyDescent="0.2">
      <c r="A28" s="6" t="s">
        <v>33</v>
      </c>
      <c r="C28" s="6" t="s">
        <v>34</v>
      </c>
      <c r="E28" s="16">
        <v>1044986</v>
      </c>
      <c r="F28" s="16"/>
      <c r="G28" s="16">
        <v>10667273</v>
      </c>
      <c r="H28" s="16"/>
      <c r="I28" s="16">
        <f t="shared" si="14"/>
        <v>11712259</v>
      </c>
      <c r="J28" s="16"/>
      <c r="K28" s="16">
        <v>372321</v>
      </c>
      <c r="L28" s="16"/>
      <c r="M28" s="16">
        <v>1642767</v>
      </c>
      <c r="N28" s="16"/>
      <c r="O28" s="16">
        <f t="shared" si="15"/>
        <v>2015088</v>
      </c>
      <c r="P28" s="16"/>
      <c r="Q28" s="16">
        <v>9135540</v>
      </c>
      <c r="R28" s="16"/>
      <c r="S28" s="16">
        <v>0</v>
      </c>
      <c r="T28" s="16"/>
      <c r="U28" s="16">
        <v>561631</v>
      </c>
      <c r="V28" s="16"/>
      <c r="W28" s="16">
        <f t="shared" si="16"/>
        <v>9697171</v>
      </c>
      <c r="Z28" s="6" t="s">
        <v>33</v>
      </c>
      <c r="AA28" s="16"/>
      <c r="AB28" s="6" t="s">
        <v>34</v>
      </c>
      <c r="AD28" s="16">
        <v>1861119</v>
      </c>
      <c r="AE28" s="16"/>
      <c r="AF28" s="16">
        <f>1454945-253372</f>
        <v>1201573</v>
      </c>
      <c r="AG28" s="16"/>
      <c r="AH28" s="16">
        <v>253372</v>
      </c>
      <c r="AI28" s="16"/>
      <c r="AJ28" s="8">
        <f t="shared" si="5"/>
        <v>406174</v>
      </c>
      <c r="AK28" s="8"/>
      <c r="AL28" s="16">
        <v>-44912</v>
      </c>
      <c r="AM28" s="8"/>
      <c r="AN28" s="16">
        <v>0</v>
      </c>
      <c r="AO28" s="16"/>
      <c r="AP28" s="16">
        <v>0</v>
      </c>
      <c r="AQ28" s="16"/>
      <c r="AR28" s="16">
        <v>0</v>
      </c>
      <c r="AS28" s="16"/>
      <c r="AT28" s="8">
        <f t="shared" si="6"/>
        <v>361262</v>
      </c>
      <c r="AU28" s="8"/>
      <c r="AV28" s="16">
        <v>0</v>
      </c>
      <c r="AW28" s="16"/>
      <c r="AX28" s="16">
        <v>0</v>
      </c>
      <c r="AY28" s="16"/>
      <c r="AZ28" s="16">
        <f t="shared" si="4"/>
        <v>672665</v>
      </c>
      <c r="BB28" s="6" t="s">
        <v>33</v>
      </c>
      <c r="BC28" s="6"/>
      <c r="BD28" s="6" t="s">
        <v>34</v>
      </c>
      <c r="BE28" s="16"/>
      <c r="BF28" s="16">
        <f>153954+281965</f>
        <v>435919</v>
      </c>
      <c r="BG28" s="16"/>
      <c r="BH28" s="16">
        <v>0</v>
      </c>
      <c r="BI28" s="16"/>
      <c r="BJ28" s="16">
        <v>0</v>
      </c>
      <c r="BK28" s="16"/>
      <c r="BL28" s="16">
        <f>8189+110624+712+29382</f>
        <v>148907</v>
      </c>
      <c r="BM28" s="16"/>
      <c r="BN28" s="16">
        <f t="shared" si="3"/>
        <v>584826</v>
      </c>
      <c r="BO28" s="17"/>
      <c r="BP28" s="6"/>
      <c r="BQ28" s="6"/>
      <c r="BR28" s="6"/>
    </row>
    <row r="29" spans="1:70" ht="12.75" customHeight="1" x14ac:dyDescent="0.2">
      <c r="A29" s="6" t="s">
        <v>35</v>
      </c>
      <c r="C29" s="6" t="s">
        <v>36</v>
      </c>
      <c r="E29" s="16">
        <v>1828659</v>
      </c>
      <c r="F29" s="16"/>
      <c r="G29" s="16">
        <f>1704263+8429457</f>
        <v>10133720</v>
      </c>
      <c r="H29" s="16"/>
      <c r="I29" s="16">
        <f t="shared" si="14"/>
        <v>11962379</v>
      </c>
      <c r="J29" s="16"/>
      <c r="K29" s="16">
        <v>158023</v>
      </c>
      <c r="L29" s="16"/>
      <c r="M29" s="16">
        <v>61267</v>
      </c>
      <c r="N29" s="16"/>
      <c r="O29" s="16">
        <f t="shared" si="15"/>
        <v>219290</v>
      </c>
      <c r="P29" s="16"/>
      <c r="Q29" s="16">
        <v>11108720</v>
      </c>
      <c r="R29" s="16"/>
      <c r="S29" s="16">
        <v>0</v>
      </c>
      <c r="T29" s="16"/>
      <c r="U29" s="16">
        <v>634369</v>
      </c>
      <c r="V29" s="16"/>
      <c r="W29" s="16">
        <f t="shared" si="16"/>
        <v>11743089</v>
      </c>
      <c r="Z29" s="6" t="s">
        <v>35</v>
      </c>
      <c r="AA29" s="16"/>
      <c r="AB29" s="6" t="s">
        <v>36</v>
      </c>
      <c r="AD29" s="16">
        <v>2480521</v>
      </c>
      <c r="AE29" s="16"/>
      <c r="AF29" s="16">
        <f>2117120-148870</f>
        <v>1968250</v>
      </c>
      <c r="AG29" s="16"/>
      <c r="AH29" s="16">
        <v>148870</v>
      </c>
      <c r="AI29" s="16"/>
      <c r="AJ29" s="8">
        <f t="shared" si="5"/>
        <v>363401</v>
      </c>
      <c r="AK29" s="8"/>
      <c r="AL29" s="16">
        <v>39708</v>
      </c>
      <c r="AM29" s="8"/>
      <c r="AN29" s="16">
        <v>0</v>
      </c>
      <c r="AO29" s="16"/>
      <c r="AP29" s="16">
        <v>0</v>
      </c>
      <c r="AQ29" s="16"/>
      <c r="AR29" s="16">
        <v>0</v>
      </c>
      <c r="AS29" s="16"/>
      <c r="AT29" s="8">
        <f t="shared" si="6"/>
        <v>403109</v>
      </c>
      <c r="AU29" s="8"/>
      <c r="AV29" s="16">
        <v>0</v>
      </c>
      <c r="AW29" s="16"/>
      <c r="AX29" s="16">
        <v>0</v>
      </c>
      <c r="AY29" s="16"/>
      <c r="AZ29" s="16">
        <f t="shared" si="4"/>
        <v>1670636</v>
      </c>
      <c r="BB29" s="6" t="s">
        <v>35</v>
      </c>
      <c r="BC29" s="6"/>
      <c r="BD29" s="6" t="s">
        <v>36</v>
      </c>
      <c r="BE29" s="16"/>
      <c r="BF29" s="16">
        <v>0</v>
      </c>
      <c r="BG29" s="16"/>
      <c r="BH29" s="16">
        <v>0</v>
      </c>
      <c r="BI29" s="16"/>
      <c r="BJ29" s="16">
        <v>0</v>
      </c>
      <c r="BK29" s="16"/>
      <c r="BL29" s="16">
        <f>61267+26618</f>
        <v>87885</v>
      </c>
      <c r="BM29" s="16"/>
      <c r="BN29" s="16">
        <f t="shared" si="3"/>
        <v>87885</v>
      </c>
      <c r="BO29" s="17"/>
      <c r="BP29" s="6"/>
      <c r="BQ29" s="6"/>
      <c r="BR29" s="6"/>
    </row>
    <row r="30" spans="1:70" ht="12.75" customHeight="1" x14ac:dyDescent="0.2">
      <c r="A30" s="6" t="s">
        <v>37</v>
      </c>
      <c r="C30" s="6" t="s">
        <v>38</v>
      </c>
      <c r="E30" s="16">
        <v>398544</v>
      </c>
      <c r="F30" s="16"/>
      <c r="G30" s="16">
        <v>6522344</v>
      </c>
      <c r="H30" s="16"/>
      <c r="I30" s="16">
        <f t="shared" si="14"/>
        <v>6920888</v>
      </c>
      <c r="J30" s="16"/>
      <c r="K30" s="16">
        <v>564257</v>
      </c>
      <c r="L30" s="16"/>
      <c r="M30" s="16">
        <v>1662040</v>
      </c>
      <c r="N30" s="16"/>
      <c r="O30" s="16">
        <f t="shared" si="15"/>
        <v>2226297</v>
      </c>
      <c r="P30" s="16"/>
      <c r="Q30" s="16">
        <v>4452778</v>
      </c>
      <c r="R30" s="16"/>
      <c r="S30" s="16">
        <v>0</v>
      </c>
      <c r="T30" s="16"/>
      <c r="U30" s="16">
        <v>241813</v>
      </c>
      <c r="V30" s="16"/>
      <c r="W30" s="16">
        <f t="shared" si="16"/>
        <v>4694591</v>
      </c>
      <c r="Z30" s="6" t="s">
        <v>37</v>
      </c>
      <c r="AA30" s="16"/>
      <c r="AB30" s="6" t="s">
        <v>38</v>
      </c>
      <c r="AD30" s="16">
        <v>1002989</v>
      </c>
      <c r="AE30" s="16"/>
      <c r="AF30" s="16">
        <f>558057-157632</f>
        <v>400425</v>
      </c>
      <c r="AG30" s="16"/>
      <c r="AH30" s="16">
        <v>157632</v>
      </c>
      <c r="AI30" s="16"/>
      <c r="AJ30" s="8">
        <f t="shared" si="5"/>
        <v>444932</v>
      </c>
      <c r="AK30" s="8"/>
      <c r="AL30" s="16">
        <v>-95979</v>
      </c>
      <c r="AM30" s="8"/>
      <c r="AN30" s="16">
        <v>0</v>
      </c>
      <c r="AO30" s="16"/>
      <c r="AP30" s="16">
        <v>0</v>
      </c>
      <c r="AQ30" s="16"/>
      <c r="AR30" s="16">
        <v>0</v>
      </c>
      <c r="AS30" s="16"/>
      <c r="AT30" s="8">
        <f t="shared" si="6"/>
        <v>348953</v>
      </c>
      <c r="AU30" s="8"/>
      <c r="AV30" s="16">
        <v>0</v>
      </c>
      <c r="AW30" s="16"/>
      <c r="AX30" s="16">
        <v>0</v>
      </c>
      <c r="AY30" s="16"/>
      <c r="AZ30" s="16">
        <f>E30-K30</f>
        <v>-165713</v>
      </c>
      <c r="BB30" s="6" t="s">
        <v>37</v>
      </c>
      <c r="BC30" s="6"/>
      <c r="BD30" s="6" t="s">
        <v>38</v>
      </c>
      <c r="BE30" s="16"/>
      <c r="BF30" s="16">
        <v>0</v>
      </c>
      <c r="BG30" s="16"/>
      <c r="BH30" s="16">
        <v>0</v>
      </c>
      <c r="BI30" s="16"/>
      <c r="BJ30" s="16">
        <f>37965+263378+4059+79278</f>
        <v>384680</v>
      </c>
      <c r="BK30" s="16"/>
      <c r="BL30" s="16">
        <f>3599+327788+1357098</f>
        <v>1688485</v>
      </c>
      <c r="BM30" s="16"/>
      <c r="BN30" s="16">
        <f t="shared" si="3"/>
        <v>2073165</v>
      </c>
      <c r="BO30" s="17"/>
      <c r="BP30" s="6"/>
      <c r="BQ30" s="6"/>
      <c r="BR30" s="6"/>
    </row>
    <row r="31" spans="1:70" ht="12.75" customHeight="1" x14ac:dyDescent="0.2">
      <c r="A31" s="6" t="s">
        <v>39</v>
      </c>
      <c r="C31" s="6" t="s">
        <v>25</v>
      </c>
      <c r="E31" s="16">
        <v>2786931</v>
      </c>
      <c r="F31" s="16"/>
      <c r="G31" s="16">
        <v>25422844</v>
      </c>
      <c r="H31" s="16"/>
      <c r="I31" s="16">
        <f t="shared" si="14"/>
        <v>28209775</v>
      </c>
      <c r="J31" s="16"/>
      <c r="K31" s="16">
        <v>1984849</v>
      </c>
      <c r="L31" s="16"/>
      <c r="M31" s="16">
        <v>8162632</v>
      </c>
      <c r="N31" s="16"/>
      <c r="O31" s="16">
        <f t="shared" si="15"/>
        <v>10147481</v>
      </c>
      <c r="P31" s="16"/>
      <c r="Q31" s="16">
        <v>15639915</v>
      </c>
      <c r="R31" s="16"/>
      <c r="S31" s="16">
        <v>0</v>
      </c>
      <c r="T31" s="16"/>
      <c r="U31" s="16">
        <v>2422379</v>
      </c>
      <c r="V31" s="16"/>
      <c r="W31" s="16">
        <f t="shared" si="16"/>
        <v>18062294</v>
      </c>
      <c r="Z31" s="6" t="s">
        <v>39</v>
      </c>
      <c r="AA31" s="16"/>
      <c r="AB31" s="6" t="s">
        <v>25</v>
      </c>
      <c r="AD31" s="16">
        <v>2672755</v>
      </c>
      <c r="AE31" s="16"/>
      <c r="AF31" s="16">
        <f>3295535-985256</f>
        <v>2310279</v>
      </c>
      <c r="AG31" s="16"/>
      <c r="AH31" s="16">
        <v>985256</v>
      </c>
      <c r="AI31" s="16"/>
      <c r="AJ31" s="8">
        <f t="shared" si="5"/>
        <v>-622780</v>
      </c>
      <c r="AK31" s="8"/>
      <c r="AL31" s="16">
        <v>243501</v>
      </c>
      <c r="AM31" s="8"/>
      <c r="AN31" s="16">
        <v>161000</v>
      </c>
      <c r="AO31" s="16"/>
      <c r="AP31" s="16">
        <v>0</v>
      </c>
      <c r="AQ31" s="16"/>
      <c r="AR31" s="16">
        <v>0</v>
      </c>
      <c r="AS31" s="16"/>
      <c r="AT31" s="8">
        <f t="shared" si="6"/>
        <v>-218279</v>
      </c>
      <c r="AU31" s="8"/>
      <c r="AV31" s="16">
        <v>0</v>
      </c>
      <c r="AW31" s="16"/>
      <c r="AX31" s="16">
        <v>0</v>
      </c>
      <c r="AY31" s="16"/>
      <c r="AZ31" s="16">
        <f t="shared" si="4"/>
        <v>802082</v>
      </c>
      <c r="BB31" s="6" t="s">
        <v>39</v>
      </c>
      <c r="BC31" s="6"/>
      <c r="BD31" s="6" t="s">
        <v>25</v>
      </c>
      <c r="BE31" s="16"/>
      <c r="BF31" s="16">
        <v>0</v>
      </c>
      <c r="BG31" s="16"/>
      <c r="BH31" s="16">
        <v>0</v>
      </c>
      <c r="BI31" s="16"/>
      <c r="BJ31" s="16">
        <f>13576+7957146+459053</f>
        <v>8429775</v>
      </c>
      <c r="BK31" s="16"/>
      <c r="BL31" s="16">
        <f>99220+92690+1416+28335</f>
        <v>221661</v>
      </c>
      <c r="BM31" s="16"/>
      <c r="BN31" s="16">
        <f t="shared" si="3"/>
        <v>8651436</v>
      </c>
      <c r="BO31" s="17"/>
      <c r="BP31" s="6"/>
      <c r="BQ31" s="6"/>
      <c r="BR31" s="6"/>
    </row>
    <row r="32" spans="1:70" ht="12" customHeight="1" x14ac:dyDescent="0.2">
      <c r="A32" s="6" t="s">
        <v>40</v>
      </c>
      <c r="C32" s="6" t="s">
        <v>41</v>
      </c>
      <c r="E32" s="16">
        <v>1388553</v>
      </c>
      <c r="F32" s="16"/>
      <c r="G32" s="16">
        <v>4674903</v>
      </c>
      <c r="H32" s="16"/>
      <c r="I32" s="16">
        <f t="shared" si="14"/>
        <v>6063456</v>
      </c>
      <c r="J32" s="16"/>
      <c r="K32" s="16">
        <v>494742</v>
      </c>
      <c r="L32" s="16"/>
      <c r="M32" s="16">
        <v>1526537</v>
      </c>
      <c r="N32" s="16"/>
      <c r="O32" s="16">
        <f t="shared" si="15"/>
        <v>2021279</v>
      </c>
      <c r="P32" s="16"/>
      <c r="Q32" s="16">
        <v>3521703</v>
      </c>
      <c r="R32" s="16"/>
      <c r="S32" s="16">
        <v>0</v>
      </c>
      <c r="T32" s="16"/>
      <c r="U32" s="16">
        <v>520474</v>
      </c>
      <c r="V32" s="16"/>
      <c r="W32" s="16">
        <f t="shared" si="16"/>
        <v>4042177</v>
      </c>
      <c r="Z32" s="6" t="s">
        <v>40</v>
      </c>
      <c r="AA32" s="16"/>
      <c r="AB32" s="6" t="s">
        <v>41</v>
      </c>
      <c r="AD32" s="16">
        <v>2545508</v>
      </c>
      <c r="AE32" s="16"/>
      <c r="AF32" s="16">
        <f>2320873-145403</f>
        <v>2175470</v>
      </c>
      <c r="AG32" s="16"/>
      <c r="AH32" s="16">
        <v>145403</v>
      </c>
      <c r="AI32" s="16"/>
      <c r="AJ32" s="8">
        <f t="shared" si="5"/>
        <v>224635</v>
      </c>
      <c r="AK32" s="8"/>
      <c r="AL32" s="16">
        <v>-65232</v>
      </c>
      <c r="AM32" s="8"/>
      <c r="AN32" s="16">
        <v>0</v>
      </c>
      <c r="AO32" s="16"/>
      <c r="AP32" s="16">
        <v>5490</v>
      </c>
      <c r="AQ32" s="16"/>
      <c r="AR32" s="16">
        <v>258315</v>
      </c>
      <c r="AS32" s="16"/>
      <c r="AT32" s="8">
        <f t="shared" si="6"/>
        <v>412228</v>
      </c>
      <c r="AU32" s="8"/>
      <c r="AV32" s="16">
        <v>0</v>
      </c>
      <c r="AW32" s="16"/>
      <c r="AX32" s="16">
        <v>0</v>
      </c>
      <c r="AY32" s="16"/>
      <c r="AZ32" s="16">
        <f t="shared" si="4"/>
        <v>893811</v>
      </c>
      <c r="BB32" s="6" t="s">
        <v>40</v>
      </c>
      <c r="BC32" s="6"/>
      <c r="BD32" s="6" t="s">
        <v>41</v>
      </c>
      <c r="BE32" s="16"/>
      <c r="BF32" s="16">
        <f>1503500+104700</f>
        <v>1608200</v>
      </c>
      <c r="BG32" s="16"/>
      <c r="BH32" s="16">
        <v>0</v>
      </c>
      <c r="BI32" s="16"/>
      <c r="BJ32" s="16">
        <v>0</v>
      </c>
      <c r="BK32" s="16"/>
      <c r="BL32" s="16">
        <f>23037+1744</f>
        <v>24781</v>
      </c>
      <c r="BM32" s="16"/>
      <c r="BN32" s="16">
        <f t="shared" si="3"/>
        <v>1632981</v>
      </c>
      <c r="BO32" s="17"/>
      <c r="BP32" s="6"/>
      <c r="BQ32" s="6"/>
      <c r="BR32" s="6"/>
    </row>
    <row r="33" spans="1:70" ht="12.75" hidden="1" customHeight="1" x14ac:dyDescent="0.2">
      <c r="A33" s="6" t="s">
        <v>42</v>
      </c>
      <c r="C33" s="6" t="s">
        <v>43</v>
      </c>
      <c r="E33" s="16">
        <f t="shared" si="7"/>
        <v>0</v>
      </c>
      <c r="F33" s="16"/>
      <c r="G33" s="16"/>
      <c r="H33" s="16"/>
      <c r="I33" s="16"/>
      <c r="J33" s="16"/>
      <c r="K33" s="16">
        <f t="shared" si="8"/>
        <v>0</v>
      </c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>
        <f t="shared" si="16"/>
        <v>0</v>
      </c>
      <c r="Z33" s="6" t="s">
        <v>42</v>
      </c>
      <c r="AA33" s="16"/>
      <c r="AB33" s="6" t="s">
        <v>43</v>
      </c>
      <c r="AD33" s="16"/>
      <c r="AE33" s="16"/>
      <c r="AF33" s="16"/>
      <c r="AG33" s="16"/>
      <c r="AH33" s="16"/>
      <c r="AI33" s="16"/>
      <c r="AJ33" s="8">
        <f t="shared" si="5"/>
        <v>0</v>
      </c>
      <c r="AK33" s="8"/>
      <c r="AL33" s="16"/>
      <c r="AM33" s="8"/>
      <c r="AN33" s="16"/>
      <c r="AO33" s="16"/>
      <c r="AP33" s="16"/>
      <c r="AQ33" s="16"/>
      <c r="AR33" s="16"/>
      <c r="AS33" s="16"/>
      <c r="AT33" s="8">
        <f t="shared" si="6"/>
        <v>0</v>
      </c>
      <c r="AU33" s="8"/>
      <c r="AV33" s="16">
        <v>0</v>
      </c>
      <c r="AW33" s="16"/>
      <c r="AX33" s="16">
        <v>0</v>
      </c>
      <c r="AY33" s="16"/>
      <c r="AZ33" s="16">
        <f t="shared" si="4"/>
        <v>0</v>
      </c>
      <c r="BB33" s="6" t="s">
        <v>42</v>
      </c>
      <c r="BC33" s="6"/>
      <c r="BD33" s="6" t="s">
        <v>43</v>
      </c>
      <c r="BE33" s="16"/>
      <c r="BF33" s="16"/>
      <c r="BG33" s="16"/>
      <c r="BH33" s="16"/>
      <c r="BI33" s="16"/>
      <c r="BJ33" s="16"/>
      <c r="BK33" s="16"/>
      <c r="BL33" s="16"/>
      <c r="BM33" s="16"/>
      <c r="BN33" s="16">
        <f t="shared" si="3"/>
        <v>0</v>
      </c>
      <c r="BO33" s="17"/>
      <c r="BP33" s="6"/>
      <c r="BQ33" s="6"/>
      <c r="BR33" s="6"/>
    </row>
    <row r="34" spans="1:70" ht="12.75" customHeight="1" x14ac:dyDescent="0.2">
      <c r="A34" s="6" t="s">
        <v>44</v>
      </c>
      <c r="C34" s="6" t="s">
        <v>45</v>
      </c>
      <c r="E34" s="16">
        <v>5529489</v>
      </c>
      <c r="F34" s="16"/>
      <c r="G34" s="16">
        <v>44194904</v>
      </c>
      <c r="H34" s="16"/>
      <c r="I34" s="16">
        <f>+E34+G34</f>
        <v>49724393</v>
      </c>
      <c r="J34" s="16"/>
      <c r="K34" s="16">
        <v>365236</v>
      </c>
      <c r="L34" s="16"/>
      <c r="M34" s="16">
        <v>891024</v>
      </c>
      <c r="N34" s="16"/>
      <c r="O34" s="16">
        <f>+K34+M34</f>
        <v>1256260</v>
      </c>
      <c r="P34" s="16"/>
      <c r="Q34" s="16">
        <v>43439611</v>
      </c>
      <c r="R34" s="16"/>
      <c r="S34" s="16">
        <v>0</v>
      </c>
      <c r="T34" s="16"/>
      <c r="U34" s="16">
        <v>5058589</v>
      </c>
      <c r="V34" s="16"/>
      <c r="W34" s="16">
        <f t="shared" si="16"/>
        <v>48498200</v>
      </c>
      <c r="Z34" s="6" t="s">
        <v>44</v>
      </c>
      <c r="AA34" s="16"/>
      <c r="AB34" s="6" t="s">
        <v>45</v>
      </c>
      <c r="AD34" s="16">
        <v>4369763</v>
      </c>
      <c r="AE34" s="16"/>
      <c r="AF34" s="16">
        <f>4628465-1087513</f>
        <v>3540952</v>
      </c>
      <c r="AG34" s="16"/>
      <c r="AH34" s="16">
        <v>1087513</v>
      </c>
      <c r="AI34" s="16"/>
      <c r="AJ34" s="8">
        <f t="shared" si="5"/>
        <v>-258702</v>
      </c>
      <c r="AK34" s="8"/>
      <c r="AL34" s="16">
        <v>-10393</v>
      </c>
      <c r="AM34" s="8"/>
      <c r="AN34" s="16">
        <v>0</v>
      </c>
      <c r="AO34" s="16"/>
      <c r="AP34" s="16">
        <v>0</v>
      </c>
      <c r="AQ34" s="16"/>
      <c r="AR34" s="16">
        <v>1760093</v>
      </c>
      <c r="AS34" s="16"/>
      <c r="AT34" s="8">
        <f t="shared" si="6"/>
        <v>1490998</v>
      </c>
      <c r="AU34" s="8"/>
      <c r="AV34" s="16">
        <v>0</v>
      </c>
      <c r="AW34" s="16"/>
      <c r="AX34" s="16">
        <v>0</v>
      </c>
      <c r="AY34" s="16"/>
      <c r="AZ34" s="16">
        <f t="shared" si="4"/>
        <v>5164253</v>
      </c>
      <c r="BB34" s="6" t="s">
        <v>44</v>
      </c>
      <c r="BC34" s="6"/>
      <c r="BD34" s="6" t="s">
        <v>45</v>
      </c>
      <c r="BE34" s="16"/>
      <c r="BF34" s="16">
        <f>725000+60000</f>
        <v>785000</v>
      </c>
      <c r="BG34" s="16"/>
      <c r="BH34" s="16">
        <v>0</v>
      </c>
      <c r="BI34" s="16"/>
      <c r="BJ34" s="16">
        <v>0</v>
      </c>
      <c r="BK34" s="16"/>
      <c r="BL34" s="16">
        <f>166024+86738</f>
        <v>252762</v>
      </c>
      <c r="BM34" s="16"/>
      <c r="BN34" s="16">
        <f t="shared" si="3"/>
        <v>1037762</v>
      </c>
      <c r="BO34" s="17"/>
      <c r="BP34" s="6"/>
      <c r="BQ34" s="6"/>
      <c r="BR34" s="6"/>
    </row>
    <row r="35" spans="1:70" ht="12.75" hidden="1" customHeight="1" x14ac:dyDescent="0.2">
      <c r="A35" s="6" t="s">
        <v>46</v>
      </c>
      <c r="C35" s="6" t="s">
        <v>25</v>
      </c>
      <c r="E35" s="16">
        <f t="shared" si="7"/>
        <v>0</v>
      </c>
      <c r="F35" s="16"/>
      <c r="G35" s="16"/>
      <c r="H35" s="16"/>
      <c r="I35" s="16"/>
      <c r="J35" s="16"/>
      <c r="K35" s="16">
        <f t="shared" si="8"/>
        <v>0</v>
      </c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>
        <f t="shared" si="16"/>
        <v>0</v>
      </c>
      <c r="Z35" s="6" t="s">
        <v>46</v>
      </c>
      <c r="AA35" s="16"/>
      <c r="AB35" s="6" t="s">
        <v>25</v>
      </c>
      <c r="AD35" s="16"/>
      <c r="AE35" s="16"/>
      <c r="AF35" s="16"/>
      <c r="AG35" s="16"/>
      <c r="AH35" s="16"/>
      <c r="AI35" s="16"/>
      <c r="AJ35" s="8">
        <f t="shared" si="5"/>
        <v>0</v>
      </c>
      <c r="AK35" s="8"/>
      <c r="AL35" s="16"/>
      <c r="AM35" s="8"/>
      <c r="AN35" s="16"/>
      <c r="AO35" s="16"/>
      <c r="AP35" s="16"/>
      <c r="AQ35" s="16"/>
      <c r="AR35" s="16"/>
      <c r="AS35" s="16"/>
      <c r="AT35" s="8">
        <f t="shared" si="6"/>
        <v>0</v>
      </c>
      <c r="AU35" s="8"/>
      <c r="AV35" s="16">
        <v>0</v>
      </c>
      <c r="AW35" s="16"/>
      <c r="AX35" s="16">
        <v>0</v>
      </c>
      <c r="AY35" s="16"/>
      <c r="AZ35" s="16">
        <f t="shared" si="4"/>
        <v>0</v>
      </c>
      <c r="BB35" s="6" t="s">
        <v>46</v>
      </c>
      <c r="BC35" s="6"/>
      <c r="BD35" s="6" t="s">
        <v>25</v>
      </c>
      <c r="BE35" s="16"/>
      <c r="BF35" s="16"/>
      <c r="BG35" s="16"/>
      <c r="BH35" s="16"/>
      <c r="BI35" s="16"/>
      <c r="BJ35" s="16"/>
      <c r="BK35" s="16"/>
      <c r="BL35" s="16"/>
      <c r="BM35" s="16"/>
      <c r="BN35" s="16">
        <f t="shared" si="3"/>
        <v>0</v>
      </c>
      <c r="BO35" s="17"/>
      <c r="BP35" s="6"/>
      <c r="BQ35" s="6"/>
      <c r="BR35" s="6"/>
    </row>
    <row r="36" spans="1:70" ht="12.75" hidden="1" customHeight="1" x14ac:dyDescent="0.2">
      <c r="A36" s="6" t="s">
        <v>47</v>
      </c>
      <c r="C36" s="6" t="s">
        <v>25</v>
      </c>
      <c r="E36" s="16">
        <f t="shared" si="7"/>
        <v>0</v>
      </c>
      <c r="F36" s="16"/>
      <c r="G36" s="16"/>
      <c r="H36" s="16"/>
      <c r="I36" s="16"/>
      <c r="J36" s="16"/>
      <c r="K36" s="16">
        <f t="shared" si="8"/>
        <v>0</v>
      </c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>
        <f t="shared" si="16"/>
        <v>0</v>
      </c>
      <c r="Z36" s="6" t="s">
        <v>47</v>
      </c>
      <c r="AA36" s="16"/>
      <c r="AB36" s="6" t="s">
        <v>25</v>
      </c>
      <c r="AD36" s="16"/>
      <c r="AE36" s="16"/>
      <c r="AF36" s="16"/>
      <c r="AG36" s="16"/>
      <c r="AH36" s="16"/>
      <c r="AI36" s="16"/>
      <c r="AJ36" s="8">
        <f t="shared" si="5"/>
        <v>0</v>
      </c>
      <c r="AK36" s="8"/>
      <c r="AL36" s="16"/>
      <c r="AM36" s="8"/>
      <c r="AN36" s="16"/>
      <c r="AO36" s="16"/>
      <c r="AP36" s="16"/>
      <c r="AQ36" s="16"/>
      <c r="AR36" s="16"/>
      <c r="AS36" s="16"/>
      <c r="AT36" s="8">
        <f t="shared" si="6"/>
        <v>0</v>
      </c>
      <c r="AU36" s="8"/>
      <c r="AV36" s="16">
        <v>0</v>
      </c>
      <c r="AW36" s="16"/>
      <c r="AX36" s="16">
        <v>0</v>
      </c>
      <c r="AY36" s="16"/>
      <c r="AZ36" s="16">
        <f t="shared" si="4"/>
        <v>0</v>
      </c>
      <c r="BB36" s="6" t="s">
        <v>47</v>
      </c>
      <c r="BC36" s="6"/>
      <c r="BD36" s="6" t="s">
        <v>25</v>
      </c>
      <c r="BE36" s="16"/>
      <c r="BF36" s="16"/>
      <c r="BG36" s="16"/>
      <c r="BH36" s="16"/>
      <c r="BI36" s="16"/>
      <c r="BJ36" s="16"/>
      <c r="BK36" s="16"/>
      <c r="BL36" s="16"/>
      <c r="BM36" s="16"/>
      <c r="BN36" s="16">
        <f t="shared" si="3"/>
        <v>0</v>
      </c>
      <c r="BO36" s="17"/>
      <c r="BP36" s="6"/>
      <c r="BQ36" s="6"/>
      <c r="BR36" s="6"/>
    </row>
    <row r="37" spans="1:70" ht="12.75" hidden="1" customHeight="1" x14ac:dyDescent="0.2">
      <c r="A37" s="6" t="s">
        <v>48</v>
      </c>
      <c r="C37" s="6" t="s">
        <v>25</v>
      </c>
      <c r="E37" s="16">
        <f t="shared" si="7"/>
        <v>0</v>
      </c>
      <c r="F37" s="16"/>
      <c r="G37" s="16"/>
      <c r="H37" s="16"/>
      <c r="I37" s="16"/>
      <c r="J37" s="16"/>
      <c r="K37" s="16">
        <f t="shared" si="8"/>
        <v>0</v>
      </c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>
        <f t="shared" si="16"/>
        <v>0</v>
      </c>
      <c r="Z37" s="6" t="s">
        <v>48</v>
      </c>
      <c r="AA37" s="16"/>
      <c r="AB37" s="6" t="s">
        <v>25</v>
      </c>
      <c r="AD37" s="16"/>
      <c r="AE37" s="16"/>
      <c r="AF37" s="16"/>
      <c r="AG37" s="16"/>
      <c r="AH37" s="16"/>
      <c r="AI37" s="16"/>
      <c r="AJ37" s="8">
        <f t="shared" si="5"/>
        <v>0</v>
      </c>
      <c r="AK37" s="8"/>
      <c r="AL37" s="16"/>
      <c r="AM37" s="8"/>
      <c r="AN37" s="16"/>
      <c r="AO37" s="16"/>
      <c r="AP37" s="16"/>
      <c r="AQ37" s="16"/>
      <c r="AR37" s="16"/>
      <c r="AS37" s="16"/>
      <c r="AT37" s="8">
        <f t="shared" si="6"/>
        <v>0</v>
      </c>
      <c r="AU37" s="8"/>
      <c r="AV37" s="16">
        <v>0</v>
      </c>
      <c r="AW37" s="16"/>
      <c r="AX37" s="16">
        <v>0</v>
      </c>
      <c r="AY37" s="16"/>
      <c r="AZ37" s="16">
        <f t="shared" si="4"/>
        <v>0</v>
      </c>
      <c r="BB37" s="6" t="s">
        <v>48</v>
      </c>
      <c r="BC37" s="6"/>
      <c r="BD37" s="6" t="s">
        <v>25</v>
      </c>
      <c r="BE37" s="16"/>
      <c r="BF37" s="16"/>
      <c r="BG37" s="16"/>
      <c r="BH37" s="16"/>
      <c r="BI37" s="16"/>
      <c r="BJ37" s="16"/>
      <c r="BK37" s="16"/>
      <c r="BL37" s="16"/>
      <c r="BM37" s="16"/>
      <c r="BN37" s="16">
        <f t="shared" si="3"/>
        <v>0</v>
      </c>
      <c r="BO37" s="17"/>
      <c r="BP37" s="6"/>
      <c r="BQ37" s="6"/>
      <c r="BR37" s="6"/>
    </row>
    <row r="38" spans="1:70" ht="12.75" hidden="1" customHeight="1" x14ac:dyDescent="0.2">
      <c r="A38" s="6" t="s">
        <v>49</v>
      </c>
      <c r="C38" s="6" t="s">
        <v>25</v>
      </c>
      <c r="E38" s="16">
        <f t="shared" ref="E38" si="17">I38-G38</f>
        <v>0</v>
      </c>
      <c r="F38" s="16"/>
      <c r="G38" s="16"/>
      <c r="H38" s="16"/>
      <c r="I38" s="16"/>
      <c r="J38" s="16"/>
      <c r="K38" s="16">
        <f t="shared" ref="K38" si="18">O38-M38</f>
        <v>0</v>
      </c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>
        <f t="shared" ref="W38" si="19">SUM(Q38:U38)</f>
        <v>0</v>
      </c>
      <c r="Z38" s="6" t="s">
        <v>48</v>
      </c>
      <c r="AA38" s="16"/>
      <c r="AB38" s="6" t="s">
        <v>25</v>
      </c>
      <c r="AD38" s="16"/>
      <c r="AE38" s="16"/>
      <c r="AF38" s="16"/>
      <c r="AG38" s="16"/>
      <c r="AH38" s="16"/>
      <c r="AI38" s="16"/>
      <c r="AJ38" s="8">
        <f t="shared" ref="AJ38" si="20">+AD38-AF38-AH38</f>
        <v>0</v>
      </c>
      <c r="AK38" s="8"/>
      <c r="AL38" s="16"/>
      <c r="AM38" s="8"/>
      <c r="AN38" s="16"/>
      <c r="AO38" s="16"/>
      <c r="AP38" s="16"/>
      <c r="AQ38" s="16"/>
      <c r="AR38" s="16"/>
      <c r="AS38" s="16"/>
      <c r="AT38" s="8">
        <f t="shared" ref="AT38" si="21">+AJ38+AL38+AN38-AP38+AR38</f>
        <v>0</v>
      </c>
      <c r="AU38" s="8"/>
      <c r="AV38" s="16">
        <v>0</v>
      </c>
      <c r="AW38" s="16"/>
      <c r="AX38" s="16">
        <v>0</v>
      </c>
      <c r="AY38" s="16"/>
      <c r="AZ38" s="16">
        <f t="shared" ref="AZ38" si="22">E38-K38</f>
        <v>0</v>
      </c>
      <c r="BB38" s="6" t="s">
        <v>48</v>
      </c>
      <c r="BC38" s="6"/>
      <c r="BD38" s="6" t="s">
        <v>25</v>
      </c>
      <c r="BE38" s="16"/>
      <c r="BF38" s="16"/>
      <c r="BG38" s="16"/>
      <c r="BH38" s="16"/>
      <c r="BI38" s="16"/>
      <c r="BJ38" s="16"/>
      <c r="BK38" s="16"/>
      <c r="BL38" s="16"/>
      <c r="BM38" s="16"/>
      <c r="BN38" s="16">
        <f t="shared" ref="BN38" si="23">SUM(BF38:BL38)</f>
        <v>0</v>
      </c>
      <c r="BO38" s="17"/>
      <c r="BP38" s="6"/>
      <c r="BQ38" s="6"/>
      <c r="BR38" s="6"/>
    </row>
    <row r="39" spans="1:70" ht="12.75" customHeight="1" x14ac:dyDescent="0.2">
      <c r="A39" s="6" t="s">
        <v>458</v>
      </c>
      <c r="C39" s="6" t="s">
        <v>64</v>
      </c>
      <c r="E39" s="16">
        <v>460723</v>
      </c>
      <c r="F39" s="16"/>
      <c r="G39" s="16">
        <v>332312</v>
      </c>
      <c r="H39" s="16"/>
      <c r="I39" s="16">
        <f>+E39+G39</f>
        <v>793035</v>
      </c>
      <c r="J39" s="16"/>
      <c r="K39" s="16">
        <v>224993</v>
      </c>
      <c r="L39" s="16"/>
      <c r="M39" s="16">
        <v>3042</v>
      </c>
      <c r="N39" s="16"/>
      <c r="O39" s="16">
        <f>+K39+M39</f>
        <v>228035</v>
      </c>
      <c r="P39" s="16"/>
      <c r="Q39" s="16">
        <v>294932</v>
      </c>
      <c r="R39" s="16"/>
      <c r="S39" s="16">
        <v>0</v>
      </c>
      <c r="T39" s="16"/>
      <c r="U39" s="16">
        <v>270068</v>
      </c>
      <c r="V39" s="16"/>
      <c r="W39" s="16">
        <f t="shared" si="16"/>
        <v>565000</v>
      </c>
      <c r="Z39" s="6" t="s">
        <v>458</v>
      </c>
      <c r="AA39" s="16"/>
      <c r="AB39" s="6" t="s">
        <v>64</v>
      </c>
      <c r="AD39" s="16">
        <v>994082</v>
      </c>
      <c r="AE39" s="16"/>
      <c r="AF39" s="16">
        <f>1010600-55969</f>
        <v>954631</v>
      </c>
      <c r="AG39" s="16"/>
      <c r="AH39" s="16">
        <v>55969</v>
      </c>
      <c r="AI39" s="16"/>
      <c r="AJ39" s="8">
        <f t="shared" si="5"/>
        <v>-16518</v>
      </c>
      <c r="AK39" s="8"/>
      <c r="AL39" s="16">
        <v>-3209</v>
      </c>
      <c r="AM39" s="8"/>
      <c r="AN39" s="16">
        <v>0</v>
      </c>
      <c r="AO39" s="16"/>
      <c r="AP39" s="16">
        <v>0</v>
      </c>
      <c r="AQ39" s="16"/>
      <c r="AR39" s="16">
        <v>0</v>
      </c>
      <c r="AS39" s="16"/>
      <c r="AT39" s="8">
        <f t="shared" si="6"/>
        <v>-19727</v>
      </c>
      <c r="AU39" s="8"/>
      <c r="AV39" s="16">
        <v>0</v>
      </c>
      <c r="AW39" s="16"/>
      <c r="AX39" s="16">
        <v>0</v>
      </c>
      <c r="AY39" s="16"/>
      <c r="AZ39" s="16">
        <f t="shared" si="4"/>
        <v>235730</v>
      </c>
      <c r="BB39" s="6" t="s">
        <v>458</v>
      </c>
      <c r="BC39" s="6"/>
      <c r="BD39" s="6" t="s">
        <v>64</v>
      </c>
      <c r="BE39" s="16"/>
      <c r="BF39" s="16">
        <v>0</v>
      </c>
      <c r="BG39" s="16"/>
      <c r="BH39" s="16">
        <v>0</v>
      </c>
      <c r="BI39" s="16"/>
      <c r="BJ39" s="16">
        <v>37380</v>
      </c>
      <c r="BK39" s="16"/>
      <c r="BL39" s="16">
        <f>6772+3042</f>
        <v>9814</v>
      </c>
      <c r="BM39" s="16"/>
      <c r="BN39" s="16">
        <f t="shared" si="3"/>
        <v>47194</v>
      </c>
      <c r="BO39" s="17"/>
      <c r="BQ39" s="6"/>
      <c r="BR39" s="6"/>
    </row>
    <row r="40" spans="1:70" ht="12.75" hidden="1" customHeight="1" x14ac:dyDescent="0.2">
      <c r="A40" s="6" t="s">
        <v>50</v>
      </c>
      <c r="C40" s="6" t="s">
        <v>51</v>
      </c>
      <c r="E40" s="16">
        <f t="shared" si="7"/>
        <v>0</v>
      </c>
      <c r="F40" s="16"/>
      <c r="G40" s="16"/>
      <c r="H40" s="16"/>
      <c r="I40" s="16"/>
      <c r="J40" s="16"/>
      <c r="K40" s="16">
        <f t="shared" si="8"/>
        <v>0</v>
      </c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>
        <f t="shared" si="16"/>
        <v>0</v>
      </c>
      <c r="Z40" s="6" t="s">
        <v>50</v>
      </c>
      <c r="AA40" s="16"/>
      <c r="AB40" s="6" t="s">
        <v>51</v>
      </c>
      <c r="AD40" s="16"/>
      <c r="AE40" s="16"/>
      <c r="AF40" s="16"/>
      <c r="AG40" s="16"/>
      <c r="AH40" s="16"/>
      <c r="AI40" s="16"/>
      <c r="AJ40" s="8">
        <f t="shared" si="5"/>
        <v>0</v>
      </c>
      <c r="AK40" s="8"/>
      <c r="AL40" s="16"/>
      <c r="AM40" s="8"/>
      <c r="AN40" s="16"/>
      <c r="AO40" s="16"/>
      <c r="AP40" s="16"/>
      <c r="AQ40" s="16"/>
      <c r="AR40" s="16"/>
      <c r="AS40" s="16"/>
      <c r="AT40" s="8">
        <f t="shared" si="6"/>
        <v>0</v>
      </c>
      <c r="AU40" s="8"/>
      <c r="AV40" s="16">
        <v>0</v>
      </c>
      <c r="AW40" s="16"/>
      <c r="AX40" s="16">
        <v>0</v>
      </c>
      <c r="AY40" s="16"/>
      <c r="AZ40" s="16">
        <f t="shared" si="4"/>
        <v>0</v>
      </c>
      <c r="BB40" s="6" t="s">
        <v>50</v>
      </c>
      <c r="BC40" s="6"/>
      <c r="BD40" s="6" t="s">
        <v>51</v>
      </c>
      <c r="BE40" s="16"/>
      <c r="BF40" s="16"/>
      <c r="BG40" s="16"/>
      <c r="BH40" s="16"/>
      <c r="BI40" s="16"/>
      <c r="BJ40" s="16"/>
      <c r="BK40" s="16"/>
      <c r="BL40" s="16"/>
      <c r="BM40" s="16"/>
      <c r="BN40" s="16">
        <f t="shared" si="3"/>
        <v>0</v>
      </c>
      <c r="BO40" s="17"/>
      <c r="BP40" s="6"/>
      <c r="BQ40" s="6"/>
      <c r="BR40" s="6"/>
    </row>
    <row r="41" spans="1:70" ht="12.75" customHeight="1" x14ac:dyDescent="0.2">
      <c r="A41" s="6" t="s">
        <v>52</v>
      </c>
      <c r="C41" s="6" t="s">
        <v>53</v>
      </c>
      <c r="E41" s="16">
        <v>1273875</v>
      </c>
      <c r="F41" s="16"/>
      <c r="G41" s="16">
        <v>5609843</v>
      </c>
      <c r="H41" s="16"/>
      <c r="I41" s="16">
        <f t="shared" ref="I41:I47" si="24">+E41+G41</f>
        <v>6883718</v>
      </c>
      <c r="J41" s="16"/>
      <c r="K41" s="16">
        <v>101410</v>
      </c>
      <c r="L41" s="16"/>
      <c r="M41" s="16">
        <v>116540</v>
      </c>
      <c r="N41" s="16"/>
      <c r="O41" s="16">
        <f t="shared" ref="O41:O47" si="25">+K41+M41</f>
        <v>217950</v>
      </c>
      <c r="P41" s="16"/>
      <c r="Q41" s="16">
        <v>5609843</v>
      </c>
      <c r="R41" s="16"/>
      <c r="S41" s="16">
        <v>0</v>
      </c>
      <c r="T41" s="16"/>
      <c r="U41" s="16">
        <v>1055925</v>
      </c>
      <c r="V41" s="16"/>
      <c r="W41" s="16">
        <f t="shared" si="16"/>
        <v>6665768</v>
      </c>
      <c r="X41" s="6"/>
      <c r="Y41" s="6"/>
      <c r="Z41" s="6" t="s">
        <v>52</v>
      </c>
      <c r="AA41" s="16"/>
      <c r="AB41" s="6" t="s">
        <v>53</v>
      </c>
      <c r="AD41" s="16">
        <v>1831586</v>
      </c>
      <c r="AE41" s="16"/>
      <c r="AF41" s="16">
        <f>1426128-229522</f>
        <v>1196606</v>
      </c>
      <c r="AG41" s="16"/>
      <c r="AH41" s="16">
        <v>229522</v>
      </c>
      <c r="AI41" s="16"/>
      <c r="AJ41" s="8">
        <f t="shared" si="5"/>
        <v>405458</v>
      </c>
      <c r="AK41" s="8"/>
      <c r="AL41" s="16">
        <v>8840</v>
      </c>
      <c r="AM41" s="8"/>
      <c r="AN41" s="16">
        <v>0</v>
      </c>
      <c r="AO41" s="16"/>
      <c r="AP41" s="16">
        <v>0</v>
      </c>
      <c r="AQ41" s="16"/>
      <c r="AR41" s="16">
        <v>0</v>
      </c>
      <c r="AS41" s="16"/>
      <c r="AT41" s="8">
        <f t="shared" si="6"/>
        <v>414298</v>
      </c>
      <c r="AU41" s="8"/>
      <c r="AV41" s="16">
        <v>0</v>
      </c>
      <c r="AW41" s="16"/>
      <c r="AX41" s="16">
        <v>0</v>
      </c>
      <c r="AY41" s="16"/>
      <c r="AZ41" s="16">
        <f t="shared" si="4"/>
        <v>1172465</v>
      </c>
      <c r="BB41" s="6" t="s">
        <v>52</v>
      </c>
      <c r="BC41" s="6"/>
      <c r="BD41" s="6" t="s">
        <v>53</v>
      </c>
      <c r="BE41" s="16"/>
      <c r="BF41" s="16">
        <v>0</v>
      </c>
      <c r="BG41" s="16"/>
      <c r="BH41" s="16">
        <v>0</v>
      </c>
      <c r="BI41" s="16"/>
      <c r="BJ41" s="16">
        <v>0</v>
      </c>
      <c r="BK41" s="16"/>
      <c r="BL41" s="16">
        <f>116540+28200</f>
        <v>144740</v>
      </c>
      <c r="BM41" s="16"/>
      <c r="BN41" s="16">
        <f t="shared" si="3"/>
        <v>144740</v>
      </c>
      <c r="BO41" s="17"/>
      <c r="BP41" s="6"/>
      <c r="BQ41" s="6"/>
      <c r="BR41" s="6"/>
    </row>
    <row r="42" spans="1:70" ht="12.75" customHeight="1" x14ac:dyDescent="0.2">
      <c r="A42" s="6" t="s">
        <v>54</v>
      </c>
      <c r="C42" s="6" t="s">
        <v>55</v>
      </c>
      <c r="E42" s="16">
        <v>1526324</v>
      </c>
      <c r="F42" s="16"/>
      <c r="G42" s="16">
        <v>7957204</v>
      </c>
      <c r="H42" s="16"/>
      <c r="I42" s="16">
        <f t="shared" si="24"/>
        <v>9483528</v>
      </c>
      <c r="J42" s="16"/>
      <c r="K42" s="16">
        <v>359738</v>
      </c>
      <c r="L42" s="16"/>
      <c r="M42" s="16">
        <v>1158260</v>
      </c>
      <c r="N42" s="16"/>
      <c r="O42" s="16">
        <f t="shared" si="25"/>
        <v>1517998</v>
      </c>
      <c r="P42" s="16"/>
      <c r="Q42" s="16">
        <v>7481604</v>
      </c>
      <c r="R42" s="16"/>
      <c r="S42" s="16">
        <v>0</v>
      </c>
      <c r="T42" s="16"/>
      <c r="U42" s="16">
        <v>483926</v>
      </c>
      <c r="V42" s="16"/>
      <c r="W42" s="16">
        <f t="shared" si="16"/>
        <v>7965530</v>
      </c>
      <c r="Z42" s="6" t="s">
        <v>54</v>
      </c>
      <c r="AA42" s="16"/>
      <c r="AB42" s="6" t="s">
        <v>55</v>
      </c>
      <c r="AD42" s="16">
        <v>1941172</v>
      </c>
      <c r="AE42" s="16"/>
      <c r="AF42" s="16">
        <f>2114318-272894</f>
        <v>1841424</v>
      </c>
      <c r="AG42" s="16"/>
      <c r="AH42" s="16">
        <v>272894</v>
      </c>
      <c r="AI42" s="16"/>
      <c r="AJ42" s="8">
        <f t="shared" si="5"/>
        <v>-173146</v>
      </c>
      <c r="AK42" s="8"/>
      <c r="AL42" s="16">
        <v>-143059</v>
      </c>
      <c r="AM42" s="8"/>
      <c r="AN42" s="16">
        <v>0</v>
      </c>
      <c r="AO42" s="16"/>
      <c r="AP42" s="16">
        <v>0</v>
      </c>
      <c r="AQ42" s="16"/>
      <c r="AR42" s="16">
        <v>112010</v>
      </c>
      <c r="AS42" s="16"/>
      <c r="AT42" s="8">
        <f t="shared" si="6"/>
        <v>-204195</v>
      </c>
      <c r="AU42" s="8"/>
      <c r="AV42" s="16">
        <v>0</v>
      </c>
      <c r="AW42" s="16"/>
      <c r="AX42" s="16">
        <v>0</v>
      </c>
      <c r="AY42" s="16"/>
      <c r="AZ42" s="16">
        <f t="shared" si="4"/>
        <v>1166586</v>
      </c>
      <c r="BB42" s="6" t="s">
        <v>54</v>
      </c>
      <c r="BC42" s="6"/>
      <c r="BD42" s="6" t="s">
        <v>55</v>
      </c>
      <c r="BE42" s="16"/>
      <c r="BF42" s="16">
        <v>0</v>
      </c>
      <c r="BG42" s="16"/>
      <c r="BH42" s="16">
        <v>0</v>
      </c>
      <c r="BI42" s="16"/>
      <c r="BJ42" s="16">
        <f>813486+77108+129593+13277</f>
        <v>1033464</v>
      </c>
      <c r="BK42" s="16"/>
      <c r="BL42" s="16">
        <f>106793+160873+38876</f>
        <v>306542</v>
      </c>
      <c r="BM42" s="16"/>
      <c r="BN42" s="16">
        <f t="shared" si="3"/>
        <v>1340006</v>
      </c>
      <c r="BO42" s="17"/>
      <c r="BQ42" s="6"/>
      <c r="BR42" s="6"/>
    </row>
    <row r="43" spans="1:70" ht="12.75" customHeight="1" x14ac:dyDescent="0.2">
      <c r="A43" s="6" t="s">
        <v>56</v>
      </c>
      <c r="C43" s="6" t="s">
        <v>57</v>
      </c>
      <c r="E43" s="16">
        <v>2381942</v>
      </c>
      <c r="F43" s="16"/>
      <c r="G43" s="16">
        <v>7687962</v>
      </c>
      <c r="H43" s="16"/>
      <c r="I43" s="16">
        <f t="shared" si="24"/>
        <v>10069904</v>
      </c>
      <c r="J43" s="16"/>
      <c r="K43" s="16">
        <v>908273</v>
      </c>
      <c r="L43" s="16"/>
      <c r="M43" s="16">
        <v>2896484</v>
      </c>
      <c r="N43" s="16"/>
      <c r="O43" s="16">
        <f t="shared" si="25"/>
        <v>3804757</v>
      </c>
      <c r="P43" s="16"/>
      <c r="Q43" s="16">
        <v>4118227</v>
      </c>
      <c r="R43" s="16"/>
      <c r="S43" s="16">
        <v>0</v>
      </c>
      <c r="T43" s="16"/>
      <c r="U43" s="16">
        <v>2146920</v>
      </c>
      <c r="V43" s="16"/>
      <c r="W43" s="16">
        <f t="shared" si="16"/>
        <v>6265147</v>
      </c>
      <c r="Z43" s="6" t="s">
        <v>56</v>
      </c>
      <c r="AA43" s="16"/>
      <c r="AB43" s="6" t="s">
        <v>57</v>
      </c>
      <c r="AD43" s="16">
        <v>2998520</v>
      </c>
      <c r="AE43" s="16"/>
      <c r="AF43" s="16">
        <f>2611047-413241</f>
        <v>2197806</v>
      </c>
      <c r="AG43" s="16"/>
      <c r="AH43" s="16">
        <v>413241</v>
      </c>
      <c r="AI43" s="16"/>
      <c r="AJ43" s="8">
        <f t="shared" si="5"/>
        <v>387473</v>
      </c>
      <c r="AK43" s="8"/>
      <c r="AL43" s="16">
        <v>-135117</v>
      </c>
      <c r="AM43" s="8"/>
      <c r="AN43" s="16">
        <v>0</v>
      </c>
      <c r="AO43" s="16"/>
      <c r="AP43" s="16">
        <v>16293</v>
      </c>
      <c r="AQ43" s="16"/>
      <c r="AR43" s="16">
        <v>0</v>
      </c>
      <c r="AS43" s="16"/>
      <c r="AT43" s="8">
        <f t="shared" si="6"/>
        <v>236063</v>
      </c>
      <c r="AU43" s="8"/>
      <c r="AV43" s="16">
        <v>0</v>
      </c>
      <c r="AW43" s="16"/>
      <c r="AX43" s="16">
        <v>0</v>
      </c>
      <c r="AY43" s="16"/>
      <c r="AZ43" s="16">
        <f t="shared" si="4"/>
        <v>1473669</v>
      </c>
      <c r="BB43" s="6" t="s">
        <v>56</v>
      </c>
      <c r="BC43" s="6"/>
      <c r="BD43" s="6" t="s">
        <v>57</v>
      </c>
      <c r="BE43" s="16"/>
      <c r="BF43" s="16">
        <v>0</v>
      </c>
      <c r="BG43" s="16"/>
      <c r="BH43" s="16">
        <f>497000+233000</f>
        <v>730000</v>
      </c>
      <c r="BI43" s="16"/>
      <c r="BJ43" s="16">
        <f>73784+2261966+9223+281543</f>
        <v>2626516</v>
      </c>
      <c r="BK43" s="16"/>
      <c r="BL43" s="16">
        <f>63734+7098</f>
        <v>70832</v>
      </c>
      <c r="BM43" s="16"/>
      <c r="BN43" s="16">
        <f t="shared" si="3"/>
        <v>3427348</v>
      </c>
      <c r="BO43" s="17"/>
      <c r="BP43" s="6"/>
      <c r="BQ43" s="6"/>
      <c r="BR43" s="6"/>
    </row>
    <row r="44" spans="1:70" ht="12.75" customHeight="1" x14ac:dyDescent="0.2">
      <c r="A44" s="7" t="s">
        <v>509</v>
      </c>
      <c r="C44" s="6" t="s">
        <v>59</v>
      </c>
      <c r="E44" s="16">
        <v>831999</v>
      </c>
      <c r="F44" s="16"/>
      <c r="G44" s="16">
        <v>5261298</v>
      </c>
      <c r="H44" s="16"/>
      <c r="I44" s="16">
        <f t="shared" si="24"/>
        <v>6093297</v>
      </c>
      <c r="J44" s="16"/>
      <c r="K44" s="16">
        <v>243686</v>
      </c>
      <c r="L44" s="16"/>
      <c r="M44" s="16">
        <v>1814349</v>
      </c>
      <c r="N44" s="16"/>
      <c r="O44" s="16">
        <f t="shared" si="25"/>
        <v>2058035</v>
      </c>
      <c r="P44" s="16"/>
      <c r="Q44" s="16">
        <v>3333427</v>
      </c>
      <c r="R44" s="16"/>
      <c r="S44" s="16">
        <v>0</v>
      </c>
      <c r="T44" s="16"/>
      <c r="U44" s="16">
        <v>701835</v>
      </c>
      <c r="V44" s="16"/>
      <c r="W44" s="16">
        <f t="shared" ref="W44" si="26">SUM(Q44:U44)</f>
        <v>4035262</v>
      </c>
      <c r="Z44" s="7" t="s">
        <v>509</v>
      </c>
      <c r="AA44" s="14"/>
      <c r="AB44" s="6" t="s">
        <v>59</v>
      </c>
      <c r="AD44" s="16">
        <v>1775180</v>
      </c>
      <c r="AE44" s="16"/>
      <c r="AF44" s="16">
        <f>1553657-207583</f>
        <v>1346074</v>
      </c>
      <c r="AG44" s="16"/>
      <c r="AH44" s="16">
        <v>207583</v>
      </c>
      <c r="AI44" s="16"/>
      <c r="AJ44" s="8">
        <f t="shared" ref="AJ44" si="27">+AD44-AF44-AH44</f>
        <v>221523</v>
      </c>
      <c r="AK44" s="8"/>
      <c r="AL44" s="16">
        <v>-84964</v>
      </c>
      <c r="AM44" s="8"/>
      <c r="AN44" s="16">
        <v>0</v>
      </c>
      <c r="AO44" s="16"/>
      <c r="AP44" s="16">
        <v>0</v>
      </c>
      <c r="AQ44" s="16"/>
      <c r="AR44" s="16">
        <v>0</v>
      </c>
      <c r="AS44" s="16"/>
      <c r="AT44" s="8">
        <f t="shared" ref="AT44" si="28">+AJ44+AL44+AN44-AP44+AR44</f>
        <v>136559</v>
      </c>
      <c r="AU44" s="8"/>
      <c r="AV44" s="16">
        <v>0</v>
      </c>
      <c r="AW44" s="16"/>
      <c r="AX44" s="16">
        <v>0</v>
      </c>
      <c r="AY44" s="16"/>
      <c r="AZ44" s="16">
        <f t="shared" ref="AZ44" si="29">E44-K44</f>
        <v>588313</v>
      </c>
      <c r="BB44" s="7" t="s">
        <v>509</v>
      </c>
      <c r="BC44" s="14"/>
      <c r="BD44" s="6" t="s">
        <v>59</v>
      </c>
      <c r="BE44" s="16"/>
      <c r="BF44" s="16">
        <v>0</v>
      </c>
      <c r="BG44" s="16"/>
      <c r="BH44" s="16">
        <v>0</v>
      </c>
      <c r="BI44" s="16"/>
      <c r="BJ44" s="16">
        <f>1381805+392179+108343+45544</f>
        <v>1927871</v>
      </c>
      <c r="BK44" s="16"/>
      <c r="BL44" s="16">
        <f>4482+40365</f>
        <v>44847</v>
      </c>
      <c r="BM44" s="16"/>
      <c r="BN44" s="16">
        <f t="shared" ref="BN44" si="30">SUM(BF44:BL44)</f>
        <v>1972718</v>
      </c>
      <c r="BO44" s="17"/>
      <c r="BP44" s="6"/>
      <c r="BQ44" s="6"/>
      <c r="BR44" s="6"/>
    </row>
    <row r="45" spans="1:70" ht="12.75" customHeight="1" x14ac:dyDescent="0.2">
      <c r="A45" s="7" t="s">
        <v>470</v>
      </c>
      <c r="C45" s="6" t="s">
        <v>13</v>
      </c>
      <c r="E45" s="16">
        <v>501291</v>
      </c>
      <c r="F45" s="16"/>
      <c r="G45" s="16">
        <v>3992745</v>
      </c>
      <c r="H45" s="16"/>
      <c r="I45" s="16">
        <f t="shared" si="24"/>
        <v>4494036</v>
      </c>
      <c r="J45" s="16"/>
      <c r="K45" s="16">
        <v>230298</v>
      </c>
      <c r="L45" s="16"/>
      <c r="M45" s="16">
        <v>1072216</v>
      </c>
      <c r="N45" s="16"/>
      <c r="O45" s="16">
        <f t="shared" si="25"/>
        <v>1302514</v>
      </c>
      <c r="P45" s="16"/>
      <c r="Q45" s="16">
        <v>2841132</v>
      </c>
      <c r="R45" s="16"/>
      <c r="S45" s="16">
        <v>0</v>
      </c>
      <c r="T45" s="16"/>
      <c r="U45" s="16">
        <v>350390</v>
      </c>
      <c r="V45" s="16"/>
      <c r="W45" s="16">
        <f t="shared" si="16"/>
        <v>3191522</v>
      </c>
      <c r="Z45" s="7" t="s">
        <v>470</v>
      </c>
      <c r="AA45" s="16"/>
      <c r="AB45" s="6" t="s">
        <v>13</v>
      </c>
      <c r="AD45" s="16">
        <v>792812</v>
      </c>
      <c r="AE45" s="16"/>
      <c r="AF45" s="16">
        <f>572976-123552</f>
        <v>449424</v>
      </c>
      <c r="AG45" s="16"/>
      <c r="AH45" s="16">
        <v>123552</v>
      </c>
      <c r="AI45" s="16"/>
      <c r="AJ45" s="8">
        <f t="shared" si="5"/>
        <v>219836</v>
      </c>
      <c r="AK45" s="8"/>
      <c r="AL45" s="16">
        <v>-36005</v>
      </c>
      <c r="AM45" s="8"/>
      <c r="AN45" s="16">
        <v>60000</v>
      </c>
      <c r="AO45" s="16"/>
      <c r="AP45" s="16">
        <v>0</v>
      </c>
      <c r="AQ45" s="16"/>
      <c r="AR45" s="16">
        <v>0</v>
      </c>
      <c r="AS45" s="16"/>
      <c r="AT45" s="8">
        <f t="shared" si="6"/>
        <v>243831</v>
      </c>
      <c r="AU45" s="8"/>
      <c r="AV45" s="16">
        <v>0</v>
      </c>
      <c r="AW45" s="16"/>
      <c r="AX45" s="16">
        <v>0</v>
      </c>
      <c r="AY45" s="16"/>
      <c r="AZ45" s="16">
        <f t="shared" si="4"/>
        <v>270993</v>
      </c>
      <c r="BB45" s="7" t="s">
        <v>470</v>
      </c>
      <c r="BC45" s="6"/>
      <c r="BD45" s="6" t="s">
        <v>13</v>
      </c>
      <c r="BE45" s="16"/>
      <c r="BF45" s="16">
        <f>508064+30000</f>
        <v>538064</v>
      </c>
      <c r="BG45" s="16"/>
      <c r="BH45" s="16">
        <v>0</v>
      </c>
      <c r="BI45" s="16"/>
      <c r="BJ45" s="16">
        <f>547720+68893</f>
        <v>616613</v>
      </c>
      <c r="BK45" s="16"/>
      <c r="BL45" s="16">
        <v>16432</v>
      </c>
      <c r="BM45" s="16"/>
      <c r="BN45" s="16">
        <f t="shared" si="3"/>
        <v>1171109</v>
      </c>
      <c r="BO45" s="17"/>
      <c r="BP45" s="6"/>
      <c r="BQ45" s="6"/>
      <c r="BR45" s="6"/>
    </row>
    <row r="46" spans="1:70" ht="12.75" customHeight="1" x14ac:dyDescent="0.2">
      <c r="A46" s="7" t="s">
        <v>493</v>
      </c>
      <c r="B46" s="10"/>
      <c r="C46" s="7" t="s">
        <v>41</v>
      </c>
      <c r="E46" s="16">
        <v>2590454</v>
      </c>
      <c r="F46" s="16"/>
      <c r="G46" s="16">
        <v>16046214</v>
      </c>
      <c r="H46" s="16"/>
      <c r="I46" s="16">
        <f t="shared" si="24"/>
        <v>18636668</v>
      </c>
      <c r="J46" s="16"/>
      <c r="K46" s="16">
        <v>498352</v>
      </c>
      <c r="L46" s="16"/>
      <c r="M46" s="16">
        <v>3459515</v>
      </c>
      <c r="N46" s="16"/>
      <c r="O46" s="16">
        <f t="shared" si="25"/>
        <v>3957867</v>
      </c>
      <c r="P46" s="16"/>
      <c r="Q46" s="16">
        <v>12220043</v>
      </c>
      <c r="R46" s="16"/>
      <c r="S46" s="16">
        <v>0</v>
      </c>
      <c r="T46" s="16"/>
      <c r="U46" s="16">
        <v>2458758</v>
      </c>
      <c r="V46" s="16"/>
      <c r="W46" s="16">
        <f t="shared" ref="W46" si="31">SUM(Q46:U46)</f>
        <v>14678801</v>
      </c>
      <c r="Z46" s="7" t="s">
        <v>493</v>
      </c>
      <c r="AB46" s="7" t="s">
        <v>41</v>
      </c>
      <c r="AD46" s="16">
        <v>1561490</v>
      </c>
      <c r="AE46" s="16"/>
      <c r="AF46" s="16">
        <f>1471957-560754</f>
        <v>911203</v>
      </c>
      <c r="AG46" s="16"/>
      <c r="AH46" s="16">
        <v>560754</v>
      </c>
      <c r="AI46" s="16"/>
      <c r="AJ46" s="8">
        <f t="shared" ref="AJ46" si="32">+AD46-AF46-AH46</f>
        <v>89533</v>
      </c>
      <c r="AK46" s="8"/>
      <c r="AL46" s="16">
        <v>-193620</v>
      </c>
      <c r="AM46" s="8"/>
      <c r="AN46" s="16">
        <v>0</v>
      </c>
      <c r="AO46" s="16"/>
      <c r="AP46" s="16">
        <v>0</v>
      </c>
      <c r="AQ46" s="16"/>
      <c r="AR46" s="16">
        <v>0</v>
      </c>
      <c r="AS46" s="16"/>
      <c r="AT46" s="8">
        <f t="shared" ref="AT46" si="33">+AJ46+AL46+AN46-AP46+AR46</f>
        <v>-104087</v>
      </c>
      <c r="AU46" s="8"/>
      <c r="AV46" s="16">
        <v>0</v>
      </c>
      <c r="AW46" s="16"/>
      <c r="AX46" s="16">
        <v>0</v>
      </c>
      <c r="AY46" s="16"/>
      <c r="AZ46" s="16">
        <f t="shared" ref="AZ46" si="34">E46-K46</f>
        <v>2092102</v>
      </c>
      <c r="BB46" s="7" t="s">
        <v>493</v>
      </c>
      <c r="BC46" s="10"/>
      <c r="BD46" s="7" t="s">
        <v>41</v>
      </c>
      <c r="BE46" s="16"/>
      <c r="BF46" s="16">
        <v>0</v>
      </c>
      <c r="BG46" s="16"/>
      <c r="BH46" s="16">
        <v>0</v>
      </c>
      <c r="BI46" s="16"/>
      <c r="BJ46" s="16">
        <f>3434237+15143+371042+5749</f>
        <v>3826171</v>
      </c>
      <c r="BK46" s="16"/>
      <c r="BL46" s="16">
        <f>28568+10135</f>
        <v>38703</v>
      </c>
      <c r="BM46" s="16"/>
      <c r="BN46" s="16">
        <f t="shared" si="3"/>
        <v>3864874</v>
      </c>
      <c r="BO46" s="17"/>
      <c r="BP46" s="6"/>
      <c r="BQ46" s="6"/>
      <c r="BR46" s="6"/>
    </row>
    <row r="47" spans="1:70" ht="12.75" customHeight="1" x14ac:dyDescent="0.2">
      <c r="A47" s="6" t="s">
        <v>58</v>
      </c>
      <c r="B47" s="6"/>
      <c r="C47" s="6" t="s">
        <v>59</v>
      </c>
      <c r="E47" s="16">
        <v>1150662</v>
      </c>
      <c r="F47" s="16"/>
      <c r="G47" s="16">
        <v>5587609</v>
      </c>
      <c r="H47" s="16"/>
      <c r="I47" s="16">
        <f t="shared" si="24"/>
        <v>6738271</v>
      </c>
      <c r="J47" s="16"/>
      <c r="K47" s="16">
        <v>23578</v>
      </c>
      <c r="L47" s="16"/>
      <c r="M47" s="16">
        <v>2794</v>
      </c>
      <c r="N47" s="16"/>
      <c r="O47" s="16">
        <f t="shared" si="25"/>
        <v>26372</v>
      </c>
      <c r="P47" s="16"/>
      <c r="Q47" s="16">
        <v>5490908</v>
      </c>
      <c r="R47" s="16"/>
      <c r="S47" s="16">
        <v>0</v>
      </c>
      <c r="T47" s="16"/>
      <c r="U47" s="16">
        <v>1220991</v>
      </c>
      <c r="V47" s="16"/>
      <c r="W47" s="16">
        <f t="shared" si="16"/>
        <v>6711899</v>
      </c>
      <c r="Z47" s="6" t="s">
        <v>58</v>
      </c>
      <c r="AA47" s="16"/>
      <c r="AB47" s="6" t="s">
        <v>59</v>
      </c>
      <c r="AC47" s="6"/>
      <c r="AD47" s="16">
        <v>1171304</v>
      </c>
      <c r="AE47" s="16"/>
      <c r="AF47" s="16">
        <f>1457032-202167</f>
        <v>1254865</v>
      </c>
      <c r="AG47" s="16"/>
      <c r="AH47" s="16">
        <v>202167</v>
      </c>
      <c r="AI47" s="16"/>
      <c r="AJ47" s="8">
        <f t="shared" si="5"/>
        <v>-285728</v>
      </c>
      <c r="AK47" s="8"/>
      <c r="AL47" s="16">
        <v>0</v>
      </c>
      <c r="AM47" s="8"/>
      <c r="AN47" s="16">
        <v>0</v>
      </c>
      <c r="AO47" s="16"/>
      <c r="AP47" s="16">
        <v>0</v>
      </c>
      <c r="AQ47" s="16"/>
      <c r="AR47" s="16">
        <v>83002</v>
      </c>
      <c r="AS47" s="16"/>
      <c r="AT47" s="8">
        <f t="shared" si="6"/>
        <v>-202726</v>
      </c>
      <c r="AU47" s="8"/>
      <c r="AV47" s="16">
        <v>0</v>
      </c>
      <c r="AW47" s="16"/>
      <c r="AX47" s="16">
        <v>0</v>
      </c>
      <c r="AY47" s="16"/>
      <c r="AZ47" s="16">
        <f t="shared" si="4"/>
        <v>1127084</v>
      </c>
      <c r="BB47" s="6" t="s">
        <v>58</v>
      </c>
      <c r="BC47" s="6"/>
      <c r="BD47" s="6" t="s">
        <v>59</v>
      </c>
      <c r="BE47" s="16"/>
      <c r="BF47" s="16">
        <v>0</v>
      </c>
      <c r="BG47" s="16"/>
      <c r="BH47" s="16">
        <v>0</v>
      </c>
      <c r="BI47" s="16"/>
      <c r="BJ47" s="16">
        <v>0</v>
      </c>
      <c r="BK47" s="16"/>
      <c r="BL47" s="16">
        <f>6732+2794</f>
        <v>9526</v>
      </c>
      <c r="BM47" s="16"/>
      <c r="BN47" s="16">
        <f t="shared" si="3"/>
        <v>9526</v>
      </c>
      <c r="BO47" s="17"/>
      <c r="BP47" s="6"/>
      <c r="BQ47" s="6"/>
      <c r="BR47" s="6"/>
    </row>
    <row r="48" spans="1:70" ht="12.75" hidden="1" customHeight="1" x14ac:dyDescent="0.2">
      <c r="A48" s="7" t="s">
        <v>60</v>
      </c>
      <c r="C48" s="6" t="s">
        <v>13</v>
      </c>
      <c r="E48" s="16">
        <v>15281028</v>
      </c>
      <c r="F48" s="16"/>
      <c r="G48" s="16">
        <v>61436590</v>
      </c>
      <c r="H48" s="16"/>
      <c r="I48" s="16">
        <f>+E48+G48</f>
        <v>76717618</v>
      </c>
      <c r="J48" s="16"/>
      <c r="K48" s="16">
        <v>1967424</v>
      </c>
      <c r="L48" s="16"/>
      <c r="M48" s="16">
        <v>28094631</v>
      </c>
      <c r="N48" s="16"/>
      <c r="O48" s="16">
        <f>+K48+M48</f>
        <v>30062055</v>
      </c>
      <c r="P48" s="16"/>
      <c r="Q48" s="16">
        <v>34095637</v>
      </c>
      <c r="R48" s="16"/>
      <c r="S48" s="16">
        <v>0</v>
      </c>
      <c r="T48" s="16"/>
      <c r="U48" s="16">
        <v>14523123</v>
      </c>
      <c r="V48" s="16"/>
      <c r="W48" s="16">
        <f t="shared" si="16"/>
        <v>48618760</v>
      </c>
      <c r="Z48" s="7" t="s">
        <v>60</v>
      </c>
      <c r="AA48" s="16"/>
      <c r="AB48" s="6" t="s">
        <v>13</v>
      </c>
      <c r="AD48" s="16">
        <v>14585591</v>
      </c>
      <c r="AE48" s="16"/>
      <c r="AF48" s="16">
        <f>11678481-1549982</f>
        <v>10128499</v>
      </c>
      <c r="AG48" s="16"/>
      <c r="AH48" s="16">
        <v>1549982</v>
      </c>
      <c r="AI48" s="16"/>
      <c r="AJ48" s="8">
        <f t="shared" si="5"/>
        <v>2907110</v>
      </c>
      <c r="AK48" s="8"/>
      <c r="AL48" s="16">
        <v>-1003193</v>
      </c>
      <c r="AM48" s="8"/>
      <c r="AN48" s="16">
        <v>0</v>
      </c>
      <c r="AO48" s="16"/>
      <c r="AP48" s="16">
        <v>0</v>
      </c>
      <c r="AQ48" s="16"/>
      <c r="AR48" s="16">
        <v>803328</v>
      </c>
      <c r="AS48" s="16"/>
      <c r="AT48" s="8">
        <f t="shared" si="6"/>
        <v>2707245</v>
      </c>
      <c r="AU48" s="8"/>
      <c r="AV48" s="16">
        <v>0</v>
      </c>
      <c r="AW48" s="16"/>
      <c r="AX48" s="16">
        <v>0</v>
      </c>
      <c r="AY48" s="16"/>
      <c r="AZ48" s="16">
        <f t="shared" si="4"/>
        <v>13313604</v>
      </c>
      <c r="BB48" s="7" t="s">
        <v>60</v>
      </c>
      <c r="BC48" s="6"/>
      <c r="BD48" s="6" t="s">
        <v>13</v>
      </c>
      <c r="BE48" s="16"/>
      <c r="BF48" s="16">
        <f>26127207+1213746</f>
        <v>27340953</v>
      </c>
      <c r="BG48" s="16"/>
      <c r="BH48" s="16">
        <v>0</v>
      </c>
      <c r="BI48" s="16"/>
      <c r="BJ48" s="16">
        <v>0</v>
      </c>
      <c r="BK48" s="16"/>
      <c r="BL48" s="16">
        <v>0</v>
      </c>
      <c r="BM48" s="16"/>
      <c r="BN48" s="16">
        <f t="shared" si="3"/>
        <v>27340953</v>
      </c>
      <c r="BO48" s="17"/>
      <c r="BP48" s="7"/>
      <c r="BQ48" s="6"/>
      <c r="BR48" s="6"/>
    </row>
    <row r="49" spans="1:70" ht="12.75" hidden="1" customHeight="1" x14ac:dyDescent="0.2">
      <c r="A49" s="6" t="s">
        <v>479</v>
      </c>
      <c r="C49" s="6" t="s">
        <v>109</v>
      </c>
      <c r="E49" s="16">
        <f t="shared" si="7"/>
        <v>0</v>
      </c>
      <c r="F49" s="16"/>
      <c r="G49" s="16"/>
      <c r="H49" s="16"/>
      <c r="I49" s="16"/>
      <c r="J49" s="16"/>
      <c r="K49" s="16">
        <f t="shared" si="8"/>
        <v>0</v>
      </c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>
        <f t="shared" si="16"/>
        <v>0</v>
      </c>
      <c r="Z49" s="6" t="s">
        <v>479</v>
      </c>
      <c r="AA49" s="14"/>
      <c r="AB49" s="6" t="s">
        <v>109</v>
      </c>
      <c r="AD49" s="16"/>
      <c r="AE49" s="16"/>
      <c r="AF49" s="16"/>
      <c r="AG49" s="16"/>
      <c r="AH49" s="16"/>
      <c r="AI49" s="16"/>
      <c r="AJ49" s="8">
        <f t="shared" si="5"/>
        <v>0</v>
      </c>
      <c r="AK49" s="8"/>
      <c r="AL49" s="16"/>
      <c r="AM49" s="8"/>
      <c r="AN49" s="16"/>
      <c r="AO49" s="16"/>
      <c r="AP49" s="16"/>
      <c r="AQ49" s="16"/>
      <c r="AR49" s="16"/>
      <c r="AS49" s="16"/>
      <c r="AT49" s="8">
        <f t="shared" si="6"/>
        <v>0</v>
      </c>
      <c r="AU49" s="8"/>
      <c r="AV49" s="16">
        <v>0</v>
      </c>
      <c r="AW49" s="16"/>
      <c r="AX49" s="16">
        <v>0</v>
      </c>
      <c r="AY49" s="16"/>
      <c r="AZ49" s="16">
        <f>E49-K49</f>
        <v>0</v>
      </c>
      <c r="BB49" s="6" t="s">
        <v>479</v>
      </c>
      <c r="BC49" s="14"/>
      <c r="BD49" s="6" t="s">
        <v>109</v>
      </c>
      <c r="BE49" s="16"/>
      <c r="BF49" s="16"/>
      <c r="BG49" s="16"/>
      <c r="BH49" s="16"/>
      <c r="BI49" s="16"/>
      <c r="BJ49" s="16"/>
      <c r="BK49" s="16"/>
      <c r="BL49" s="16"/>
      <c r="BM49" s="16"/>
      <c r="BN49" s="16">
        <f t="shared" si="3"/>
        <v>0</v>
      </c>
      <c r="BO49" s="17"/>
      <c r="BP49" s="7"/>
      <c r="BQ49" s="6"/>
      <c r="BR49" s="6"/>
    </row>
    <row r="50" spans="1:70" ht="12.75" customHeight="1" x14ac:dyDescent="0.2">
      <c r="A50" s="6" t="s">
        <v>61</v>
      </c>
      <c r="C50" s="6" t="s">
        <v>62</v>
      </c>
      <c r="E50" s="16">
        <f>3248377+23891</f>
        <v>3272268</v>
      </c>
      <c r="F50" s="16"/>
      <c r="G50" s="16">
        <v>13080675</v>
      </c>
      <c r="H50" s="16"/>
      <c r="I50" s="16">
        <f>+E50+G50</f>
        <v>16352943</v>
      </c>
      <c r="J50" s="16"/>
      <c r="K50" s="16">
        <v>724585</v>
      </c>
      <c r="L50" s="16"/>
      <c r="M50" s="16">
        <v>6168126</v>
      </c>
      <c r="N50" s="16"/>
      <c r="O50" s="16">
        <f>+K50+M50</f>
        <v>6892711</v>
      </c>
      <c r="P50" s="16"/>
      <c r="Q50" s="16">
        <v>6537783</v>
      </c>
      <c r="R50" s="16"/>
      <c r="S50" s="16">
        <v>0</v>
      </c>
      <c r="T50" s="16"/>
      <c r="U50" s="16">
        <v>2922449</v>
      </c>
      <c r="V50" s="16"/>
      <c r="W50" s="16">
        <f t="shared" si="16"/>
        <v>9460232</v>
      </c>
      <c r="Z50" s="6" t="s">
        <v>61</v>
      </c>
      <c r="AA50" s="16"/>
      <c r="AB50" s="6" t="s">
        <v>62</v>
      </c>
      <c r="AD50" s="16">
        <v>3911290</v>
      </c>
      <c r="AE50" s="16"/>
      <c r="AF50" s="16">
        <f>2959342-427743</f>
        <v>2531599</v>
      </c>
      <c r="AG50" s="16"/>
      <c r="AH50" s="16">
        <v>427743</v>
      </c>
      <c r="AI50" s="16"/>
      <c r="AJ50" s="8">
        <f t="shared" si="5"/>
        <v>951948</v>
      </c>
      <c r="AK50" s="8"/>
      <c r="AL50" s="16">
        <v>-235112</v>
      </c>
      <c r="AM50" s="8"/>
      <c r="AN50" s="16">
        <v>18450</v>
      </c>
      <c r="AO50" s="16"/>
      <c r="AP50" s="16">
        <v>0</v>
      </c>
      <c r="AQ50" s="16"/>
      <c r="AR50" s="16">
        <v>0</v>
      </c>
      <c r="AS50" s="16"/>
      <c r="AT50" s="8">
        <f t="shared" si="6"/>
        <v>735286</v>
      </c>
      <c r="AU50" s="8"/>
      <c r="AV50" s="16">
        <v>0</v>
      </c>
      <c r="AW50" s="16"/>
      <c r="AX50" s="16">
        <v>0</v>
      </c>
      <c r="AY50" s="16"/>
      <c r="AZ50" s="16">
        <f t="shared" si="4"/>
        <v>2547683</v>
      </c>
      <c r="BB50" s="6" t="s">
        <v>61</v>
      </c>
      <c r="BC50" s="14"/>
      <c r="BD50" s="6" t="s">
        <v>62</v>
      </c>
      <c r="BE50" s="16"/>
      <c r="BF50" s="16">
        <f>155000+561899</f>
        <v>716899</v>
      </c>
      <c r="BG50" s="16"/>
      <c r="BH50" s="16">
        <v>0</v>
      </c>
      <c r="BI50" s="16"/>
      <c r="BJ50" s="16">
        <f>24162+269285+277864+5278573</f>
        <v>5849884</v>
      </c>
      <c r="BK50" s="16"/>
      <c r="BL50" s="16">
        <f>21349+49790</f>
        <v>71139</v>
      </c>
      <c r="BM50" s="16"/>
      <c r="BN50" s="16">
        <f t="shared" si="3"/>
        <v>6637922</v>
      </c>
      <c r="BO50" s="17"/>
      <c r="BP50" s="6"/>
      <c r="BQ50" s="6"/>
      <c r="BR50" s="6"/>
    </row>
    <row r="51" spans="1:70" ht="12.75" hidden="1" customHeight="1" x14ac:dyDescent="0.2">
      <c r="A51" s="6" t="s">
        <v>63</v>
      </c>
      <c r="C51" s="6" t="s">
        <v>64</v>
      </c>
      <c r="E51" s="16">
        <f t="shared" si="7"/>
        <v>0</v>
      </c>
      <c r="F51" s="16"/>
      <c r="G51" s="16"/>
      <c r="H51" s="16"/>
      <c r="I51" s="16"/>
      <c r="J51" s="16"/>
      <c r="K51" s="16">
        <f t="shared" si="8"/>
        <v>0</v>
      </c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>
        <f t="shared" si="16"/>
        <v>0</v>
      </c>
      <c r="Z51" s="6" t="s">
        <v>63</v>
      </c>
      <c r="AA51" s="16"/>
      <c r="AB51" s="6" t="s">
        <v>64</v>
      </c>
      <c r="AD51" s="16"/>
      <c r="AE51" s="16"/>
      <c r="AF51" s="16"/>
      <c r="AG51" s="16"/>
      <c r="AH51" s="16"/>
      <c r="AI51" s="16"/>
      <c r="AJ51" s="8">
        <f t="shared" si="5"/>
        <v>0</v>
      </c>
      <c r="AK51" s="8"/>
      <c r="AL51" s="16"/>
      <c r="AM51" s="8"/>
      <c r="AN51" s="16"/>
      <c r="AO51" s="16"/>
      <c r="AP51" s="16"/>
      <c r="AQ51" s="16"/>
      <c r="AR51" s="16"/>
      <c r="AS51" s="16"/>
      <c r="AT51" s="8">
        <f t="shared" si="6"/>
        <v>0</v>
      </c>
      <c r="AU51" s="8"/>
      <c r="AV51" s="16">
        <v>0</v>
      </c>
      <c r="AW51" s="16"/>
      <c r="AX51" s="16">
        <v>0</v>
      </c>
      <c r="AY51" s="16"/>
      <c r="AZ51" s="16">
        <f t="shared" si="4"/>
        <v>0</v>
      </c>
      <c r="BB51" s="6" t="s">
        <v>63</v>
      </c>
      <c r="BC51" s="6"/>
      <c r="BD51" s="6" t="s">
        <v>64</v>
      </c>
      <c r="BE51" s="16"/>
      <c r="BF51" s="16"/>
      <c r="BG51" s="16"/>
      <c r="BH51" s="16"/>
      <c r="BI51" s="16"/>
      <c r="BJ51" s="16"/>
      <c r="BK51" s="16"/>
      <c r="BL51" s="16"/>
      <c r="BM51" s="16"/>
      <c r="BN51" s="16">
        <f t="shared" si="3"/>
        <v>0</v>
      </c>
      <c r="BO51" s="17"/>
      <c r="BP51" s="6"/>
      <c r="BQ51" s="6"/>
      <c r="BR51" s="6"/>
    </row>
    <row r="52" spans="1:70" ht="12.75" hidden="1" customHeight="1" x14ac:dyDescent="0.2">
      <c r="A52" s="6" t="s">
        <v>65</v>
      </c>
      <c r="C52" s="6" t="s">
        <v>373</v>
      </c>
      <c r="E52" s="16">
        <f t="shared" si="7"/>
        <v>1010198</v>
      </c>
      <c r="F52" s="16"/>
      <c r="G52" s="16">
        <v>12293339</v>
      </c>
      <c r="H52" s="16"/>
      <c r="I52" s="16">
        <v>13303537</v>
      </c>
      <c r="J52" s="16"/>
      <c r="K52" s="16">
        <f t="shared" si="8"/>
        <v>338791</v>
      </c>
      <c r="L52" s="16"/>
      <c r="M52" s="16">
        <v>4808731</v>
      </c>
      <c r="N52" s="16"/>
      <c r="O52" s="16">
        <v>5147522</v>
      </c>
      <c r="P52" s="16"/>
      <c r="Q52" s="16">
        <v>7281361</v>
      </c>
      <c r="R52" s="16"/>
      <c r="S52" s="16">
        <v>0</v>
      </c>
      <c r="T52" s="16"/>
      <c r="U52" s="16">
        <v>874654</v>
      </c>
      <c r="V52" s="16"/>
      <c r="W52" s="16">
        <f t="shared" si="16"/>
        <v>8156015</v>
      </c>
      <c r="Z52" s="6" t="s">
        <v>65</v>
      </c>
      <c r="AA52" s="16"/>
      <c r="AB52" s="6" t="s">
        <v>373</v>
      </c>
      <c r="AD52" s="16">
        <v>884719</v>
      </c>
      <c r="AE52" s="16"/>
      <c r="AF52" s="16">
        <f>1125977-246416</f>
        <v>879561</v>
      </c>
      <c r="AG52" s="16"/>
      <c r="AH52" s="16">
        <v>246416</v>
      </c>
      <c r="AI52" s="16"/>
      <c r="AJ52" s="8">
        <f t="shared" si="5"/>
        <v>-241258</v>
      </c>
      <c r="AK52" s="8"/>
      <c r="AL52" s="16">
        <v>-108558</v>
      </c>
      <c r="AM52" s="8"/>
      <c r="AN52" s="16">
        <v>0</v>
      </c>
      <c r="AO52" s="16"/>
      <c r="AP52" s="16">
        <v>0</v>
      </c>
      <c r="AQ52" s="16"/>
      <c r="AR52" s="16">
        <v>0</v>
      </c>
      <c r="AS52" s="16"/>
      <c r="AT52" s="8">
        <f t="shared" si="6"/>
        <v>-349816</v>
      </c>
      <c r="AU52" s="8"/>
      <c r="AV52" s="16">
        <v>0</v>
      </c>
      <c r="AW52" s="16"/>
      <c r="AX52" s="16">
        <v>0</v>
      </c>
      <c r="AY52" s="16"/>
      <c r="AZ52" s="16">
        <f t="shared" si="4"/>
        <v>671407</v>
      </c>
      <c r="BB52" s="6" t="s">
        <v>65</v>
      </c>
      <c r="BC52" s="6"/>
      <c r="BD52" s="6" t="s">
        <v>373</v>
      </c>
      <c r="BE52" s="16"/>
      <c r="BF52" s="16">
        <v>0</v>
      </c>
      <c r="BG52" s="16"/>
      <c r="BH52" s="16">
        <v>0</v>
      </c>
      <c r="BI52" s="16"/>
      <c r="BJ52" s="16">
        <f>259180+4752798</f>
        <v>5011978</v>
      </c>
      <c r="BK52" s="16"/>
      <c r="BL52" s="16">
        <f>15760+55933</f>
        <v>71693</v>
      </c>
      <c r="BM52" s="16"/>
      <c r="BN52" s="16">
        <f t="shared" si="3"/>
        <v>5083671</v>
      </c>
      <c r="BO52" s="17"/>
      <c r="BP52" s="6"/>
      <c r="BQ52" s="6"/>
      <c r="BR52" s="6"/>
    </row>
    <row r="53" spans="1:70" ht="12.75" hidden="1" customHeight="1" x14ac:dyDescent="0.2">
      <c r="A53" s="6" t="s">
        <v>66</v>
      </c>
      <c r="C53" s="6" t="s">
        <v>43</v>
      </c>
      <c r="E53" s="16">
        <f t="shared" si="7"/>
        <v>0</v>
      </c>
      <c r="F53" s="16"/>
      <c r="G53" s="16"/>
      <c r="H53" s="16"/>
      <c r="I53" s="16"/>
      <c r="J53" s="16"/>
      <c r="K53" s="16">
        <f t="shared" si="8"/>
        <v>0</v>
      </c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>
        <f t="shared" si="16"/>
        <v>0</v>
      </c>
      <c r="Z53" s="6" t="s">
        <v>66</v>
      </c>
      <c r="AA53" s="16"/>
      <c r="AB53" s="6" t="s">
        <v>43</v>
      </c>
      <c r="AD53" s="16"/>
      <c r="AE53" s="16"/>
      <c r="AF53" s="16"/>
      <c r="AG53" s="16"/>
      <c r="AH53" s="16"/>
      <c r="AI53" s="16"/>
      <c r="AJ53" s="8">
        <f t="shared" si="5"/>
        <v>0</v>
      </c>
      <c r="AK53" s="8"/>
      <c r="AL53" s="16"/>
      <c r="AM53" s="8"/>
      <c r="AN53" s="16"/>
      <c r="AO53" s="16"/>
      <c r="AP53" s="16"/>
      <c r="AQ53" s="16"/>
      <c r="AR53" s="16"/>
      <c r="AS53" s="16"/>
      <c r="AT53" s="8">
        <f t="shared" si="6"/>
        <v>0</v>
      </c>
      <c r="AU53" s="8"/>
      <c r="AV53" s="16">
        <v>0</v>
      </c>
      <c r="AW53" s="16"/>
      <c r="AX53" s="16">
        <v>0</v>
      </c>
      <c r="AY53" s="16"/>
      <c r="AZ53" s="16">
        <f t="shared" si="4"/>
        <v>0</v>
      </c>
      <c r="BB53" s="6" t="s">
        <v>66</v>
      </c>
      <c r="BC53" s="6"/>
      <c r="BD53" s="6" t="s">
        <v>43</v>
      </c>
      <c r="BE53" s="16"/>
      <c r="BF53" s="16"/>
      <c r="BG53" s="16"/>
      <c r="BH53" s="16"/>
      <c r="BI53" s="16"/>
      <c r="BJ53" s="16"/>
      <c r="BK53" s="16"/>
      <c r="BL53" s="16"/>
      <c r="BM53" s="16"/>
      <c r="BN53" s="16">
        <f t="shared" si="3"/>
        <v>0</v>
      </c>
      <c r="BO53" s="17"/>
      <c r="BR53" s="6"/>
    </row>
    <row r="54" spans="1:70" ht="12.75" hidden="1" customHeight="1" x14ac:dyDescent="0.2">
      <c r="A54" s="6" t="s">
        <v>67</v>
      </c>
      <c r="C54" s="6" t="s">
        <v>68</v>
      </c>
      <c r="E54" s="16">
        <f t="shared" si="7"/>
        <v>4066841</v>
      </c>
      <c r="F54" s="16"/>
      <c r="G54" s="16">
        <v>24013551</v>
      </c>
      <c r="H54" s="16"/>
      <c r="I54" s="16">
        <v>28080392</v>
      </c>
      <c r="J54" s="16"/>
      <c r="K54" s="16">
        <f t="shared" si="8"/>
        <v>3939771</v>
      </c>
      <c r="L54" s="16"/>
      <c r="M54" s="16">
        <v>2641394</v>
      </c>
      <c r="N54" s="16"/>
      <c r="O54" s="16">
        <v>6581165</v>
      </c>
      <c r="P54" s="16"/>
      <c r="Q54" s="16">
        <v>15516854</v>
      </c>
      <c r="R54" s="16"/>
      <c r="S54" s="16">
        <f>1283936+1200000</f>
        <v>2483936</v>
      </c>
      <c r="T54" s="16"/>
      <c r="U54" s="16">
        <v>3498437</v>
      </c>
      <c r="V54" s="16"/>
      <c r="W54" s="16">
        <f t="shared" si="16"/>
        <v>21499227</v>
      </c>
      <c r="Z54" s="6" t="s">
        <v>67</v>
      </c>
      <c r="AA54" s="16"/>
      <c r="AB54" s="6" t="s">
        <v>68</v>
      </c>
      <c r="AD54" s="16">
        <v>4599689</v>
      </c>
      <c r="AE54" s="16"/>
      <c r="AF54" s="16">
        <f>4675879-756593</f>
        <v>3919286</v>
      </c>
      <c r="AG54" s="16"/>
      <c r="AH54" s="16">
        <v>756593</v>
      </c>
      <c r="AI54" s="16"/>
      <c r="AJ54" s="8">
        <f t="shared" si="5"/>
        <v>-76190</v>
      </c>
      <c r="AK54" s="8"/>
      <c r="AL54" s="16">
        <v>-316459</v>
      </c>
      <c r="AM54" s="8"/>
      <c r="AN54" s="16">
        <v>0</v>
      </c>
      <c r="AO54" s="16"/>
      <c r="AP54" s="16">
        <v>7757</v>
      </c>
      <c r="AQ54" s="16"/>
      <c r="AR54" s="16">
        <v>0</v>
      </c>
      <c r="AS54" s="16"/>
      <c r="AT54" s="8">
        <f t="shared" si="6"/>
        <v>-400406</v>
      </c>
      <c r="AU54" s="8"/>
      <c r="AV54" s="16">
        <v>0</v>
      </c>
      <c r="AW54" s="16"/>
      <c r="AX54" s="16">
        <v>0</v>
      </c>
      <c r="AY54" s="16"/>
      <c r="AZ54" s="16">
        <f t="shared" si="4"/>
        <v>127070</v>
      </c>
      <c r="BB54" s="6" t="s">
        <v>67</v>
      </c>
      <c r="BC54" s="6"/>
      <c r="BD54" s="6" t="s">
        <v>68</v>
      </c>
      <c r="BE54" s="16"/>
      <c r="BF54" s="16">
        <v>0</v>
      </c>
      <c r="BG54" s="16"/>
      <c r="BH54" s="16">
        <f>2441761+1130000</f>
        <v>3571761</v>
      </c>
      <c r="BI54" s="16"/>
      <c r="BJ54" s="16">
        <v>0</v>
      </c>
      <c r="BK54" s="16"/>
      <c r="BL54" s="16">
        <f>143218+199633</f>
        <v>342851</v>
      </c>
      <c r="BM54" s="16"/>
      <c r="BN54" s="16">
        <f t="shared" si="3"/>
        <v>3914612</v>
      </c>
      <c r="BO54" s="17"/>
      <c r="BP54" s="6"/>
      <c r="BQ54" s="6"/>
      <c r="BR54" s="6"/>
    </row>
    <row r="55" spans="1:70" ht="12.75" customHeight="1" x14ac:dyDescent="0.2">
      <c r="A55" s="19" t="s">
        <v>69</v>
      </c>
      <c r="B55" s="19"/>
      <c r="C55" s="19" t="s">
        <v>43</v>
      </c>
      <c r="D55" s="9"/>
      <c r="E55" s="16">
        <v>170717000</v>
      </c>
      <c r="F55" s="16"/>
      <c r="G55" s="16">
        <v>1058860000</v>
      </c>
      <c r="H55" s="16"/>
      <c r="I55" s="16">
        <f t="shared" ref="I55:I62" si="35">+E55+G55</f>
        <v>1229577000</v>
      </c>
      <c r="J55" s="16"/>
      <c r="K55" s="16">
        <v>43660000</v>
      </c>
      <c r="L55" s="16"/>
      <c r="M55" s="16">
        <v>557522000</v>
      </c>
      <c r="N55" s="16"/>
      <c r="O55" s="16">
        <f t="shared" ref="O55:O62" si="36">+K55+M55</f>
        <v>601182000</v>
      </c>
      <c r="P55" s="16"/>
      <c r="Q55" s="16">
        <v>512624000</v>
      </c>
      <c r="R55" s="16"/>
      <c r="S55" s="16">
        <v>52330000</v>
      </c>
      <c r="T55" s="16"/>
      <c r="U55" s="16">
        <v>63441000</v>
      </c>
      <c r="V55" s="16"/>
      <c r="W55" s="16">
        <f t="shared" si="16"/>
        <v>628395000</v>
      </c>
      <c r="X55" s="6"/>
      <c r="Y55" s="6"/>
      <c r="Z55" s="19" t="s">
        <v>69</v>
      </c>
      <c r="AA55" s="28"/>
      <c r="AB55" s="19" t="s">
        <v>43</v>
      </c>
      <c r="AC55" s="21"/>
      <c r="AD55" s="16">
        <v>135384000</v>
      </c>
      <c r="AE55" s="16"/>
      <c r="AF55" s="16">
        <f>98872000-23326000</f>
        <v>75546000</v>
      </c>
      <c r="AG55" s="16"/>
      <c r="AH55" s="16">
        <v>23326000</v>
      </c>
      <c r="AI55" s="16"/>
      <c r="AJ55" s="8">
        <f t="shared" si="5"/>
        <v>36512000</v>
      </c>
      <c r="AK55" s="8"/>
      <c r="AL55" s="16">
        <v>-13736000</v>
      </c>
      <c r="AM55" s="8"/>
      <c r="AN55" s="16">
        <v>0</v>
      </c>
      <c r="AO55" s="16"/>
      <c r="AP55" s="16">
        <v>47000</v>
      </c>
      <c r="AQ55" s="16"/>
      <c r="AR55" s="16">
        <v>3385000</v>
      </c>
      <c r="AS55" s="16"/>
      <c r="AT55" s="8">
        <f t="shared" si="6"/>
        <v>26114000</v>
      </c>
      <c r="AU55" s="8"/>
      <c r="AV55" s="16">
        <v>0</v>
      </c>
      <c r="AW55" s="16"/>
      <c r="AX55" s="16">
        <v>0</v>
      </c>
      <c r="AY55" s="16"/>
      <c r="AZ55" s="16">
        <f t="shared" si="4"/>
        <v>127057000</v>
      </c>
      <c r="BB55" s="19" t="s">
        <v>69</v>
      </c>
      <c r="BC55" s="19"/>
      <c r="BD55" s="19" t="s">
        <v>43</v>
      </c>
      <c r="BE55" s="28"/>
      <c r="BF55" s="16">
        <f>1800000+2000000</f>
        <v>3800000</v>
      </c>
      <c r="BG55" s="16"/>
      <c r="BH55" s="16">
        <f>494061000+19579000</f>
        <v>513640000</v>
      </c>
      <c r="BI55" s="16"/>
      <c r="BJ55" s="16">
        <f>2986000+13887000+220000+703000</f>
        <v>17796000</v>
      </c>
      <c r="BK55" s="16"/>
      <c r="BL55" s="16">
        <f>2907000+27000+25829000+16031000</f>
        <v>44794000</v>
      </c>
      <c r="BM55" s="16"/>
      <c r="BN55" s="16">
        <f t="shared" si="3"/>
        <v>580030000</v>
      </c>
      <c r="BO55" s="17"/>
      <c r="BP55" s="6"/>
      <c r="BQ55" s="6"/>
      <c r="BR55" s="6"/>
    </row>
    <row r="56" spans="1:70" ht="12.75" customHeight="1" x14ac:dyDescent="0.2">
      <c r="A56" s="7" t="s">
        <v>459</v>
      </c>
      <c r="C56" s="7" t="s">
        <v>460</v>
      </c>
      <c r="E56" s="16">
        <v>4072969</v>
      </c>
      <c r="F56" s="16"/>
      <c r="G56" s="16">
        <v>7100485</v>
      </c>
      <c r="H56" s="16"/>
      <c r="I56" s="16">
        <f t="shared" si="35"/>
        <v>11173454</v>
      </c>
      <c r="J56" s="16"/>
      <c r="K56" s="16">
        <v>194364</v>
      </c>
      <c r="L56" s="16"/>
      <c r="M56" s="16">
        <v>1427562</v>
      </c>
      <c r="N56" s="16"/>
      <c r="O56" s="16">
        <f t="shared" si="36"/>
        <v>1621926</v>
      </c>
      <c r="P56" s="16"/>
      <c r="Q56" s="16">
        <v>5599899</v>
      </c>
      <c r="R56" s="16"/>
      <c r="S56" s="16">
        <v>0</v>
      </c>
      <c r="T56" s="16"/>
      <c r="U56" s="16">
        <v>3951629</v>
      </c>
      <c r="V56" s="16"/>
      <c r="W56" s="16">
        <f t="shared" si="16"/>
        <v>9551528</v>
      </c>
      <c r="Z56" s="7" t="s">
        <v>459</v>
      </c>
      <c r="AA56" s="14"/>
      <c r="AB56" s="7" t="s">
        <v>460</v>
      </c>
      <c r="AD56" s="16">
        <v>1639746</v>
      </c>
      <c r="AE56" s="16"/>
      <c r="AF56" s="16">
        <f>1631229-221894</f>
        <v>1409335</v>
      </c>
      <c r="AG56" s="16"/>
      <c r="AH56" s="16">
        <v>221894</v>
      </c>
      <c r="AI56" s="16"/>
      <c r="AJ56" s="8">
        <f t="shared" si="5"/>
        <v>8517</v>
      </c>
      <c r="AK56" s="8"/>
      <c r="AL56" s="16">
        <v>-42963</v>
      </c>
      <c r="AM56" s="8"/>
      <c r="AN56" s="16">
        <v>0</v>
      </c>
      <c r="AO56" s="16"/>
      <c r="AP56" s="16">
        <v>0</v>
      </c>
      <c r="AQ56" s="16"/>
      <c r="AR56" s="16">
        <v>0</v>
      </c>
      <c r="AS56" s="16"/>
      <c r="AT56" s="8">
        <f t="shared" si="6"/>
        <v>-34446</v>
      </c>
      <c r="AU56" s="8"/>
      <c r="AV56" s="16">
        <v>0</v>
      </c>
      <c r="AW56" s="16"/>
      <c r="AX56" s="16">
        <v>0</v>
      </c>
      <c r="AY56" s="16"/>
      <c r="AZ56" s="16">
        <f t="shared" si="4"/>
        <v>3878605</v>
      </c>
      <c r="BB56" s="7" t="s">
        <v>459</v>
      </c>
      <c r="BC56" s="14"/>
      <c r="BD56" s="7" t="s">
        <v>460</v>
      </c>
      <c r="BE56" s="16"/>
      <c r="BF56" s="16">
        <f>1095000+440292</f>
        <v>1535292</v>
      </c>
      <c r="BG56" s="16"/>
      <c r="BH56" s="16">
        <v>0</v>
      </c>
      <c r="BI56" s="16"/>
      <c r="BJ56" s="16">
        <v>0</v>
      </c>
      <c r="BK56" s="16"/>
      <c r="BL56" s="16">
        <f>30250+38507</f>
        <v>68757</v>
      </c>
      <c r="BM56" s="16"/>
      <c r="BN56" s="16">
        <f t="shared" si="3"/>
        <v>1604049</v>
      </c>
      <c r="BO56" s="17"/>
      <c r="BP56" s="6"/>
      <c r="BQ56" s="6"/>
      <c r="BR56" s="6"/>
    </row>
    <row r="57" spans="1:70" ht="12.75" customHeight="1" x14ac:dyDescent="0.2">
      <c r="A57" s="6" t="s">
        <v>70</v>
      </c>
      <c r="C57" s="6" t="s">
        <v>64</v>
      </c>
      <c r="E57" s="16">
        <v>91792</v>
      </c>
      <c r="F57" s="16"/>
      <c r="G57" s="16">
        <v>3626363</v>
      </c>
      <c r="H57" s="16"/>
      <c r="I57" s="16">
        <f t="shared" si="35"/>
        <v>3718155</v>
      </c>
      <c r="J57" s="16"/>
      <c r="K57" s="16">
        <v>183</v>
      </c>
      <c r="L57" s="16"/>
      <c r="M57" s="16">
        <v>4232359</v>
      </c>
      <c r="N57" s="16"/>
      <c r="O57" s="16">
        <f t="shared" si="36"/>
        <v>4232542</v>
      </c>
      <c r="P57" s="16"/>
      <c r="Q57" s="16">
        <v>-605996</v>
      </c>
      <c r="R57" s="16"/>
      <c r="S57" s="16">
        <v>0</v>
      </c>
      <c r="T57" s="16"/>
      <c r="U57" s="16">
        <v>91609</v>
      </c>
      <c r="V57" s="16"/>
      <c r="W57" s="16">
        <f t="shared" si="16"/>
        <v>-514387</v>
      </c>
      <c r="Z57" s="6" t="s">
        <v>70</v>
      </c>
      <c r="AA57" s="16"/>
      <c r="AB57" s="6" t="s">
        <v>64</v>
      </c>
      <c r="AD57" s="16">
        <v>69363</v>
      </c>
      <c r="AE57" s="16"/>
      <c r="AF57" s="16">
        <f>174608-72140</f>
        <v>102468</v>
      </c>
      <c r="AG57" s="16"/>
      <c r="AH57" s="16">
        <v>72140</v>
      </c>
      <c r="AI57" s="16"/>
      <c r="AJ57" s="8">
        <f t="shared" si="5"/>
        <v>-105245</v>
      </c>
      <c r="AK57" s="8"/>
      <c r="AL57" s="16">
        <v>0</v>
      </c>
      <c r="AM57" s="8"/>
      <c r="AN57" s="16">
        <v>0</v>
      </c>
      <c r="AO57" s="16"/>
      <c r="AP57" s="16">
        <v>0</v>
      </c>
      <c r="AQ57" s="16"/>
      <c r="AR57" s="16">
        <v>0</v>
      </c>
      <c r="AS57" s="16"/>
      <c r="AT57" s="8">
        <f t="shared" si="6"/>
        <v>-105245</v>
      </c>
      <c r="AU57" s="8"/>
      <c r="AV57" s="16">
        <v>0</v>
      </c>
      <c r="AW57" s="16"/>
      <c r="AX57" s="16">
        <v>0</v>
      </c>
      <c r="AY57" s="16"/>
      <c r="AZ57" s="16">
        <f t="shared" si="4"/>
        <v>91609</v>
      </c>
      <c r="BB57" s="6" t="s">
        <v>70</v>
      </c>
      <c r="BC57" s="6"/>
      <c r="BD57" s="6" t="s">
        <v>64</v>
      </c>
      <c r="BE57" s="16"/>
      <c r="BF57" s="16">
        <v>0</v>
      </c>
      <c r="BG57" s="16"/>
      <c r="BH57" s="16">
        <v>0</v>
      </c>
      <c r="BI57" s="16"/>
      <c r="BJ57" s="16">
        <v>4232359</v>
      </c>
      <c r="BK57" s="16"/>
      <c r="BL57" s="16">
        <v>0</v>
      </c>
      <c r="BM57" s="16"/>
      <c r="BN57" s="16">
        <f t="shared" si="3"/>
        <v>4232359</v>
      </c>
      <c r="BO57" s="17"/>
      <c r="BP57" s="6"/>
      <c r="BQ57" s="6"/>
      <c r="BR57" s="6"/>
    </row>
    <row r="58" spans="1:70" ht="12.75" customHeight="1" x14ac:dyDescent="0.2">
      <c r="A58" s="6" t="s">
        <v>71</v>
      </c>
      <c r="B58" s="6"/>
      <c r="C58" s="6" t="s">
        <v>25</v>
      </c>
      <c r="E58" s="16">
        <v>308093000</v>
      </c>
      <c r="F58" s="16"/>
      <c r="G58" s="16">
        <f>1903933000+27699000</f>
        <v>1931632000</v>
      </c>
      <c r="H58" s="16"/>
      <c r="I58" s="16">
        <f t="shared" si="35"/>
        <v>2239725000</v>
      </c>
      <c r="J58" s="16"/>
      <c r="K58" s="16">
        <v>83514000</v>
      </c>
      <c r="L58" s="16"/>
      <c r="M58" s="16">
        <f>869040000+27699000</f>
        <v>896739000</v>
      </c>
      <c r="N58" s="16"/>
      <c r="O58" s="16">
        <f t="shared" si="36"/>
        <v>980253000</v>
      </c>
      <c r="P58" s="16"/>
      <c r="Q58" s="16">
        <v>914193000</v>
      </c>
      <c r="R58" s="16"/>
      <c r="S58" s="16">
        <f>99000+87602000</f>
        <v>87701000</v>
      </c>
      <c r="T58" s="16"/>
      <c r="U58" s="16">
        <v>257578000</v>
      </c>
      <c r="V58" s="16"/>
      <c r="W58" s="16">
        <f t="shared" si="0"/>
        <v>1259472000</v>
      </c>
      <c r="Z58" s="6" t="s">
        <v>71</v>
      </c>
      <c r="AA58" s="16"/>
      <c r="AB58" s="6" t="s">
        <v>25</v>
      </c>
      <c r="AC58" s="6"/>
      <c r="AD58" s="16">
        <v>280323000</v>
      </c>
      <c r="AE58" s="16"/>
      <c r="AF58" s="16">
        <f>216624000-67455000</f>
        <v>149169000</v>
      </c>
      <c r="AG58" s="16"/>
      <c r="AH58" s="16">
        <v>67455000</v>
      </c>
      <c r="AI58" s="16"/>
      <c r="AJ58" s="8">
        <f t="shared" si="5"/>
        <v>63699000</v>
      </c>
      <c r="AK58" s="8"/>
      <c r="AL58" s="16">
        <v>-22088000</v>
      </c>
      <c r="AM58" s="8"/>
      <c r="AN58" s="16">
        <v>0</v>
      </c>
      <c r="AO58" s="16"/>
      <c r="AP58" s="16">
        <v>0</v>
      </c>
      <c r="AQ58" s="16"/>
      <c r="AR58" s="16">
        <v>20118000</v>
      </c>
      <c r="AS58" s="16"/>
      <c r="AT58" s="8">
        <f t="shared" si="6"/>
        <v>61729000</v>
      </c>
      <c r="AU58" s="8"/>
      <c r="AV58" s="16">
        <v>0</v>
      </c>
      <c r="AW58" s="16"/>
      <c r="AX58" s="16">
        <v>0</v>
      </c>
      <c r="AY58" s="16"/>
      <c r="AZ58" s="16">
        <f t="shared" ref="AZ58:AZ83" si="37">E58-K58</f>
        <v>224579000</v>
      </c>
      <c r="BB58" s="6" t="s">
        <v>71</v>
      </c>
      <c r="BC58" s="6"/>
      <c r="BD58" s="6" t="s">
        <v>25</v>
      </c>
      <c r="BE58" s="16"/>
      <c r="BF58" s="16">
        <v>0</v>
      </c>
      <c r="BG58" s="16"/>
      <c r="BH58" s="16">
        <v>766975000</v>
      </c>
      <c r="BI58" s="16"/>
      <c r="BJ58" s="16">
        <v>100700000</v>
      </c>
      <c r="BK58" s="16"/>
      <c r="BL58" s="16">
        <f>1365000+37804000</f>
        <v>39169000</v>
      </c>
      <c r="BM58" s="16"/>
      <c r="BN58" s="16">
        <f t="shared" si="3"/>
        <v>906844000</v>
      </c>
      <c r="BO58" s="17"/>
      <c r="BP58" s="6"/>
      <c r="BQ58" s="6"/>
      <c r="BR58" s="6"/>
    </row>
    <row r="59" spans="1:70" ht="12.75" customHeight="1" x14ac:dyDescent="0.2">
      <c r="A59" s="6" t="s">
        <v>72</v>
      </c>
      <c r="C59" s="6" t="s">
        <v>25</v>
      </c>
      <c r="E59" s="16">
        <v>3438564</v>
      </c>
      <c r="F59" s="16"/>
      <c r="G59" s="16">
        <v>15109814</v>
      </c>
      <c r="H59" s="16"/>
      <c r="I59" s="16">
        <f t="shared" si="35"/>
        <v>18548378</v>
      </c>
      <c r="J59" s="16"/>
      <c r="K59" s="16">
        <v>2030756</v>
      </c>
      <c r="L59" s="16"/>
      <c r="M59" s="16">
        <v>943677</v>
      </c>
      <c r="N59" s="16"/>
      <c r="O59" s="16">
        <f t="shared" si="36"/>
        <v>2974433</v>
      </c>
      <c r="P59" s="16"/>
      <c r="Q59" s="16">
        <v>14244026</v>
      </c>
      <c r="R59" s="16"/>
      <c r="S59" s="16">
        <v>0</v>
      </c>
      <c r="T59" s="16"/>
      <c r="U59" s="16">
        <v>1329919</v>
      </c>
      <c r="V59" s="16"/>
      <c r="W59" s="16">
        <f t="shared" si="0"/>
        <v>15573945</v>
      </c>
      <c r="Z59" s="6" t="s">
        <v>72</v>
      </c>
      <c r="AA59" s="16"/>
      <c r="AB59" s="6" t="s">
        <v>25</v>
      </c>
      <c r="AD59" s="16">
        <v>11468562</v>
      </c>
      <c r="AE59" s="16"/>
      <c r="AF59" s="16">
        <f>13203071-416509</f>
        <v>12786562</v>
      </c>
      <c r="AG59" s="16"/>
      <c r="AH59" s="16">
        <v>416509</v>
      </c>
      <c r="AI59" s="16"/>
      <c r="AJ59" s="8">
        <f t="shared" si="5"/>
        <v>-1734509</v>
      </c>
      <c r="AK59" s="8"/>
      <c r="AL59" s="16">
        <v>-10114</v>
      </c>
      <c r="AM59" s="8"/>
      <c r="AN59" s="16">
        <v>879986</v>
      </c>
      <c r="AO59" s="16"/>
      <c r="AP59" s="16">
        <v>9573</v>
      </c>
      <c r="AQ59" s="16"/>
      <c r="AR59" s="16">
        <v>0</v>
      </c>
      <c r="AS59" s="16"/>
      <c r="AT59" s="8">
        <f t="shared" si="6"/>
        <v>-874210</v>
      </c>
      <c r="AU59" s="8"/>
      <c r="AV59" s="16">
        <v>0</v>
      </c>
      <c r="AW59" s="16"/>
      <c r="AX59" s="16">
        <v>0</v>
      </c>
      <c r="AY59" s="16"/>
      <c r="AZ59" s="16">
        <f t="shared" si="37"/>
        <v>1407808</v>
      </c>
      <c r="BB59" s="6" t="s">
        <v>72</v>
      </c>
      <c r="BC59" s="6"/>
      <c r="BD59" s="6" t="s">
        <v>25</v>
      </c>
      <c r="BE59" s="16"/>
      <c r="BF59" s="16">
        <v>0</v>
      </c>
      <c r="BG59" s="16"/>
      <c r="BH59" s="16">
        <v>0</v>
      </c>
      <c r="BI59" s="16"/>
      <c r="BJ59" s="16">
        <f>544606+245281+65416+10485</f>
        <v>865788</v>
      </c>
      <c r="BK59" s="16"/>
      <c r="BL59" s="16">
        <f>153837+153790</f>
        <v>307627</v>
      </c>
      <c r="BM59" s="16"/>
      <c r="BN59" s="16">
        <f t="shared" si="3"/>
        <v>1173415</v>
      </c>
      <c r="BO59" s="17"/>
      <c r="BP59" s="6"/>
      <c r="BQ59" s="6"/>
      <c r="BR59" s="6"/>
    </row>
    <row r="60" spans="1:70" ht="12.75" customHeight="1" x14ac:dyDescent="0.2">
      <c r="A60" s="6" t="s">
        <v>73</v>
      </c>
      <c r="C60" s="6" t="s">
        <v>74</v>
      </c>
      <c r="E60" s="16">
        <v>2446874</v>
      </c>
      <c r="F60" s="16"/>
      <c r="G60" s="16">
        <v>11625633</v>
      </c>
      <c r="H60" s="16"/>
      <c r="I60" s="16">
        <f t="shared" si="35"/>
        <v>14072507</v>
      </c>
      <c r="J60" s="16"/>
      <c r="K60" s="16">
        <v>347884</v>
      </c>
      <c r="L60" s="16"/>
      <c r="M60" s="16">
        <v>5271777</v>
      </c>
      <c r="N60" s="16"/>
      <c r="O60" s="16">
        <f t="shared" si="36"/>
        <v>5619661</v>
      </c>
      <c r="P60" s="16"/>
      <c r="Q60" s="16">
        <v>5455836</v>
      </c>
      <c r="R60" s="16"/>
      <c r="S60" s="16">
        <v>771978</v>
      </c>
      <c r="T60" s="16"/>
      <c r="U60" s="16">
        <v>2225032</v>
      </c>
      <c r="V60" s="16"/>
      <c r="W60" s="16">
        <f t="shared" si="0"/>
        <v>8452846</v>
      </c>
      <c r="Z60" s="6" t="s">
        <v>73</v>
      </c>
      <c r="AA60" s="16"/>
      <c r="AB60" s="6" t="s">
        <v>74</v>
      </c>
      <c r="AD60" s="16">
        <v>2688466</v>
      </c>
      <c r="AE60" s="16"/>
      <c r="AF60" s="16">
        <f>2200547-492108</f>
        <v>1708439</v>
      </c>
      <c r="AG60" s="16"/>
      <c r="AH60" s="16">
        <v>492108</v>
      </c>
      <c r="AI60" s="16"/>
      <c r="AJ60" s="8">
        <f t="shared" si="5"/>
        <v>487919</v>
      </c>
      <c r="AK60" s="8"/>
      <c r="AL60" s="16">
        <v>-253105</v>
      </c>
      <c r="AM60" s="8"/>
      <c r="AN60" s="16">
        <v>0</v>
      </c>
      <c r="AO60" s="16"/>
      <c r="AP60" s="16">
        <v>56000</v>
      </c>
      <c r="AQ60" s="16"/>
      <c r="AR60" s="16">
        <v>0</v>
      </c>
      <c r="AS60" s="16"/>
      <c r="AT60" s="8">
        <f t="shared" si="6"/>
        <v>178814</v>
      </c>
      <c r="AU60" s="8"/>
      <c r="AV60" s="16">
        <v>0</v>
      </c>
      <c r="AW60" s="16"/>
      <c r="AX60" s="16">
        <v>0</v>
      </c>
      <c r="AY60" s="16"/>
      <c r="AZ60" s="16">
        <f t="shared" si="37"/>
        <v>2098990</v>
      </c>
      <c r="BB60" s="6" t="s">
        <v>73</v>
      </c>
      <c r="BC60" s="6"/>
      <c r="BD60" s="6" t="s">
        <v>74</v>
      </c>
      <c r="BE60" s="16"/>
      <c r="BF60" s="16">
        <f>4525000+100000</f>
        <v>4625000</v>
      </c>
      <c r="BG60" s="16"/>
      <c r="BH60" s="16">
        <v>0</v>
      </c>
      <c r="BI60" s="16"/>
      <c r="BJ60" s="16">
        <f>702272+70547</f>
        <v>772819</v>
      </c>
      <c r="BK60" s="16"/>
      <c r="BL60" s="16">
        <f>44505+16721</f>
        <v>61226</v>
      </c>
      <c r="BM60" s="16"/>
      <c r="BN60" s="16">
        <f t="shared" si="3"/>
        <v>5459045</v>
      </c>
      <c r="BO60" s="17"/>
      <c r="BP60" s="6"/>
      <c r="BQ60" s="6"/>
      <c r="BR60" s="6"/>
    </row>
    <row r="61" spans="1:70" ht="12.75" hidden="1" customHeight="1" x14ac:dyDescent="0.2">
      <c r="A61" s="6" t="s">
        <v>75</v>
      </c>
      <c r="C61" s="6" t="s">
        <v>41</v>
      </c>
      <c r="E61" s="16">
        <v>110636000</v>
      </c>
      <c r="F61" s="16"/>
      <c r="G61" s="16">
        <v>1021191000</v>
      </c>
      <c r="H61" s="16"/>
      <c r="I61" s="16">
        <f t="shared" si="35"/>
        <v>1131827000</v>
      </c>
      <c r="J61" s="16"/>
      <c r="K61" s="16">
        <v>74996000</v>
      </c>
      <c r="L61" s="16"/>
      <c r="M61" s="16">
        <v>717731000</v>
      </c>
      <c r="N61" s="16"/>
      <c r="O61" s="16">
        <f t="shared" si="36"/>
        <v>792727000</v>
      </c>
      <c r="P61" s="16"/>
      <c r="Q61" s="16">
        <v>243030000</v>
      </c>
      <c r="R61" s="16"/>
      <c r="S61" s="16">
        <v>1106000</v>
      </c>
      <c r="T61" s="16"/>
      <c r="U61" s="16">
        <v>102135000</v>
      </c>
      <c r="V61" s="16"/>
      <c r="W61" s="16">
        <f t="shared" si="0"/>
        <v>346271000</v>
      </c>
      <c r="X61" s="6"/>
      <c r="Y61" s="6"/>
      <c r="Z61" s="6" t="s">
        <v>75</v>
      </c>
      <c r="AA61" s="16"/>
      <c r="AB61" s="6" t="s">
        <v>41</v>
      </c>
      <c r="AD61" s="16">
        <v>178345000</v>
      </c>
      <c r="AE61" s="16"/>
      <c r="AF61" s="16">
        <f>125800000-22122000</f>
        <v>103678000</v>
      </c>
      <c r="AG61" s="16"/>
      <c r="AH61" s="16">
        <v>22122000</v>
      </c>
      <c r="AI61" s="16"/>
      <c r="AJ61" s="8">
        <f t="shared" si="5"/>
        <v>52545000</v>
      </c>
      <c r="AK61" s="8"/>
      <c r="AL61" s="16">
        <v>-16721000</v>
      </c>
      <c r="AM61" s="8"/>
      <c r="AN61" s="16">
        <v>0</v>
      </c>
      <c r="AO61" s="16"/>
      <c r="AP61" s="16">
        <v>397000</v>
      </c>
      <c r="AQ61" s="16"/>
      <c r="AR61" s="16">
        <v>0</v>
      </c>
      <c r="AS61" s="16"/>
      <c r="AT61" s="8">
        <f t="shared" si="6"/>
        <v>35427000</v>
      </c>
      <c r="AU61" s="8"/>
      <c r="AV61" s="16">
        <v>0</v>
      </c>
      <c r="AW61" s="16"/>
      <c r="AX61" s="16">
        <v>0</v>
      </c>
      <c r="AY61" s="16"/>
      <c r="AZ61" s="16">
        <f t="shared" si="37"/>
        <v>35640000</v>
      </c>
      <c r="BB61" s="6" t="s">
        <v>75</v>
      </c>
      <c r="BC61" s="6"/>
      <c r="BD61" s="6" t="s">
        <v>41</v>
      </c>
      <c r="BE61" s="16"/>
      <c r="BF61" s="16">
        <f>717731000+42614000</f>
        <v>760345000</v>
      </c>
      <c r="BG61" s="16"/>
      <c r="BH61" s="16">
        <v>0</v>
      </c>
      <c r="BI61" s="16"/>
      <c r="BJ61" s="16">
        <v>0</v>
      </c>
      <c r="BK61" s="16"/>
      <c r="BL61" s="16">
        <v>0</v>
      </c>
      <c r="BM61" s="16"/>
      <c r="BN61" s="16">
        <f t="shared" si="3"/>
        <v>760345000</v>
      </c>
      <c r="BO61" s="17"/>
      <c r="BP61" s="6"/>
      <c r="BQ61" s="6"/>
      <c r="BR61" s="6"/>
    </row>
    <row r="62" spans="1:70" ht="12.75" customHeight="1" x14ac:dyDescent="0.2">
      <c r="A62" s="6" t="s">
        <v>92</v>
      </c>
      <c r="C62" s="6" t="s">
        <v>92</v>
      </c>
      <c r="E62" s="16">
        <v>1005852</v>
      </c>
      <c r="F62" s="16"/>
      <c r="G62" s="16">
        <v>3314189</v>
      </c>
      <c r="H62" s="16"/>
      <c r="I62" s="16">
        <f t="shared" si="35"/>
        <v>4320041</v>
      </c>
      <c r="J62" s="16"/>
      <c r="K62" s="16">
        <v>1204828</v>
      </c>
      <c r="L62" s="16"/>
      <c r="M62" s="16">
        <v>162783</v>
      </c>
      <c r="N62" s="16"/>
      <c r="O62" s="16">
        <f t="shared" si="36"/>
        <v>1367611</v>
      </c>
      <c r="P62" s="16"/>
      <c r="Q62" s="16">
        <v>2049189</v>
      </c>
      <c r="R62" s="16"/>
      <c r="S62" s="16">
        <v>0</v>
      </c>
      <c r="T62" s="16"/>
      <c r="U62" s="16">
        <v>903241</v>
      </c>
      <c r="V62" s="16"/>
      <c r="W62" s="16">
        <f>SUM(Q62:U62)</f>
        <v>2952430</v>
      </c>
      <c r="Z62" s="6" t="str">
        <f>+A62</f>
        <v>Columbiana</v>
      </c>
      <c r="AA62" s="16"/>
      <c r="AB62" s="6" t="s">
        <v>92</v>
      </c>
      <c r="AD62" s="16">
        <v>1214253</v>
      </c>
      <c r="AE62" s="16"/>
      <c r="AF62" s="16">
        <f>1036193-129781</f>
        <v>906412</v>
      </c>
      <c r="AG62" s="16"/>
      <c r="AH62" s="16">
        <v>129781</v>
      </c>
      <c r="AI62" s="16"/>
      <c r="AJ62" s="8">
        <f t="shared" si="5"/>
        <v>178060</v>
      </c>
      <c r="AK62" s="8"/>
      <c r="AL62" s="16">
        <v>-25344</v>
      </c>
      <c r="AM62" s="8"/>
      <c r="AN62" s="16">
        <v>0</v>
      </c>
      <c r="AO62" s="16"/>
      <c r="AP62" s="16">
        <v>0</v>
      </c>
      <c r="AQ62" s="16"/>
      <c r="AR62" s="16">
        <v>0</v>
      </c>
      <c r="AS62" s="16"/>
      <c r="AT62" s="8">
        <f t="shared" si="6"/>
        <v>152716</v>
      </c>
      <c r="AU62" s="8"/>
      <c r="AV62" s="16">
        <v>0</v>
      </c>
      <c r="AW62" s="16"/>
      <c r="AX62" s="16">
        <v>0</v>
      </c>
      <c r="AY62" s="16"/>
      <c r="AZ62" s="16">
        <f t="shared" si="37"/>
        <v>-198976</v>
      </c>
      <c r="BB62" s="6" t="str">
        <f>+Z62</f>
        <v>Columbiana</v>
      </c>
      <c r="BC62" s="6"/>
      <c r="BD62" s="6" t="s">
        <v>92</v>
      </c>
      <c r="BE62" s="16"/>
      <c r="BF62" s="16">
        <v>0</v>
      </c>
      <c r="BG62" s="16"/>
      <c r="BH62" s="16">
        <v>0</v>
      </c>
      <c r="BI62" s="16"/>
      <c r="BJ62" s="16">
        <v>0</v>
      </c>
      <c r="BK62" s="16"/>
      <c r="BL62" s="16">
        <f>135000+27783+11474+10000</f>
        <v>184257</v>
      </c>
      <c r="BM62" s="16"/>
      <c r="BN62" s="16">
        <f>SUM(BF62:BL62)</f>
        <v>184257</v>
      </c>
      <c r="BO62" s="17"/>
      <c r="BP62" s="6"/>
      <c r="BQ62" s="6"/>
      <c r="BR62" s="6"/>
    </row>
    <row r="63" spans="1:70" ht="12.75" customHeight="1" x14ac:dyDescent="0.2">
      <c r="A63" s="6" t="s">
        <v>76</v>
      </c>
      <c r="C63" s="6" t="s">
        <v>17</v>
      </c>
      <c r="E63" s="16">
        <v>1243621</v>
      </c>
      <c r="F63" s="16"/>
      <c r="G63" s="16">
        <v>7696833</v>
      </c>
      <c r="H63" s="16"/>
      <c r="I63" s="16">
        <f>+E63+G63</f>
        <v>8940454</v>
      </c>
      <c r="J63" s="16"/>
      <c r="K63" s="16">
        <v>487349</v>
      </c>
      <c r="L63" s="16"/>
      <c r="M63" s="16">
        <v>1762590</v>
      </c>
      <c r="N63" s="16"/>
      <c r="O63" s="16">
        <f>+K63+M63</f>
        <v>2249939</v>
      </c>
      <c r="P63" s="16"/>
      <c r="Q63" s="16">
        <v>5665651</v>
      </c>
      <c r="R63" s="16"/>
      <c r="S63" s="16">
        <v>0</v>
      </c>
      <c r="T63" s="16"/>
      <c r="U63" s="16">
        <v>1024864</v>
      </c>
      <c r="V63" s="16"/>
      <c r="W63" s="16">
        <f t="shared" si="0"/>
        <v>6690515</v>
      </c>
      <c r="X63" s="6"/>
      <c r="Y63" s="6"/>
      <c r="Z63" s="6" t="s">
        <v>76</v>
      </c>
      <c r="AA63" s="16"/>
      <c r="AB63" s="6" t="s">
        <v>17</v>
      </c>
      <c r="AD63" s="16">
        <v>2174864</v>
      </c>
      <c r="AE63" s="16"/>
      <c r="AF63" s="16">
        <f>1990514-338382</f>
        <v>1652132</v>
      </c>
      <c r="AG63" s="16"/>
      <c r="AH63" s="16">
        <v>338382</v>
      </c>
      <c r="AI63" s="16"/>
      <c r="AJ63" s="8">
        <f t="shared" si="5"/>
        <v>184350</v>
      </c>
      <c r="AK63" s="8"/>
      <c r="AL63" s="16">
        <v>25753</v>
      </c>
      <c r="AM63" s="8"/>
      <c r="AN63" s="16">
        <v>0</v>
      </c>
      <c r="AO63" s="16"/>
      <c r="AP63" s="16">
        <v>40019</v>
      </c>
      <c r="AQ63" s="16"/>
      <c r="AR63" s="16">
        <v>209930</v>
      </c>
      <c r="AS63" s="16"/>
      <c r="AT63" s="8">
        <f t="shared" si="6"/>
        <v>380014</v>
      </c>
      <c r="AU63" s="8"/>
      <c r="AV63" s="16">
        <v>0</v>
      </c>
      <c r="AW63" s="16"/>
      <c r="AX63" s="16">
        <v>0</v>
      </c>
      <c r="AY63" s="16"/>
      <c r="AZ63" s="16">
        <f t="shared" si="37"/>
        <v>756272</v>
      </c>
      <c r="BB63" s="6" t="s">
        <v>76</v>
      </c>
      <c r="BC63" s="6"/>
      <c r="BD63" s="6" t="s">
        <v>17</v>
      </c>
      <c r="BE63" s="16"/>
      <c r="BF63" s="16">
        <f>374425+65561</f>
        <v>439986</v>
      </c>
      <c r="BG63" s="16"/>
      <c r="BH63" s="16">
        <v>0</v>
      </c>
      <c r="BI63" s="16"/>
      <c r="BJ63" s="16">
        <f>247712+258811+775538+27768+46886+216835</f>
        <v>1573550</v>
      </c>
      <c r="BK63" s="16"/>
      <c r="BL63" s="16">
        <f>106104+28067</f>
        <v>134171</v>
      </c>
      <c r="BM63" s="16"/>
      <c r="BN63" s="16">
        <f t="shared" si="3"/>
        <v>2147707</v>
      </c>
      <c r="BO63" s="17"/>
      <c r="BP63" s="6"/>
      <c r="BQ63" s="6"/>
      <c r="BR63" s="6"/>
    </row>
    <row r="64" spans="1:70" ht="12.75" customHeight="1" x14ac:dyDescent="0.2">
      <c r="A64" s="6" t="s">
        <v>77</v>
      </c>
      <c r="B64" s="6"/>
      <c r="C64" s="6" t="s">
        <v>78</v>
      </c>
      <c r="E64" s="16">
        <v>764658</v>
      </c>
      <c r="F64" s="16"/>
      <c r="G64" s="16">
        <v>5653662</v>
      </c>
      <c r="H64" s="16"/>
      <c r="I64" s="16">
        <f>+E64+G64</f>
        <v>6418320</v>
      </c>
      <c r="J64" s="16"/>
      <c r="K64" s="16">
        <v>133772</v>
      </c>
      <c r="L64" s="16"/>
      <c r="M64" s="16">
        <v>2908573</v>
      </c>
      <c r="N64" s="16"/>
      <c r="O64" s="16">
        <f>+K64+M64</f>
        <v>3042345</v>
      </c>
      <c r="P64" s="16"/>
      <c r="Q64" s="16">
        <v>2665147</v>
      </c>
      <c r="R64" s="16"/>
      <c r="S64" s="16">
        <v>0</v>
      </c>
      <c r="T64" s="16"/>
      <c r="U64" s="16">
        <v>710828</v>
      </c>
      <c r="V64" s="16"/>
      <c r="W64" s="16">
        <f t="shared" si="0"/>
        <v>3375975</v>
      </c>
      <c r="Z64" s="6" t="s">
        <v>77</v>
      </c>
      <c r="AA64" s="16"/>
      <c r="AB64" s="6" t="s">
        <v>78</v>
      </c>
      <c r="AC64" s="6"/>
      <c r="AD64" s="16">
        <v>757674</v>
      </c>
      <c r="AE64" s="16"/>
      <c r="AF64" s="16">
        <f>634238-166018</f>
        <v>468220</v>
      </c>
      <c r="AG64" s="16"/>
      <c r="AH64" s="16">
        <v>166018</v>
      </c>
      <c r="AI64" s="16"/>
      <c r="AJ64" s="8">
        <f t="shared" si="5"/>
        <v>123436</v>
      </c>
      <c r="AK64" s="8"/>
      <c r="AL64" s="16">
        <v>-38445</v>
      </c>
      <c r="AM64" s="8"/>
      <c r="AN64" s="16">
        <v>0</v>
      </c>
      <c r="AO64" s="16"/>
      <c r="AP64" s="16">
        <v>0</v>
      </c>
      <c r="AQ64" s="16"/>
      <c r="AR64" s="16">
        <v>0</v>
      </c>
      <c r="AS64" s="16"/>
      <c r="AT64" s="8">
        <f t="shared" si="6"/>
        <v>84991</v>
      </c>
      <c r="AU64" s="8"/>
      <c r="AV64" s="16">
        <v>0</v>
      </c>
      <c r="AW64" s="16"/>
      <c r="AX64" s="16">
        <v>0</v>
      </c>
      <c r="AY64" s="16"/>
      <c r="AZ64" s="16">
        <f t="shared" si="37"/>
        <v>630886</v>
      </c>
      <c r="BB64" s="6" t="s">
        <v>77</v>
      </c>
      <c r="BC64" s="6"/>
      <c r="BD64" s="6" t="s">
        <v>78</v>
      </c>
      <c r="BE64" s="16"/>
      <c r="BF64" s="16">
        <v>0</v>
      </c>
      <c r="BG64" s="16"/>
      <c r="BH64" s="16">
        <v>0</v>
      </c>
      <c r="BI64" s="16"/>
      <c r="BJ64" s="16">
        <f>1707276+1165880+115359</f>
        <v>2988515</v>
      </c>
      <c r="BK64" s="16"/>
      <c r="BL64" s="16">
        <f>35417+5028</f>
        <v>40445</v>
      </c>
      <c r="BM64" s="16"/>
      <c r="BN64" s="16">
        <f t="shared" si="3"/>
        <v>3028960</v>
      </c>
      <c r="BO64" s="17"/>
      <c r="BP64" s="6"/>
      <c r="BQ64" s="6"/>
      <c r="BR64" s="6"/>
    </row>
    <row r="65" spans="1:70" ht="12.75" customHeight="1" x14ac:dyDescent="0.2">
      <c r="A65" s="6" t="s">
        <v>79</v>
      </c>
      <c r="B65" s="6"/>
      <c r="C65" s="6" t="s">
        <v>79</v>
      </c>
      <c r="E65" s="16">
        <v>2560522</v>
      </c>
      <c r="F65" s="16"/>
      <c r="G65" s="16">
        <v>10821182</v>
      </c>
      <c r="H65" s="16"/>
      <c r="I65" s="16">
        <f>+E65+G65</f>
        <v>13381704</v>
      </c>
      <c r="J65" s="16"/>
      <c r="K65" s="16">
        <v>700369</v>
      </c>
      <c r="L65" s="16"/>
      <c r="M65" s="16">
        <v>7026699</v>
      </c>
      <c r="N65" s="16"/>
      <c r="O65" s="16">
        <f>+K65+M65</f>
        <v>7727068</v>
      </c>
      <c r="P65" s="16"/>
      <c r="Q65" s="16">
        <v>3514668</v>
      </c>
      <c r="R65" s="16"/>
      <c r="S65" s="16">
        <v>0</v>
      </c>
      <c r="T65" s="16"/>
      <c r="U65" s="16">
        <v>2139968</v>
      </c>
      <c r="V65" s="16"/>
      <c r="W65" s="16">
        <f t="shared" si="0"/>
        <v>5654636</v>
      </c>
      <c r="Z65" s="6" t="s">
        <v>79</v>
      </c>
      <c r="AA65" s="16"/>
      <c r="AB65" s="6" t="s">
        <v>79</v>
      </c>
      <c r="AC65" s="6"/>
      <c r="AD65" s="16">
        <v>3552563</v>
      </c>
      <c r="AE65" s="16"/>
      <c r="AF65" s="16">
        <f>2990474-651862</f>
        <v>2338612</v>
      </c>
      <c r="AG65" s="16"/>
      <c r="AH65" s="16">
        <v>651862</v>
      </c>
      <c r="AI65" s="16"/>
      <c r="AJ65" s="8">
        <f t="shared" si="5"/>
        <v>562089</v>
      </c>
      <c r="AK65" s="8"/>
      <c r="AL65" s="16">
        <v>-268236</v>
      </c>
      <c r="AM65" s="8"/>
      <c r="AN65" s="16">
        <v>0</v>
      </c>
      <c r="AO65" s="16"/>
      <c r="AP65" s="16">
        <v>0</v>
      </c>
      <c r="AQ65" s="16"/>
      <c r="AR65" s="16">
        <v>204553</v>
      </c>
      <c r="AS65" s="16"/>
      <c r="AT65" s="8">
        <f t="shared" si="6"/>
        <v>498406</v>
      </c>
      <c r="AU65" s="8"/>
      <c r="AV65" s="16">
        <v>0</v>
      </c>
      <c r="AW65" s="16"/>
      <c r="AX65" s="16">
        <v>0</v>
      </c>
      <c r="AY65" s="16"/>
      <c r="AZ65" s="16">
        <f t="shared" si="37"/>
        <v>1860153</v>
      </c>
      <c r="BB65" s="6" t="s">
        <v>79</v>
      </c>
      <c r="BC65" s="6"/>
      <c r="BD65" s="6" t="s">
        <v>79</v>
      </c>
      <c r="BE65" s="16"/>
      <c r="BF65" s="16">
        <v>0</v>
      </c>
      <c r="BG65" s="16"/>
      <c r="BH65" s="16">
        <v>0</v>
      </c>
      <c r="BI65" s="16"/>
      <c r="BJ65" s="16">
        <f>6664983+213750+416531+11250</f>
        <v>7306514</v>
      </c>
      <c r="BK65" s="16"/>
      <c r="BL65" s="16">
        <f>147966+12351</f>
        <v>160317</v>
      </c>
      <c r="BM65" s="16"/>
      <c r="BN65" s="16">
        <f t="shared" si="3"/>
        <v>7466831</v>
      </c>
      <c r="BO65" s="17"/>
      <c r="BP65" s="6"/>
      <c r="BQ65" s="6"/>
      <c r="BR65" s="6"/>
    </row>
    <row r="66" spans="1:70" ht="12.75" hidden="1" customHeight="1" x14ac:dyDescent="0.2">
      <c r="A66" s="10" t="s">
        <v>461</v>
      </c>
      <c r="B66" s="10"/>
      <c r="C66" s="10" t="s">
        <v>55</v>
      </c>
      <c r="E66" s="16">
        <f t="shared" si="7"/>
        <v>0</v>
      </c>
      <c r="F66" s="16"/>
      <c r="G66" s="16"/>
      <c r="H66" s="16"/>
      <c r="I66" s="16"/>
      <c r="J66" s="16"/>
      <c r="K66" s="16">
        <f t="shared" si="8"/>
        <v>0</v>
      </c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>
        <f t="shared" si="0"/>
        <v>0</v>
      </c>
      <c r="Z66" s="10" t="s">
        <v>461</v>
      </c>
      <c r="AB66" s="10" t="s">
        <v>55</v>
      </c>
      <c r="AD66" s="16"/>
      <c r="AE66" s="16"/>
      <c r="AF66" s="16"/>
      <c r="AG66" s="16"/>
      <c r="AH66" s="16"/>
      <c r="AI66" s="16"/>
      <c r="AJ66" s="8">
        <f t="shared" si="5"/>
        <v>0</v>
      </c>
      <c r="AK66" s="8"/>
      <c r="AL66" s="16"/>
      <c r="AM66" s="8"/>
      <c r="AN66" s="16"/>
      <c r="AO66" s="16"/>
      <c r="AP66" s="16"/>
      <c r="AQ66" s="16"/>
      <c r="AR66" s="16"/>
      <c r="AS66" s="16"/>
      <c r="AT66" s="8">
        <f t="shared" si="6"/>
        <v>0</v>
      </c>
      <c r="AU66" s="8"/>
      <c r="AV66" s="16">
        <v>0</v>
      </c>
      <c r="AW66" s="16"/>
      <c r="AX66" s="16">
        <v>0</v>
      </c>
      <c r="AY66" s="16"/>
      <c r="AZ66" s="16">
        <f t="shared" si="37"/>
        <v>0</v>
      </c>
      <c r="BB66" s="10" t="s">
        <v>461</v>
      </c>
      <c r="BC66" s="10"/>
      <c r="BD66" s="10" t="s">
        <v>55</v>
      </c>
      <c r="BE66" s="16"/>
      <c r="BF66" s="16"/>
      <c r="BG66" s="16"/>
      <c r="BH66" s="16"/>
      <c r="BI66" s="16"/>
      <c r="BJ66" s="16"/>
      <c r="BK66" s="16"/>
      <c r="BL66" s="16"/>
      <c r="BM66" s="16"/>
      <c r="BN66" s="16">
        <f t="shared" si="3"/>
        <v>0</v>
      </c>
      <c r="BO66" s="17"/>
      <c r="BP66" s="6"/>
      <c r="BQ66" s="6"/>
      <c r="BR66" s="6"/>
    </row>
    <row r="67" spans="1:70" ht="12.75" hidden="1" customHeight="1" x14ac:dyDescent="0.2">
      <c r="A67" s="6" t="s">
        <v>80</v>
      </c>
      <c r="C67" s="6" t="s">
        <v>11</v>
      </c>
      <c r="E67" s="16">
        <v>4275672</v>
      </c>
      <c r="F67" s="16"/>
      <c r="G67" s="16">
        <v>18476947</v>
      </c>
      <c r="H67" s="16"/>
      <c r="I67" s="16">
        <f>+E67+G67</f>
        <v>22752619</v>
      </c>
      <c r="J67" s="16"/>
      <c r="K67" s="16">
        <v>1446103</v>
      </c>
      <c r="L67" s="16"/>
      <c r="M67" s="16">
        <v>7365552</v>
      </c>
      <c r="N67" s="16"/>
      <c r="O67" s="16">
        <f>+K67+M67</f>
        <v>8811655</v>
      </c>
      <c r="P67" s="16"/>
      <c r="Q67" s="16">
        <v>10378831</v>
      </c>
      <c r="R67" s="16"/>
      <c r="S67" s="16">
        <v>0</v>
      </c>
      <c r="T67" s="16"/>
      <c r="U67" s="16">
        <v>3562133</v>
      </c>
      <c r="V67" s="16"/>
      <c r="W67" s="16">
        <f t="shared" ref="W67" si="38">SUM(Q67:U67)</f>
        <v>13940964</v>
      </c>
      <c r="Z67" s="6" t="s">
        <v>80</v>
      </c>
      <c r="AA67" s="16"/>
      <c r="AB67" s="6" t="s">
        <v>11</v>
      </c>
      <c r="AD67" s="16">
        <v>6287031</v>
      </c>
      <c r="AE67" s="16"/>
      <c r="AF67" s="16">
        <f>4291942-969977</f>
        <v>3321965</v>
      </c>
      <c r="AG67" s="16"/>
      <c r="AH67" s="16">
        <v>969977</v>
      </c>
      <c r="AI67" s="16"/>
      <c r="AJ67" s="8">
        <f t="shared" ref="AJ67" si="39">+AD67-AF67-AH67</f>
        <v>1995089</v>
      </c>
      <c r="AK67" s="8"/>
      <c r="AL67" s="16">
        <v>-270107</v>
      </c>
      <c r="AM67" s="8"/>
      <c r="AN67" s="16">
        <v>0</v>
      </c>
      <c r="AO67" s="16"/>
      <c r="AP67" s="16">
        <v>18731</v>
      </c>
      <c r="AQ67" s="16"/>
      <c r="AR67" s="16">
        <v>130039</v>
      </c>
      <c r="AS67" s="16"/>
      <c r="AT67" s="8">
        <f t="shared" ref="AT67" si="40">+AJ67+AL67+AN67-AP67+AR67</f>
        <v>1836290</v>
      </c>
      <c r="AU67" s="8"/>
      <c r="AV67" s="16">
        <v>0</v>
      </c>
      <c r="AW67" s="16"/>
      <c r="AX67" s="16">
        <v>0</v>
      </c>
      <c r="AY67" s="16"/>
      <c r="AZ67" s="16">
        <f t="shared" ref="AZ67" si="41">E67-K67</f>
        <v>2829569</v>
      </c>
      <c r="BB67" s="6" t="s">
        <v>80</v>
      </c>
      <c r="BC67" s="6"/>
      <c r="BD67" s="6" t="s">
        <v>11</v>
      </c>
      <c r="BE67" s="16"/>
      <c r="BF67" s="16">
        <f>4682000+707000</f>
        <v>5389000</v>
      </c>
      <c r="BG67" s="16"/>
      <c r="BH67" s="16">
        <v>0</v>
      </c>
      <c r="BI67" s="16"/>
      <c r="BJ67" s="16">
        <v>0</v>
      </c>
      <c r="BK67" s="16"/>
      <c r="BL67" s="16">
        <f>257073+2245087+181392+322863+73751</f>
        <v>3080166</v>
      </c>
      <c r="BM67" s="16"/>
      <c r="BN67" s="16">
        <f t="shared" ref="BN67" si="42">SUM(BF67:BL67)</f>
        <v>8469166</v>
      </c>
      <c r="BO67" s="17"/>
      <c r="BP67" s="6"/>
      <c r="BQ67" s="6"/>
      <c r="BR67" s="6"/>
    </row>
    <row r="68" spans="1:70" ht="12.75" customHeight="1" x14ac:dyDescent="0.2">
      <c r="A68" s="6" t="s">
        <v>81</v>
      </c>
      <c r="C68" s="6" t="s">
        <v>64</v>
      </c>
      <c r="E68" s="16">
        <v>77664772</v>
      </c>
      <c r="F68" s="16"/>
      <c r="G68" s="16">
        <v>117337470</v>
      </c>
      <c r="H68" s="16"/>
      <c r="I68" s="16">
        <f>+E68+G68</f>
        <v>195002242</v>
      </c>
      <c r="J68" s="16"/>
      <c r="K68" s="16">
        <v>4691933</v>
      </c>
      <c r="L68" s="16"/>
      <c r="M68" s="16">
        <v>15065598</v>
      </c>
      <c r="N68" s="16"/>
      <c r="O68" s="16">
        <f>+K68+M68</f>
        <v>19757531</v>
      </c>
      <c r="P68" s="16"/>
      <c r="Q68" s="16">
        <v>101925310</v>
      </c>
      <c r="R68" s="16"/>
      <c r="S68" s="16">
        <v>0</v>
      </c>
      <c r="T68" s="16"/>
      <c r="U68" s="16">
        <v>73319401</v>
      </c>
      <c r="V68" s="16"/>
      <c r="W68" s="16">
        <f t="shared" si="0"/>
        <v>175244711</v>
      </c>
      <c r="X68" s="6"/>
      <c r="Y68" s="6"/>
      <c r="Z68" s="6" t="s">
        <v>81</v>
      </c>
      <c r="AA68" s="16"/>
      <c r="AB68" s="6" t="s">
        <v>64</v>
      </c>
      <c r="AD68" s="16">
        <v>51184173</v>
      </c>
      <c r="AE68" s="16"/>
      <c r="AF68" s="16">
        <f>44602557-5942584</f>
        <v>38659973</v>
      </c>
      <c r="AG68" s="16"/>
      <c r="AH68" s="16">
        <v>5942584</v>
      </c>
      <c r="AI68" s="16"/>
      <c r="AJ68" s="8">
        <f t="shared" si="5"/>
        <v>6581616</v>
      </c>
      <c r="AK68" s="8"/>
      <c r="AL68" s="16">
        <v>106019</v>
      </c>
      <c r="AM68" s="8"/>
      <c r="AN68" s="16">
        <v>0</v>
      </c>
      <c r="AO68" s="16"/>
      <c r="AP68" s="16">
        <v>0</v>
      </c>
      <c r="AQ68" s="16"/>
      <c r="AR68" s="16">
        <v>150903</v>
      </c>
      <c r="AS68" s="16"/>
      <c r="AT68" s="8">
        <f t="shared" si="6"/>
        <v>6838538</v>
      </c>
      <c r="AU68" s="8"/>
      <c r="AV68" s="16">
        <v>0</v>
      </c>
      <c r="AW68" s="16"/>
      <c r="AX68" s="16">
        <v>0</v>
      </c>
      <c r="AY68" s="16"/>
      <c r="AZ68" s="16">
        <f t="shared" si="37"/>
        <v>72972839</v>
      </c>
      <c r="BB68" s="6" t="s">
        <v>81</v>
      </c>
      <c r="BC68" s="6"/>
      <c r="BD68" s="6" t="s">
        <v>64</v>
      </c>
      <c r="BE68" s="16"/>
      <c r="BF68" s="16">
        <f>14520000+78000</f>
        <v>14598000</v>
      </c>
      <c r="BG68" s="16"/>
      <c r="BH68" s="16">
        <v>0</v>
      </c>
      <c r="BI68" s="16"/>
      <c r="BJ68" s="16">
        <v>0</v>
      </c>
      <c r="BK68" s="16"/>
      <c r="BL68" s="16">
        <f>545598+1040995</f>
        <v>1586593</v>
      </c>
      <c r="BM68" s="16"/>
      <c r="BN68" s="16">
        <f t="shared" si="3"/>
        <v>16184593</v>
      </c>
      <c r="BO68" s="17"/>
      <c r="BP68" s="6"/>
      <c r="BQ68" s="6"/>
      <c r="BR68" s="6"/>
    </row>
    <row r="69" spans="1:70" ht="12.75" hidden="1" customHeight="1" x14ac:dyDescent="0.2">
      <c r="A69" s="6" t="s">
        <v>82</v>
      </c>
      <c r="C69" s="6" t="s">
        <v>43</v>
      </c>
      <c r="E69" s="16">
        <f t="shared" si="7"/>
        <v>0</v>
      </c>
      <c r="F69" s="16"/>
      <c r="G69" s="16"/>
      <c r="H69" s="16"/>
      <c r="I69" s="16"/>
      <c r="J69" s="16"/>
      <c r="K69" s="16">
        <f t="shared" si="8"/>
        <v>0</v>
      </c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>
        <f t="shared" si="0"/>
        <v>0</v>
      </c>
      <c r="Z69" s="6" t="s">
        <v>82</v>
      </c>
      <c r="AA69" s="16"/>
      <c r="AB69" s="6" t="s">
        <v>43</v>
      </c>
      <c r="AD69" s="16"/>
      <c r="AE69" s="16"/>
      <c r="AF69" s="16"/>
      <c r="AG69" s="16"/>
      <c r="AH69" s="16"/>
      <c r="AI69" s="16"/>
      <c r="AJ69" s="8">
        <f t="shared" si="5"/>
        <v>0</v>
      </c>
      <c r="AK69" s="8"/>
      <c r="AL69" s="16"/>
      <c r="AM69" s="8"/>
      <c r="AN69" s="16"/>
      <c r="AO69" s="16"/>
      <c r="AP69" s="16"/>
      <c r="AQ69" s="16"/>
      <c r="AR69" s="16"/>
      <c r="AS69" s="16"/>
      <c r="AT69" s="8">
        <f t="shared" si="6"/>
        <v>0</v>
      </c>
      <c r="AU69" s="8"/>
      <c r="AV69" s="16">
        <v>0</v>
      </c>
      <c r="AW69" s="16"/>
      <c r="AX69" s="16">
        <v>0</v>
      </c>
      <c r="AY69" s="16"/>
      <c r="AZ69" s="16">
        <f t="shared" si="37"/>
        <v>0</v>
      </c>
      <c r="BB69" s="6" t="s">
        <v>82</v>
      </c>
      <c r="BC69" s="6"/>
      <c r="BD69" s="6" t="s">
        <v>43</v>
      </c>
      <c r="BE69" s="16"/>
      <c r="BF69" s="16"/>
      <c r="BG69" s="16"/>
      <c r="BH69" s="16"/>
      <c r="BI69" s="16"/>
      <c r="BJ69" s="16"/>
      <c r="BK69" s="16"/>
      <c r="BL69" s="16"/>
      <c r="BM69" s="16"/>
      <c r="BN69" s="16">
        <f t="shared" si="3"/>
        <v>0</v>
      </c>
      <c r="BO69" s="17"/>
      <c r="BP69" s="6"/>
      <c r="BQ69" s="6"/>
      <c r="BR69" s="6"/>
    </row>
    <row r="70" spans="1:70" ht="12.75" customHeight="1" x14ac:dyDescent="0.2">
      <c r="A70" s="6" t="s">
        <v>83</v>
      </c>
      <c r="C70" s="6" t="s">
        <v>83</v>
      </c>
      <c r="E70" s="16">
        <v>3184791</v>
      </c>
      <c r="F70" s="16"/>
      <c r="G70" s="16">
        <v>22827871</v>
      </c>
      <c r="H70" s="16"/>
      <c r="I70" s="16">
        <f>+E70+G70</f>
        <v>26012662</v>
      </c>
      <c r="J70" s="16"/>
      <c r="K70" s="16">
        <v>1156939</v>
      </c>
      <c r="L70" s="16"/>
      <c r="M70" s="16">
        <v>14054839</v>
      </c>
      <c r="N70" s="16"/>
      <c r="O70" s="16">
        <f>+K70+M70</f>
        <v>15211778</v>
      </c>
      <c r="P70" s="16"/>
      <c r="Q70" s="16">
        <v>8239139</v>
      </c>
      <c r="R70" s="16"/>
      <c r="S70" s="16">
        <v>0</v>
      </c>
      <c r="T70" s="16"/>
      <c r="U70" s="16">
        <v>2858157</v>
      </c>
      <c r="V70" s="16"/>
      <c r="W70" s="16">
        <f t="shared" si="0"/>
        <v>11097296</v>
      </c>
      <c r="Z70" s="6" t="s">
        <v>83</v>
      </c>
      <c r="AA70" s="16"/>
      <c r="AB70" s="6" t="s">
        <v>83</v>
      </c>
      <c r="AD70" s="16">
        <v>6037214</v>
      </c>
      <c r="AE70" s="16"/>
      <c r="AF70" s="16">
        <f>4072111-743555</f>
        <v>3328556</v>
      </c>
      <c r="AG70" s="16"/>
      <c r="AH70" s="16">
        <v>743555</v>
      </c>
      <c r="AI70" s="16"/>
      <c r="AJ70" s="8">
        <f t="shared" si="5"/>
        <v>1965103</v>
      </c>
      <c r="AK70" s="8"/>
      <c r="AL70" s="16">
        <v>-663285</v>
      </c>
      <c r="AM70" s="8"/>
      <c r="AN70" s="16">
        <v>41018</v>
      </c>
      <c r="AO70" s="16"/>
      <c r="AP70" s="16">
        <v>0</v>
      </c>
      <c r="AQ70" s="16"/>
      <c r="AR70" s="16">
        <v>256408</v>
      </c>
      <c r="AS70" s="16"/>
      <c r="AT70" s="8">
        <f t="shared" si="6"/>
        <v>1599244</v>
      </c>
      <c r="AU70" s="8"/>
      <c r="AV70" s="16">
        <v>0</v>
      </c>
      <c r="AW70" s="16"/>
      <c r="AX70" s="16">
        <v>0</v>
      </c>
      <c r="AY70" s="16"/>
      <c r="AZ70" s="16">
        <f t="shared" si="37"/>
        <v>2027852</v>
      </c>
      <c r="BB70" s="6" t="s">
        <v>83</v>
      </c>
      <c r="BC70" s="6"/>
      <c r="BD70" s="6" t="s">
        <v>83</v>
      </c>
      <c r="BE70" s="16"/>
      <c r="BF70" s="16">
        <f>7218578+630000</f>
        <v>7848578</v>
      </c>
      <c r="BG70" s="16"/>
      <c r="BH70" s="16">
        <v>0</v>
      </c>
      <c r="BI70" s="16"/>
      <c r="BJ70" s="16">
        <f>6581030+219808+71443+164285</f>
        <v>7036566</v>
      </c>
      <c r="BK70" s="16"/>
      <c r="BL70" s="16">
        <f>35423+48363</f>
        <v>83786</v>
      </c>
      <c r="BM70" s="16"/>
      <c r="BN70" s="16">
        <f t="shared" si="3"/>
        <v>14968930</v>
      </c>
      <c r="BO70" s="17"/>
      <c r="BP70" s="6"/>
      <c r="BQ70" s="6"/>
      <c r="BR70" s="6"/>
    </row>
    <row r="71" spans="1:70" ht="12.75" hidden="1" customHeight="1" x14ac:dyDescent="0.2">
      <c r="A71" s="6" t="s">
        <v>84</v>
      </c>
      <c r="C71" s="6" t="s">
        <v>84</v>
      </c>
      <c r="E71" s="16">
        <f t="shared" si="7"/>
        <v>7501540</v>
      </c>
      <c r="F71" s="16"/>
      <c r="G71" s="16">
        <v>31271812</v>
      </c>
      <c r="H71" s="16"/>
      <c r="I71" s="16">
        <v>38773352</v>
      </c>
      <c r="J71" s="16"/>
      <c r="K71" s="16">
        <f t="shared" si="8"/>
        <v>857983</v>
      </c>
      <c r="L71" s="16"/>
      <c r="M71" s="16">
        <v>5647573</v>
      </c>
      <c r="N71" s="16"/>
      <c r="O71" s="16">
        <v>6505556</v>
      </c>
      <c r="P71" s="16"/>
      <c r="Q71" s="16">
        <v>25801874</v>
      </c>
      <c r="R71" s="16"/>
      <c r="S71" s="16">
        <v>0</v>
      </c>
      <c r="T71" s="16"/>
      <c r="U71" s="16">
        <v>6465922</v>
      </c>
      <c r="V71" s="16"/>
      <c r="W71" s="16">
        <f t="shared" si="0"/>
        <v>32267796</v>
      </c>
      <c r="Z71" s="6" t="s">
        <v>84</v>
      </c>
      <c r="AA71" s="16"/>
      <c r="AB71" s="6" t="s">
        <v>84</v>
      </c>
      <c r="AD71" s="16">
        <v>4978449</v>
      </c>
      <c r="AE71" s="16"/>
      <c r="AF71" s="16">
        <f>4298441-718532</f>
        <v>3579909</v>
      </c>
      <c r="AG71" s="16"/>
      <c r="AH71" s="16">
        <v>718532</v>
      </c>
      <c r="AI71" s="16"/>
      <c r="AJ71" s="8">
        <f t="shared" si="5"/>
        <v>680008</v>
      </c>
      <c r="AK71" s="8"/>
      <c r="AL71" s="16">
        <v>-218847</v>
      </c>
      <c r="AM71" s="8"/>
      <c r="AN71" s="16">
        <v>137885</v>
      </c>
      <c r="AO71" s="16"/>
      <c r="AP71" s="16">
        <v>0</v>
      </c>
      <c r="AQ71" s="16"/>
      <c r="AR71" s="16">
        <v>29832</v>
      </c>
      <c r="AS71" s="16"/>
      <c r="AT71" s="8">
        <f t="shared" si="6"/>
        <v>628878</v>
      </c>
      <c r="AU71" s="8"/>
      <c r="AV71" s="16">
        <v>0</v>
      </c>
      <c r="AW71" s="16"/>
      <c r="AX71" s="16">
        <v>0</v>
      </c>
      <c r="AY71" s="16"/>
      <c r="AZ71" s="16">
        <f t="shared" si="37"/>
        <v>6643557</v>
      </c>
      <c r="BB71" s="6" t="s">
        <v>84</v>
      </c>
      <c r="BC71" s="6"/>
      <c r="BD71" s="6" t="s">
        <v>84</v>
      </c>
      <c r="BE71" s="16"/>
      <c r="BF71" s="16">
        <f>2992447+106000</f>
        <v>3098447</v>
      </c>
      <c r="BG71" s="16"/>
      <c r="BH71" s="16">
        <v>0</v>
      </c>
      <c r="BI71" s="16"/>
      <c r="BJ71" s="16">
        <f>2140900+56616</f>
        <v>2197516</v>
      </c>
      <c r="BK71" s="16"/>
      <c r="BL71" s="16">
        <f>173976+340250+83866</f>
        <v>598092</v>
      </c>
      <c r="BM71" s="16"/>
      <c r="BN71" s="16">
        <f t="shared" si="3"/>
        <v>5894055</v>
      </c>
      <c r="BO71" s="17"/>
      <c r="BP71" s="6"/>
      <c r="BQ71" s="6"/>
      <c r="BR71" s="6"/>
    </row>
    <row r="72" spans="1:70" ht="12.75" customHeight="1" x14ac:dyDescent="0.2">
      <c r="A72" s="19" t="s">
        <v>85</v>
      </c>
      <c r="B72" s="19"/>
      <c r="C72" s="19" t="s">
        <v>86</v>
      </c>
      <c r="D72" s="9"/>
      <c r="E72" s="16">
        <v>1032778</v>
      </c>
      <c r="F72" s="16"/>
      <c r="G72" s="16">
        <v>21258111</v>
      </c>
      <c r="H72" s="16"/>
      <c r="I72" s="16">
        <f>+E72+G72</f>
        <v>22290889</v>
      </c>
      <c r="J72" s="16"/>
      <c r="K72" s="16">
        <v>1092908</v>
      </c>
      <c r="L72" s="16"/>
      <c r="M72" s="16">
        <v>14405784</v>
      </c>
      <c r="N72" s="16"/>
      <c r="O72" s="16">
        <f>+K72+M72</f>
        <v>15498692</v>
      </c>
      <c r="P72" s="16"/>
      <c r="Q72" s="16">
        <v>5969266</v>
      </c>
      <c r="R72" s="16"/>
      <c r="S72" s="16">
        <v>0</v>
      </c>
      <c r="T72" s="16"/>
      <c r="U72" s="16">
        <v>822931</v>
      </c>
      <c r="V72" s="16"/>
      <c r="W72" s="16">
        <f t="shared" si="0"/>
        <v>6792197</v>
      </c>
      <c r="Z72" s="19" t="s">
        <v>85</v>
      </c>
      <c r="AA72" s="28"/>
      <c r="AB72" s="19" t="s">
        <v>86</v>
      </c>
      <c r="AC72" s="19"/>
      <c r="AD72" s="16">
        <v>2094517</v>
      </c>
      <c r="AE72" s="16"/>
      <c r="AF72" s="16">
        <f>1546068-561554</f>
        <v>984514</v>
      </c>
      <c r="AG72" s="16"/>
      <c r="AH72" s="16">
        <v>561554</v>
      </c>
      <c r="AI72" s="16"/>
      <c r="AJ72" s="8">
        <f t="shared" si="5"/>
        <v>548449</v>
      </c>
      <c r="AK72" s="8"/>
      <c r="AL72" s="16">
        <v>-170619</v>
      </c>
      <c r="AM72" s="8"/>
      <c r="AN72" s="16">
        <v>0</v>
      </c>
      <c r="AO72" s="16"/>
      <c r="AP72" s="16">
        <v>0</v>
      </c>
      <c r="AQ72" s="16"/>
      <c r="AR72" s="16">
        <v>0</v>
      </c>
      <c r="AS72" s="16"/>
      <c r="AT72" s="8">
        <f t="shared" si="6"/>
        <v>377830</v>
      </c>
      <c r="AU72" s="8"/>
      <c r="AV72" s="16">
        <v>0</v>
      </c>
      <c r="AW72" s="16"/>
      <c r="AX72" s="16">
        <v>0</v>
      </c>
      <c r="AY72" s="16"/>
      <c r="AZ72" s="16">
        <f t="shared" si="37"/>
        <v>-60130</v>
      </c>
      <c r="BB72" s="19" t="s">
        <v>85</v>
      </c>
      <c r="BC72" s="19"/>
      <c r="BD72" s="19" t="s">
        <v>86</v>
      </c>
      <c r="BE72" s="28"/>
      <c r="BF72" s="16">
        <f>1474651+195048</f>
        <v>1669699</v>
      </c>
      <c r="BG72" s="16"/>
      <c r="BH72" s="16">
        <v>0</v>
      </c>
      <c r="BI72" s="16"/>
      <c r="BJ72" s="16">
        <f>170980+12680138+16687+751341</f>
        <v>13619146</v>
      </c>
      <c r="BK72" s="16"/>
      <c r="BL72" s="16">
        <f>80015+44003</f>
        <v>124018</v>
      </c>
      <c r="BM72" s="16"/>
      <c r="BN72" s="16">
        <f t="shared" si="3"/>
        <v>15412863</v>
      </c>
      <c r="BO72" s="17"/>
      <c r="BP72" s="6"/>
      <c r="BQ72" s="6"/>
      <c r="BR72" s="6"/>
    </row>
    <row r="73" spans="1:70" ht="12.75" customHeight="1" x14ac:dyDescent="0.2">
      <c r="A73" s="6" t="s">
        <v>393</v>
      </c>
      <c r="B73" s="6"/>
      <c r="C73" s="6" t="s">
        <v>87</v>
      </c>
      <c r="E73" s="16">
        <v>1591464</v>
      </c>
      <c r="F73" s="16"/>
      <c r="G73" s="16">
        <v>9401082</v>
      </c>
      <c r="H73" s="16"/>
      <c r="I73" s="16">
        <f>+E73+G73</f>
        <v>10992546</v>
      </c>
      <c r="J73" s="16"/>
      <c r="K73" s="16">
        <v>468927</v>
      </c>
      <c r="L73" s="16"/>
      <c r="M73" s="16">
        <v>3825505</v>
      </c>
      <c r="N73" s="16"/>
      <c r="O73" s="16">
        <f>+K73+M73</f>
        <v>4294432</v>
      </c>
      <c r="P73" s="16"/>
      <c r="Q73" s="16">
        <v>4472493</v>
      </c>
      <c r="R73" s="16"/>
      <c r="S73" s="16">
        <f>497860+687175</f>
        <v>1185035</v>
      </c>
      <c r="T73" s="16"/>
      <c r="U73" s="16">
        <v>1040586</v>
      </c>
      <c r="V73" s="16"/>
      <c r="W73" s="16">
        <f t="shared" si="0"/>
        <v>6698114</v>
      </c>
      <c r="Z73" s="6" t="s">
        <v>393</v>
      </c>
      <c r="AA73" s="16"/>
      <c r="AB73" s="6" t="s">
        <v>87</v>
      </c>
      <c r="AC73" s="6"/>
      <c r="AD73" s="16">
        <v>2256465</v>
      </c>
      <c r="AE73" s="16"/>
      <c r="AF73" s="16">
        <f>1734978-508958</f>
        <v>1226020</v>
      </c>
      <c r="AG73" s="16"/>
      <c r="AH73" s="16">
        <v>508958</v>
      </c>
      <c r="AI73" s="16"/>
      <c r="AJ73" s="8">
        <f t="shared" si="5"/>
        <v>521487</v>
      </c>
      <c r="AK73" s="8"/>
      <c r="AL73" s="16">
        <v>-231910</v>
      </c>
      <c r="AM73" s="8"/>
      <c r="AN73" s="16">
        <v>0</v>
      </c>
      <c r="AO73" s="16"/>
      <c r="AP73" s="16">
        <v>0</v>
      </c>
      <c r="AQ73" s="16"/>
      <c r="AR73" s="16">
        <v>0</v>
      </c>
      <c r="AS73" s="16"/>
      <c r="AT73" s="8">
        <f t="shared" si="6"/>
        <v>289577</v>
      </c>
      <c r="AU73" s="8"/>
      <c r="AV73" s="16">
        <v>0</v>
      </c>
      <c r="AW73" s="16"/>
      <c r="AX73" s="16">
        <v>0</v>
      </c>
      <c r="AY73" s="16"/>
      <c r="AZ73" s="16">
        <f t="shared" si="37"/>
        <v>1122537</v>
      </c>
      <c r="BB73" s="6" t="s">
        <v>392</v>
      </c>
      <c r="BC73" s="6"/>
      <c r="BD73" s="6" t="s">
        <v>87</v>
      </c>
      <c r="BE73" s="16"/>
      <c r="BF73" s="16">
        <v>0</v>
      </c>
      <c r="BG73" s="16"/>
      <c r="BH73" s="16">
        <f>3697341+330000</f>
        <v>4027341</v>
      </c>
      <c r="BI73" s="16"/>
      <c r="BJ73" s="16">
        <v>0</v>
      </c>
      <c r="BK73" s="16"/>
      <c r="BL73" s="16">
        <f>128164+22483</f>
        <v>150647</v>
      </c>
      <c r="BM73" s="16"/>
      <c r="BN73" s="16">
        <f t="shared" si="3"/>
        <v>4177988</v>
      </c>
      <c r="BO73" s="17"/>
      <c r="BP73" s="6"/>
      <c r="BQ73" s="6"/>
      <c r="BR73" s="6"/>
    </row>
    <row r="74" spans="1:70" ht="12.75" customHeight="1" x14ac:dyDescent="0.2">
      <c r="A74" s="6" t="s">
        <v>88</v>
      </c>
      <c r="B74" s="42"/>
      <c r="C74" s="6" t="s">
        <v>41</v>
      </c>
      <c r="E74" s="16">
        <v>16346604</v>
      </c>
      <c r="F74" s="16"/>
      <c r="G74" s="16">
        <v>36902611</v>
      </c>
      <c r="H74" s="16"/>
      <c r="I74" s="16">
        <f>+E74+G74</f>
        <v>53249215</v>
      </c>
      <c r="J74" s="16"/>
      <c r="K74" s="16">
        <v>1251357</v>
      </c>
      <c r="L74" s="16"/>
      <c r="M74" s="16">
        <v>4363505</v>
      </c>
      <c r="N74" s="16"/>
      <c r="O74" s="16">
        <f>+K74+M74</f>
        <v>5614862</v>
      </c>
      <c r="P74" s="16"/>
      <c r="Q74" s="16">
        <v>33232130</v>
      </c>
      <c r="R74" s="16"/>
      <c r="S74" s="16">
        <v>1170773</v>
      </c>
      <c r="T74" s="16"/>
      <c r="U74" s="16">
        <v>13231450</v>
      </c>
      <c r="V74" s="16"/>
      <c r="W74" s="16">
        <f>SUM(Q74:U74)</f>
        <v>47634353</v>
      </c>
      <c r="X74" s="42"/>
      <c r="Y74" s="42"/>
      <c r="Z74" s="6" t="s">
        <v>88</v>
      </c>
      <c r="AA74" s="16"/>
      <c r="AB74" s="6" t="s">
        <v>41</v>
      </c>
      <c r="AC74" s="42"/>
      <c r="AD74" s="16">
        <v>1103570</v>
      </c>
      <c r="AE74" s="16"/>
      <c r="AF74" s="16">
        <f>1901705-1196990</f>
        <v>704715</v>
      </c>
      <c r="AG74" s="16"/>
      <c r="AH74" s="16">
        <v>1196990</v>
      </c>
      <c r="AI74" s="16"/>
      <c r="AJ74" s="8">
        <f t="shared" si="5"/>
        <v>-798135</v>
      </c>
      <c r="AK74" s="8"/>
      <c r="AL74" s="16">
        <v>-82371</v>
      </c>
      <c r="AM74" s="8"/>
      <c r="AN74" s="16">
        <v>0</v>
      </c>
      <c r="AO74" s="16"/>
      <c r="AP74" s="16">
        <v>0</v>
      </c>
      <c r="AQ74" s="16"/>
      <c r="AR74" s="16">
        <v>1248523</v>
      </c>
      <c r="AS74" s="16"/>
      <c r="AT74" s="8">
        <f t="shared" si="6"/>
        <v>368017</v>
      </c>
      <c r="AU74" s="8"/>
      <c r="AV74" s="16">
        <v>0</v>
      </c>
      <c r="AW74" s="16"/>
      <c r="AX74" s="16">
        <v>0</v>
      </c>
      <c r="AY74" s="16"/>
      <c r="AZ74" s="16">
        <f t="shared" si="37"/>
        <v>15095247</v>
      </c>
      <c r="BA74" s="42"/>
      <c r="BB74" s="6" t="s">
        <v>88</v>
      </c>
      <c r="BC74" s="6"/>
      <c r="BD74" s="6" t="s">
        <v>41</v>
      </c>
      <c r="BE74" s="16"/>
      <c r="BF74" s="16">
        <f>4351254+490000</f>
        <v>4841254</v>
      </c>
      <c r="BG74" s="16"/>
      <c r="BH74" s="16">
        <v>0</v>
      </c>
      <c r="BI74" s="16"/>
      <c r="BJ74" s="16">
        <v>0</v>
      </c>
      <c r="BK74" s="16"/>
      <c r="BL74" s="16">
        <f>12251+3707</f>
        <v>15958</v>
      </c>
      <c r="BM74" s="16"/>
      <c r="BN74" s="16">
        <f t="shared" si="3"/>
        <v>4857212</v>
      </c>
      <c r="BO74" s="17"/>
      <c r="BP74" s="6"/>
      <c r="BQ74" s="6"/>
      <c r="BR74" s="6"/>
    </row>
    <row r="75" spans="1:70" ht="12.75" customHeight="1" x14ac:dyDescent="0.2">
      <c r="A75" s="10" t="s">
        <v>482</v>
      </c>
      <c r="B75" s="10"/>
      <c r="C75" s="10" t="s">
        <v>25</v>
      </c>
      <c r="E75" s="16">
        <v>0</v>
      </c>
      <c r="F75" s="16"/>
      <c r="G75" s="16">
        <v>605915</v>
      </c>
      <c r="H75" s="16"/>
      <c r="I75" s="16">
        <f>+E75+G75</f>
        <v>605915</v>
      </c>
      <c r="J75" s="16"/>
      <c r="K75" s="16">
        <v>292567</v>
      </c>
      <c r="L75" s="16"/>
      <c r="M75" s="16">
        <v>180905</v>
      </c>
      <c r="N75" s="16"/>
      <c r="O75" s="16">
        <f>+K75+M75</f>
        <v>473472</v>
      </c>
      <c r="P75" s="16"/>
      <c r="Q75" s="16">
        <v>605915</v>
      </c>
      <c r="R75" s="16"/>
      <c r="S75" s="16">
        <v>0</v>
      </c>
      <c r="T75" s="16"/>
      <c r="U75" s="16">
        <v>-473472</v>
      </c>
      <c r="V75" s="16"/>
      <c r="W75" s="16">
        <f t="shared" si="0"/>
        <v>132443</v>
      </c>
      <c r="Z75" s="10" t="s">
        <v>482</v>
      </c>
      <c r="AB75" s="10" t="s">
        <v>25</v>
      </c>
      <c r="AD75" s="16">
        <v>845</v>
      </c>
      <c r="AE75" s="16"/>
      <c r="AF75" s="16">
        <f>-31049-8019</f>
        <v>-39068</v>
      </c>
      <c r="AG75" s="16"/>
      <c r="AH75" s="16">
        <v>8019</v>
      </c>
      <c r="AI75" s="16"/>
      <c r="AJ75" s="8">
        <f t="shared" si="5"/>
        <v>31894</v>
      </c>
      <c r="AK75" s="8"/>
      <c r="AL75" s="16">
        <v>0</v>
      </c>
      <c r="AM75" s="8"/>
      <c r="AN75" s="16">
        <v>46970</v>
      </c>
      <c r="AO75" s="16"/>
      <c r="AP75" s="16">
        <v>0</v>
      </c>
      <c r="AQ75" s="16"/>
      <c r="AR75" s="16">
        <v>520559</v>
      </c>
      <c r="AS75" s="16"/>
      <c r="AT75" s="8">
        <f t="shared" si="6"/>
        <v>599423</v>
      </c>
      <c r="AU75" s="8"/>
      <c r="AV75" s="16">
        <v>0</v>
      </c>
      <c r="AW75" s="16"/>
      <c r="AX75" s="16">
        <v>0</v>
      </c>
      <c r="AY75" s="16"/>
      <c r="AZ75" s="16">
        <f t="shared" si="37"/>
        <v>-292567</v>
      </c>
      <c r="BB75" s="10" t="s">
        <v>482</v>
      </c>
      <c r="BC75" s="10"/>
      <c r="BD75" s="10" t="s">
        <v>25</v>
      </c>
      <c r="BE75" s="16"/>
      <c r="BF75" s="16">
        <v>0</v>
      </c>
      <c r="BG75" s="16"/>
      <c r="BH75" s="16">
        <v>0</v>
      </c>
      <c r="BI75" s="16"/>
      <c r="BJ75" s="16">
        <f>180905+46970</f>
        <v>227875</v>
      </c>
      <c r="BK75" s="16"/>
      <c r="BL75" s="16">
        <v>0</v>
      </c>
      <c r="BM75" s="16"/>
      <c r="BN75" s="16">
        <f t="shared" si="3"/>
        <v>227875</v>
      </c>
      <c r="BO75" s="17"/>
      <c r="BP75" s="6"/>
      <c r="BQ75" s="6"/>
      <c r="BR75" s="6"/>
    </row>
    <row r="76" spans="1:70" ht="12.75" customHeight="1" x14ac:dyDescent="0.2">
      <c r="A76" s="7" t="s">
        <v>91</v>
      </c>
      <c r="B76" s="10"/>
      <c r="C76" s="7" t="s">
        <v>92</v>
      </c>
      <c r="E76" s="16">
        <v>8120851</v>
      </c>
      <c r="F76" s="16"/>
      <c r="G76" s="16">
        <v>7188684</v>
      </c>
      <c r="H76" s="16"/>
      <c r="I76" s="16">
        <f>+E76+G76</f>
        <v>15309535</v>
      </c>
      <c r="J76" s="16"/>
      <c r="K76" s="16">
        <v>538499</v>
      </c>
      <c r="L76" s="16"/>
      <c r="M76" s="16">
        <v>2956213</v>
      </c>
      <c r="N76" s="16"/>
      <c r="O76" s="16">
        <f>+K76+M76</f>
        <v>3494712</v>
      </c>
      <c r="P76" s="16"/>
      <c r="Q76" s="16">
        <v>3968121</v>
      </c>
      <c r="R76" s="16"/>
      <c r="S76" s="16">
        <v>0</v>
      </c>
      <c r="T76" s="16"/>
      <c r="U76" s="16">
        <v>7846702</v>
      </c>
      <c r="V76" s="16"/>
      <c r="W76" s="16">
        <f>SUM(Q76:U76)</f>
        <v>11814823</v>
      </c>
      <c r="Z76" s="7" t="s">
        <v>91</v>
      </c>
      <c r="AB76" s="7" t="s">
        <v>92</v>
      </c>
      <c r="AD76" s="16">
        <v>2654175</v>
      </c>
      <c r="AE76" s="16"/>
      <c r="AF76" s="16">
        <f>2781971-334585</f>
        <v>2447386</v>
      </c>
      <c r="AG76" s="16"/>
      <c r="AH76" s="16">
        <v>334585</v>
      </c>
      <c r="AI76" s="16"/>
      <c r="AJ76" s="8">
        <f t="shared" si="5"/>
        <v>-127796</v>
      </c>
      <c r="AK76" s="8"/>
      <c r="AL76" s="16">
        <v>-120992</v>
      </c>
      <c r="AM76" s="8"/>
      <c r="AN76" s="16">
        <v>181917</v>
      </c>
      <c r="AO76" s="16"/>
      <c r="AP76" s="16">
        <v>0</v>
      </c>
      <c r="AQ76" s="16"/>
      <c r="AR76" s="16">
        <v>5182000</v>
      </c>
      <c r="AS76" s="16"/>
      <c r="AT76" s="8">
        <f t="shared" si="6"/>
        <v>5115129</v>
      </c>
      <c r="AU76" s="8"/>
      <c r="AV76" s="16">
        <v>0</v>
      </c>
      <c r="AW76" s="16"/>
      <c r="AX76" s="16">
        <v>0</v>
      </c>
      <c r="AY76" s="16"/>
      <c r="AZ76" s="16">
        <f>E76-K76</f>
        <v>7582352</v>
      </c>
      <c r="BB76" s="7" t="s">
        <v>91</v>
      </c>
      <c r="BC76" s="10"/>
      <c r="BD76" s="7" t="s">
        <v>92</v>
      </c>
      <c r="BE76" s="16"/>
      <c r="BF76" s="16">
        <v>0</v>
      </c>
      <c r="BG76" s="16"/>
      <c r="BH76" s="16">
        <v>0</v>
      </c>
      <c r="BI76" s="16"/>
      <c r="BJ76" s="16">
        <f>247682+36343+2623405+18593+17263+277277</f>
        <v>3220563</v>
      </c>
      <c r="BK76" s="16"/>
      <c r="BL76" s="16">
        <f>11506+48783</f>
        <v>60289</v>
      </c>
      <c r="BM76" s="16"/>
      <c r="BN76" s="16">
        <f>SUM(BF76:BL76)</f>
        <v>3280852</v>
      </c>
      <c r="BO76" s="17"/>
      <c r="BP76" s="6"/>
      <c r="BQ76" s="6"/>
      <c r="BR76" s="6"/>
    </row>
    <row r="77" spans="1:70" ht="12.75" hidden="1" customHeight="1" x14ac:dyDescent="0.2">
      <c r="A77" s="6" t="s">
        <v>93</v>
      </c>
      <c r="C77" s="6" t="s">
        <v>92</v>
      </c>
      <c r="E77" s="16">
        <f t="shared" si="7"/>
        <v>257890</v>
      </c>
      <c r="F77" s="16"/>
      <c r="G77" s="16">
        <v>1853910</v>
      </c>
      <c r="H77" s="16"/>
      <c r="I77" s="16">
        <v>2111800</v>
      </c>
      <c r="J77" s="16"/>
      <c r="K77" s="16">
        <f t="shared" si="8"/>
        <v>82201</v>
      </c>
      <c r="L77" s="16"/>
      <c r="M77" s="16">
        <v>410702</v>
      </c>
      <c r="N77" s="16"/>
      <c r="O77" s="16">
        <v>492903</v>
      </c>
      <c r="P77" s="16"/>
      <c r="Q77" s="16">
        <v>1445220</v>
      </c>
      <c r="R77" s="16"/>
      <c r="S77" s="16">
        <v>0</v>
      </c>
      <c r="T77" s="16"/>
      <c r="U77" s="16">
        <v>173677</v>
      </c>
      <c r="V77" s="16"/>
      <c r="W77" s="16">
        <f>SUM(Q77:U77)</f>
        <v>1618897</v>
      </c>
      <c r="Z77" s="6" t="s">
        <v>93</v>
      </c>
      <c r="AA77" s="16"/>
      <c r="AB77" s="6" t="s">
        <v>92</v>
      </c>
      <c r="AD77" s="16">
        <v>576027</v>
      </c>
      <c r="AE77" s="16"/>
      <c r="AF77" s="16">
        <f>413214-78460</f>
        <v>334754</v>
      </c>
      <c r="AG77" s="16"/>
      <c r="AH77" s="16">
        <v>78460</v>
      </c>
      <c r="AI77" s="16"/>
      <c r="AJ77" s="8">
        <f t="shared" si="5"/>
        <v>162813</v>
      </c>
      <c r="AK77" s="8"/>
      <c r="AL77" s="16">
        <v>20425</v>
      </c>
      <c r="AM77" s="8"/>
      <c r="AN77" s="16">
        <v>0</v>
      </c>
      <c r="AO77" s="16"/>
      <c r="AP77" s="16">
        <v>16747</v>
      </c>
      <c r="AQ77" s="16"/>
      <c r="AR77" s="16">
        <v>59071</v>
      </c>
      <c r="AS77" s="16"/>
      <c r="AT77" s="8">
        <f t="shared" si="6"/>
        <v>225562</v>
      </c>
      <c r="AU77" s="8"/>
      <c r="AV77" s="16">
        <v>0</v>
      </c>
      <c r="AW77" s="16"/>
      <c r="AX77" s="16">
        <v>0</v>
      </c>
      <c r="AY77" s="16"/>
      <c r="AZ77" s="16">
        <f>E77-K77</f>
        <v>175689</v>
      </c>
      <c r="BB77" s="6" t="s">
        <v>93</v>
      </c>
      <c r="BC77" s="6"/>
      <c r="BD77" s="6" t="s">
        <v>92</v>
      </c>
      <c r="BE77" s="16"/>
      <c r="BF77" s="16">
        <f>68625+8190</f>
        <v>76815</v>
      </c>
      <c r="BG77" s="16"/>
      <c r="BH77" s="16">
        <v>0</v>
      </c>
      <c r="BI77" s="16"/>
      <c r="BJ77" s="16">
        <f>187930+97163+10000+43248+3534</f>
        <v>341875</v>
      </c>
      <c r="BK77" s="16"/>
      <c r="BL77" s="16">
        <f>46984+5946</f>
        <v>52930</v>
      </c>
      <c r="BM77" s="16"/>
      <c r="BN77" s="16">
        <f>SUM(BF77:BL77)</f>
        <v>471620</v>
      </c>
      <c r="BO77" s="17"/>
      <c r="BP77" s="6"/>
      <c r="BQ77" s="6"/>
      <c r="BR77" s="6"/>
    </row>
    <row r="78" spans="1:70" ht="12.75" hidden="1" customHeight="1" x14ac:dyDescent="0.2">
      <c r="A78" s="6" t="s">
        <v>89</v>
      </c>
      <c r="C78" s="6" t="s">
        <v>90</v>
      </c>
      <c r="E78" s="16">
        <f t="shared" si="7"/>
        <v>0</v>
      </c>
      <c r="F78" s="16"/>
      <c r="G78" s="16"/>
      <c r="H78" s="16"/>
      <c r="I78" s="16"/>
      <c r="J78" s="16"/>
      <c r="K78" s="16">
        <f t="shared" si="8"/>
        <v>0</v>
      </c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>
        <f t="shared" si="0"/>
        <v>0</v>
      </c>
      <c r="Z78" s="6" t="s">
        <v>89</v>
      </c>
      <c r="AA78" s="16"/>
      <c r="AB78" s="6" t="s">
        <v>90</v>
      </c>
      <c r="AD78" s="16"/>
      <c r="AE78" s="16"/>
      <c r="AF78" s="16"/>
      <c r="AG78" s="16"/>
      <c r="AH78" s="16"/>
      <c r="AI78" s="16"/>
      <c r="AJ78" s="8">
        <f t="shared" si="5"/>
        <v>0</v>
      </c>
      <c r="AK78" s="8"/>
      <c r="AL78" s="16"/>
      <c r="AM78" s="8"/>
      <c r="AN78" s="16"/>
      <c r="AO78" s="16"/>
      <c r="AP78" s="16"/>
      <c r="AQ78" s="16"/>
      <c r="AR78" s="16"/>
      <c r="AS78" s="16"/>
      <c r="AT78" s="8">
        <f t="shared" si="6"/>
        <v>0</v>
      </c>
      <c r="AU78" s="8"/>
      <c r="AV78" s="16">
        <v>0</v>
      </c>
      <c r="AW78" s="16"/>
      <c r="AX78" s="16">
        <v>0</v>
      </c>
      <c r="AY78" s="16"/>
      <c r="AZ78" s="16">
        <f t="shared" si="37"/>
        <v>0</v>
      </c>
      <c r="BB78" s="6" t="s">
        <v>89</v>
      </c>
      <c r="BC78" s="6"/>
      <c r="BD78" s="6" t="s">
        <v>90</v>
      </c>
      <c r="BE78" s="16"/>
      <c r="BF78" s="16"/>
      <c r="BG78" s="16"/>
      <c r="BH78" s="16"/>
      <c r="BI78" s="16"/>
      <c r="BJ78" s="16"/>
      <c r="BK78" s="16"/>
      <c r="BL78" s="16"/>
      <c r="BM78" s="16"/>
      <c r="BN78" s="16">
        <f t="shared" si="3"/>
        <v>0</v>
      </c>
      <c r="BO78" s="17"/>
      <c r="BP78" s="6"/>
      <c r="BQ78" s="6"/>
      <c r="BR78" s="6"/>
    </row>
    <row r="79" spans="1:70" ht="12.75" customHeight="1" x14ac:dyDescent="0.2">
      <c r="A79" s="6" t="s">
        <v>94</v>
      </c>
      <c r="C79" s="6" t="s">
        <v>95</v>
      </c>
      <c r="E79" s="16">
        <v>1434254</v>
      </c>
      <c r="F79" s="16"/>
      <c r="G79" s="16">
        <v>6426228</v>
      </c>
      <c r="H79" s="16"/>
      <c r="I79" s="16">
        <f t="shared" ref="I79:I84" si="43">+E79+G79</f>
        <v>7860482</v>
      </c>
      <c r="J79" s="16"/>
      <c r="K79" s="16">
        <v>295160</v>
      </c>
      <c r="L79" s="16"/>
      <c r="M79" s="16">
        <v>3439357</v>
      </c>
      <c r="N79" s="16"/>
      <c r="O79" s="16">
        <f t="shared" ref="O79:O84" si="44">+K79+M79</f>
        <v>3734517</v>
      </c>
      <c r="P79" s="16"/>
      <c r="Q79" s="16">
        <v>2844660</v>
      </c>
      <c r="R79" s="16"/>
      <c r="S79" s="16">
        <v>0</v>
      </c>
      <c r="T79" s="16"/>
      <c r="U79" s="16">
        <v>1281305</v>
      </c>
      <c r="V79" s="16"/>
      <c r="W79" s="16">
        <f t="shared" si="0"/>
        <v>4125965</v>
      </c>
      <c r="Z79" s="6" t="s">
        <v>94</v>
      </c>
      <c r="AA79" s="16"/>
      <c r="AB79" s="6" t="s">
        <v>95</v>
      </c>
      <c r="AD79" s="16">
        <v>1371685</v>
      </c>
      <c r="AE79" s="16"/>
      <c r="AF79" s="16">
        <f>1117033-302833</f>
        <v>814200</v>
      </c>
      <c r="AG79" s="16"/>
      <c r="AH79" s="16">
        <v>302833</v>
      </c>
      <c r="AI79" s="16"/>
      <c r="AJ79" s="8">
        <f t="shared" si="5"/>
        <v>254652</v>
      </c>
      <c r="AK79" s="8"/>
      <c r="AL79" s="16">
        <v>-99761</v>
      </c>
      <c r="AM79" s="8"/>
      <c r="AN79" s="16">
        <v>0</v>
      </c>
      <c r="AO79" s="16"/>
      <c r="AP79" s="16">
        <v>0</v>
      </c>
      <c r="AQ79" s="16"/>
      <c r="AR79" s="16">
        <v>0</v>
      </c>
      <c r="AS79" s="16"/>
      <c r="AT79" s="8">
        <f t="shared" si="6"/>
        <v>154891</v>
      </c>
      <c r="AU79" s="8"/>
      <c r="AV79" s="16">
        <v>0</v>
      </c>
      <c r="AW79" s="16"/>
      <c r="AX79" s="16">
        <v>0</v>
      </c>
      <c r="AY79" s="16"/>
      <c r="AZ79" s="16">
        <f t="shared" si="37"/>
        <v>1139094</v>
      </c>
      <c r="BB79" s="6" t="s">
        <v>94</v>
      </c>
      <c r="BC79" s="6"/>
      <c r="BD79" s="6" t="s">
        <v>95</v>
      </c>
      <c r="BE79" s="16"/>
      <c r="BF79" s="16">
        <v>0</v>
      </c>
      <c r="BG79" s="16"/>
      <c r="BH79" s="16">
        <v>0</v>
      </c>
      <c r="BI79" s="16"/>
      <c r="BJ79" s="16">
        <f>3393411+188157</f>
        <v>3581568</v>
      </c>
      <c r="BK79" s="16"/>
      <c r="BL79" s="16">
        <f>45946+24863</f>
        <v>70809</v>
      </c>
      <c r="BM79" s="16"/>
      <c r="BN79" s="16">
        <f t="shared" si="3"/>
        <v>3652377</v>
      </c>
      <c r="BO79" s="17"/>
      <c r="BP79" s="6"/>
      <c r="BQ79" s="6"/>
      <c r="BR79" s="6"/>
    </row>
    <row r="80" spans="1:70" ht="12.75" customHeight="1" x14ac:dyDescent="0.2">
      <c r="A80" s="6" t="s">
        <v>96</v>
      </c>
      <c r="C80" s="6" t="s">
        <v>15</v>
      </c>
      <c r="E80" s="16">
        <v>4587238</v>
      </c>
      <c r="F80" s="16"/>
      <c r="G80" s="16">
        <v>25235569</v>
      </c>
      <c r="H80" s="16"/>
      <c r="I80" s="16">
        <f t="shared" si="43"/>
        <v>29822807</v>
      </c>
      <c r="J80" s="16"/>
      <c r="K80" s="16">
        <v>1506388</v>
      </c>
      <c r="L80" s="16"/>
      <c r="M80" s="16">
        <v>19411094</v>
      </c>
      <c r="N80" s="16"/>
      <c r="O80" s="16">
        <f t="shared" si="44"/>
        <v>20917482</v>
      </c>
      <c r="P80" s="16"/>
      <c r="Q80" s="16">
        <v>5613524</v>
      </c>
      <c r="R80" s="16"/>
      <c r="S80" s="16">
        <v>0</v>
      </c>
      <c r="T80" s="16"/>
      <c r="U80" s="16">
        <v>3291801</v>
      </c>
      <c r="V80" s="16"/>
      <c r="W80" s="16">
        <f t="shared" si="0"/>
        <v>8905325</v>
      </c>
      <c r="Z80" s="6" t="s">
        <v>96</v>
      </c>
      <c r="AA80" s="16"/>
      <c r="AB80" s="6" t="s">
        <v>15</v>
      </c>
      <c r="AD80" s="16">
        <v>10192917</v>
      </c>
      <c r="AE80" s="16"/>
      <c r="AF80" s="16">
        <f>7436325-1206900</f>
        <v>6229425</v>
      </c>
      <c r="AG80" s="16"/>
      <c r="AH80" s="16">
        <v>1206900</v>
      </c>
      <c r="AI80" s="16"/>
      <c r="AJ80" s="8">
        <f t="shared" ref="AJ80:AJ89" si="45">+AD80-AF80-AH80</f>
        <v>2756592</v>
      </c>
      <c r="AK80" s="8"/>
      <c r="AL80" s="16">
        <v>-704834</v>
      </c>
      <c r="AM80" s="8"/>
      <c r="AN80" s="16">
        <v>0</v>
      </c>
      <c r="AO80" s="16"/>
      <c r="AP80" s="16">
        <v>0</v>
      </c>
      <c r="AQ80" s="16"/>
      <c r="AR80" s="16">
        <v>70309</v>
      </c>
      <c r="AS80" s="16"/>
      <c r="AT80" s="8">
        <f t="shared" ref="AT80:AT89" si="46">+AJ80+AL80+AN80-AP80+AR80</f>
        <v>2122067</v>
      </c>
      <c r="AU80" s="8"/>
      <c r="AV80" s="16">
        <v>0</v>
      </c>
      <c r="AW80" s="16"/>
      <c r="AX80" s="16">
        <v>0</v>
      </c>
      <c r="AY80" s="16"/>
      <c r="AZ80" s="16">
        <f t="shared" si="37"/>
        <v>3080850</v>
      </c>
      <c r="BB80" s="6" t="s">
        <v>96</v>
      </c>
      <c r="BC80" s="6"/>
      <c r="BD80" s="6" t="s">
        <v>15</v>
      </c>
      <c r="BE80" s="16"/>
      <c r="BF80" s="16">
        <f>6754241+354813</f>
        <v>7109054</v>
      </c>
      <c r="BG80" s="16"/>
      <c r="BH80" s="16">
        <v>0</v>
      </c>
      <c r="BI80" s="16"/>
      <c r="BJ80" s="16">
        <f>12107287+275484</f>
        <v>12382771</v>
      </c>
      <c r="BK80" s="16"/>
      <c r="BL80" s="16">
        <v>549566</v>
      </c>
      <c r="BM80" s="16"/>
      <c r="BN80" s="16">
        <f t="shared" si="3"/>
        <v>20041391</v>
      </c>
      <c r="BO80" s="17"/>
      <c r="BP80" s="6"/>
      <c r="BQ80" s="6"/>
      <c r="BR80" s="6"/>
    </row>
    <row r="81" spans="1:95" ht="12.75" customHeight="1" x14ac:dyDescent="0.2">
      <c r="A81" s="6" t="s">
        <v>97</v>
      </c>
      <c r="C81" s="6" t="s">
        <v>64</v>
      </c>
      <c r="E81" s="16">
        <v>2650809</v>
      </c>
      <c r="F81" s="16"/>
      <c r="G81" s="16">
        <v>10145633</v>
      </c>
      <c r="H81" s="16"/>
      <c r="I81" s="16">
        <f t="shared" si="43"/>
        <v>12796442</v>
      </c>
      <c r="J81" s="16"/>
      <c r="K81" s="16">
        <v>53214</v>
      </c>
      <c r="L81" s="16"/>
      <c r="M81" s="16">
        <v>45949</v>
      </c>
      <c r="N81" s="16"/>
      <c r="O81" s="16">
        <f t="shared" si="44"/>
        <v>99163</v>
      </c>
      <c r="P81" s="16"/>
      <c r="Q81" s="16">
        <v>10145633</v>
      </c>
      <c r="R81" s="16"/>
      <c r="S81" s="16">
        <v>0</v>
      </c>
      <c r="T81" s="16"/>
      <c r="U81" s="16">
        <v>2551646</v>
      </c>
      <c r="V81" s="16"/>
      <c r="W81" s="16">
        <f t="shared" si="0"/>
        <v>12697279</v>
      </c>
      <c r="X81" s="6"/>
      <c r="Y81" s="6"/>
      <c r="Z81" s="6" t="s">
        <v>97</v>
      </c>
      <c r="AA81" s="16"/>
      <c r="AB81" s="6" t="s">
        <v>64</v>
      </c>
      <c r="AD81" s="16">
        <v>1311523</v>
      </c>
      <c r="AE81" s="16"/>
      <c r="AF81" s="16">
        <f>1307354-484740</f>
        <v>822614</v>
      </c>
      <c r="AG81" s="16"/>
      <c r="AH81" s="16">
        <v>484740</v>
      </c>
      <c r="AI81" s="16"/>
      <c r="AJ81" s="8">
        <f t="shared" si="45"/>
        <v>4169</v>
      </c>
      <c r="AK81" s="8"/>
      <c r="AL81" s="16">
        <v>9522</v>
      </c>
      <c r="AM81" s="8"/>
      <c r="AN81" s="16">
        <v>0</v>
      </c>
      <c r="AO81" s="16"/>
      <c r="AP81" s="16">
        <v>0</v>
      </c>
      <c r="AQ81" s="16"/>
      <c r="AR81" s="16">
        <v>250350</v>
      </c>
      <c r="AS81" s="16"/>
      <c r="AT81" s="8">
        <f t="shared" si="46"/>
        <v>264041</v>
      </c>
      <c r="AU81" s="8"/>
      <c r="AV81" s="16">
        <v>0</v>
      </c>
      <c r="AW81" s="16"/>
      <c r="AX81" s="16">
        <v>0</v>
      </c>
      <c r="AY81" s="16"/>
      <c r="AZ81" s="16">
        <f t="shared" si="37"/>
        <v>2597595</v>
      </c>
      <c r="BB81" s="6" t="s">
        <v>97</v>
      </c>
      <c r="BC81" s="6"/>
      <c r="BD81" s="6" t="s">
        <v>64</v>
      </c>
      <c r="BE81" s="16"/>
      <c r="BF81" s="16">
        <v>0</v>
      </c>
      <c r="BG81" s="16"/>
      <c r="BH81" s="16">
        <v>0</v>
      </c>
      <c r="BI81" s="16"/>
      <c r="BJ81" s="16">
        <v>0</v>
      </c>
      <c r="BK81" s="16"/>
      <c r="BL81" s="16">
        <f>45949+16033</f>
        <v>61982</v>
      </c>
      <c r="BM81" s="16"/>
      <c r="BN81" s="16">
        <f t="shared" si="3"/>
        <v>61982</v>
      </c>
      <c r="BO81" s="17"/>
      <c r="BP81" s="6"/>
      <c r="BQ81" s="6"/>
      <c r="BR81" s="6"/>
    </row>
    <row r="82" spans="1:95" ht="12.75" customHeight="1" x14ac:dyDescent="0.2">
      <c r="A82" s="6" t="s">
        <v>98</v>
      </c>
      <c r="C82" s="6" t="s">
        <v>25</v>
      </c>
      <c r="E82" s="16">
        <v>2572875</v>
      </c>
      <c r="F82" s="16"/>
      <c r="G82" s="16">
        <v>26536183</v>
      </c>
      <c r="H82" s="16"/>
      <c r="I82" s="16">
        <f t="shared" si="43"/>
        <v>29109058</v>
      </c>
      <c r="J82" s="16"/>
      <c r="K82" s="16">
        <v>820148</v>
      </c>
      <c r="L82" s="16"/>
      <c r="M82" s="16">
        <v>12025143</v>
      </c>
      <c r="N82" s="16"/>
      <c r="O82" s="16">
        <f t="shared" si="44"/>
        <v>12845291</v>
      </c>
      <c r="P82" s="16"/>
      <c r="Q82" s="16">
        <v>13861992</v>
      </c>
      <c r="R82" s="16"/>
      <c r="S82" s="16">
        <v>0</v>
      </c>
      <c r="T82" s="16"/>
      <c r="U82" s="16">
        <v>2543581</v>
      </c>
      <c r="V82" s="16"/>
      <c r="W82" s="16">
        <f>SUM(Q82:U82)</f>
        <v>16405573</v>
      </c>
      <c r="Z82" s="6" t="s">
        <v>98</v>
      </c>
      <c r="AA82" s="16"/>
      <c r="AB82" s="6" t="s">
        <v>25</v>
      </c>
      <c r="AD82" s="16">
        <v>2908163</v>
      </c>
      <c r="AE82" s="16"/>
      <c r="AF82" s="16">
        <f>1083529-1083529</f>
        <v>0</v>
      </c>
      <c r="AG82" s="16"/>
      <c r="AH82" s="16">
        <v>1083529</v>
      </c>
      <c r="AI82" s="16"/>
      <c r="AJ82" s="8">
        <f t="shared" si="45"/>
        <v>1824634</v>
      </c>
      <c r="AK82" s="8"/>
      <c r="AL82" s="16">
        <v>-350081</v>
      </c>
      <c r="AM82" s="8"/>
      <c r="AN82" s="16">
        <v>0</v>
      </c>
      <c r="AO82" s="16"/>
      <c r="AP82" s="16">
        <v>4127880</v>
      </c>
      <c r="AQ82" s="16"/>
      <c r="AR82" s="16">
        <v>0</v>
      </c>
      <c r="AS82" s="16"/>
      <c r="AT82" s="8">
        <f t="shared" si="46"/>
        <v>-2653327</v>
      </c>
      <c r="AU82" s="8"/>
      <c r="AV82" s="16">
        <v>0</v>
      </c>
      <c r="AW82" s="16"/>
      <c r="AX82" s="16">
        <v>0</v>
      </c>
      <c r="AY82" s="16"/>
      <c r="AZ82" s="16">
        <f t="shared" si="37"/>
        <v>1752727</v>
      </c>
      <c r="BB82" s="6" t="s">
        <v>98</v>
      </c>
      <c r="BC82" s="6"/>
      <c r="BD82" s="6" t="s">
        <v>25</v>
      </c>
      <c r="BE82" s="16"/>
      <c r="BF82" s="16">
        <f>8699000+552000</f>
        <v>9251000</v>
      </c>
      <c r="BG82" s="16"/>
      <c r="BH82" s="16">
        <v>0</v>
      </c>
      <c r="BI82" s="16"/>
      <c r="BJ82" s="16">
        <f>3201621+238854</f>
        <v>3440475</v>
      </c>
      <c r="BK82" s="16"/>
      <c r="BL82" s="16">
        <v>124522</v>
      </c>
      <c r="BM82" s="16"/>
      <c r="BN82" s="16">
        <f>SUM(BF82:BL82)</f>
        <v>12815997</v>
      </c>
      <c r="BO82" s="17"/>
      <c r="BP82" s="6"/>
      <c r="BQ82" s="6"/>
      <c r="BR82" s="6"/>
    </row>
    <row r="83" spans="1:95" ht="12.75" customHeight="1" x14ac:dyDescent="0.2">
      <c r="A83" s="6" t="s">
        <v>99</v>
      </c>
      <c r="C83" s="6" t="s">
        <v>28</v>
      </c>
      <c r="E83" s="16">
        <v>6047196</v>
      </c>
      <c r="F83" s="16"/>
      <c r="G83" s="16">
        <v>7738500</v>
      </c>
      <c r="H83" s="16"/>
      <c r="I83" s="16">
        <f t="shared" si="43"/>
        <v>13785696</v>
      </c>
      <c r="J83" s="16"/>
      <c r="K83" s="16">
        <v>798905</v>
      </c>
      <c r="L83" s="16"/>
      <c r="M83" s="16">
        <v>5124508</v>
      </c>
      <c r="N83" s="16"/>
      <c r="O83" s="16">
        <f t="shared" si="44"/>
        <v>5923413</v>
      </c>
      <c r="P83" s="16"/>
      <c r="Q83" s="16">
        <v>2308205</v>
      </c>
      <c r="R83" s="16"/>
      <c r="S83" s="16">
        <v>0</v>
      </c>
      <c r="T83" s="16"/>
      <c r="U83" s="16">
        <v>5554078</v>
      </c>
      <c r="V83" s="16"/>
      <c r="W83" s="16">
        <f>SUM(Q83:U83)</f>
        <v>7862283</v>
      </c>
      <c r="Z83" s="6" t="s">
        <v>99</v>
      </c>
      <c r="AA83" s="16"/>
      <c r="AB83" s="6" t="s">
        <v>28</v>
      </c>
      <c r="AC83" s="20"/>
      <c r="AD83" s="16">
        <v>4214442</v>
      </c>
      <c r="AE83" s="16"/>
      <c r="AF83" s="16">
        <f>3362039-606548</f>
        <v>2755491</v>
      </c>
      <c r="AG83" s="16"/>
      <c r="AH83" s="16">
        <v>606548</v>
      </c>
      <c r="AI83" s="16"/>
      <c r="AJ83" s="8">
        <f t="shared" si="45"/>
        <v>852403</v>
      </c>
      <c r="AK83" s="8"/>
      <c r="AL83" s="16">
        <v>-77364</v>
      </c>
      <c r="AM83" s="8"/>
      <c r="AN83" s="16">
        <v>0</v>
      </c>
      <c r="AO83" s="16"/>
      <c r="AP83" s="16">
        <v>0</v>
      </c>
      <c r="AQ83" s="16"/>
      <c r="AR83" s="16">
        <v>65235</v>
      </c>
      <c r="AS83" s="16"/>
      <c r="AT83" s="8">
        <f t="shared" si="46"/>
        <v>840274</v>
      </c>
      <c r="AU83" s="8"/>
      <c r="AV83" s="16">
        <v>0</v>
      </c>
      <c r="AW83" s="16"/>
      <c r="AX83" s="16">
        <v>0</v>
      </c>
      <c r="AY83" s="16"/>
      <c r="AZ83" s="16">
        <f t="shared" si="37"/>
        <v>5248291</v>
      </c>
      <c r="BB83" s="6" t="s">
        <v>99</v>
      </c>
      <c r="BC83" s="6"/>
      <c r="BD83" s="6" t="s">
        <v>28</v>
      </c>
      <c r="BE83" s="16"/>
      <c r="BF83" s="16">
        <f>778050+54600</f>
        <v>832650</v>
      </c>
      <c r="BG83" s="16"/>
      <c r="BH83" s="16">
        <v>0</v>
      </c>
      <c r="BI83" s="16"/>
      <c r="BJ83" s="16">
        <f>41714+46686</f>
        <v>88400</v>
      </c>
      <c r="BK83" s="16"/>
      <c r="BL83" s="16">
        <f>4274000+2701+28043+544+37980</f>
        <v>4343268</v>
      </c>
      <c r="BM83" s="16"/>
      <c r="BN83" s="16">
        <f>SUM(BF83:BL83)</f>
        <v>5264318</v>
      </c>
      <c r="BO83" s="17"/>
      <c r="BP83" s="6"/>
      <c r="BQ83" s="6"/>
      <c r="BR83" s="6"/>
    </row>
    <row r="84" spans="1:95" ht="12.75" customHeight="1" x14ac:dyDescent="0.2">
      <c r="A84" s="6" t="s">
        <v>100</v>
      </c>
      <c r="B84" s="20"/>
      <c r="C84" s="6" t="s">
        <v>101</v>
      </c>
      <c r="E84" s="16">
        <v>6345277</v>
      </c>
      <c r="F84" s="16"/>
      <c r="G84" s="16">
        <v>17656836</v>
      </c>
      <c r="H84" s="16"/>
      <c r="I84" s="16">
        <f t="shared" si="43"/>
        <v>24002113</v>
      </c>
      <c r="J84" s="16"/>
      <c r="K84" s="16">
        <v>734841</v>
      </c>
      <c r="L84" s="16"/>
      <c r="M84" s="16">
        <v>1390048</v>
      </c>
      <c r="N84" s="16"/>
      <c r="O84" s="16">
        <f t="shared" si="44"/>
        <v>2124889</v>
      </c>
      <c r="P84" s="16"/>
      <c r="Q84" s="16">
        <v>15923396</v>
      </c>
      <c r="R84" s="16"/>
      <c r="S84" s="16">
        <v>1018832</v>
      </c>
      <c r="T84" s="16"/>
      <c r="U84" s="16">
        <v>4934996</v>
      </c>
      <c r="V84" s="16"/>
      <c r="W84" s="16">
        <f t="shared" ref="W84:W89" si="47">SUM(Q84:U84)</f>
        <v>21877224</v>
      </c>
      <c r="X84" s="20"/>
      <c r="Y84" s="20"/>
      <c r="Z84" s="6" t="s">
        <v>100</v>
      </c>
      <c r="AA84" s="16"/>
      <c r="AB84" s="6" t="s">
        <v>101</v>
      </c>
      <c r="AC84" s="20"/>
      <c r="AD84" s="16">
        <v>4164250</v>
      </c>
      <c r="AE84" s="16"/>
      <c r="AF84" s="16">
        <v>4172477</v>
      </c>
      <c r="AG84" s="16"/>
      <c r="AH84" s="16">
        <v>0</v>
      </c>
      <c r="AI84" s="16"/>
      <c r="AJ84" s="8">
        <f t="shared" si="45"/>
        <v>-8227</v>
      </c>
      <c r="AK84" s="8"/>
      <c r="AL84" s="16">
        <v>-67451</v>
      </c>
      <c r="AM84" s="8"/>
      <c r="AN84" s="16">
        <v>0</v>
      </c>
      <c r="AO84" s="16"/>
      <c r="AP84" s="16">
        <v>0</v>
      </c>
      <c r="AQ84" s="16"/>
      <c r="AR84" s="16">
        <v>0</v>
      </c>
      <c r="AS84" s="16"/>
      <c r="AT84" s="8">
        <f t="shared" si="46"/>
        <v>-75678</v>
      </c>
      <c r="AU84" s="8"/>
      <c r="AV84" s="16">
        <v>0</v>
      </c>
      <c r="AW84" s="16"/>
      <c r="AX84" s="16">
        <v>0</v>
      </c>
      <c r="AY84" s="16"/>
      <c r="AZ84" s="16">
        <f t="shared" ref="AZ84:AZ89" si="48">E84-K84</f>
        <v>5610436</v>
      </c>
      <c r="BA84" s="20"/>
      <c r="BB84" s="6" t="s">
        <v>100</v>
      </c>
      <c r="BC84" s="6"/>
      <c r="BD84" s="6" t="s">
        <v>101</v>
      </c>
      <c r="BE84" s="16"/>
      <c r="BF84" s="16">
        <f>1179056+270000</f>
        <v>1449056</v>
      </c>
      <c r="BG84" s="16"/>
      <c r="BH84" s="16">
        <v>0</v>
      </c>
      <c r="BI84" s="16"/>
      <c r="BJ84" s="16">
        <v>0</v>
      </c>
      <c r="BK84" s="16"/>
      <c r="BL84" s="16">
        <f>210992+35618</f>
        <v>246610</v>
      </c>
      <c r="BM84" s="16"/>
      <c r="BN84" s="16">
        <f t="shared" ref="BN84:BN161" si="49">SUM(BF84:BL84)</f>
        <v>1695666</v>
      </c>
      <c r="BO84" s="17"/>
      <c r="BP84" s="6"/>
      <c r="BQ84" s="6"/>
      <c r="BR84" s="6"/>
    </row>
    <row r="85" spans="1:95" ht="12.75" hidden="1" customHeight="1" x14ac:dyDescent="0.2">
      <c r="A85" s="6" t="s">
        <v>102</v>
      </c>
      <c r="C85" s="6" t="s">
        <v>11</v>
      </c>
      <c r="E85" s="16">
        <f t="shared" ref="E85:E88" si="50">I85-G85</f>
        <v>0</v>
      </c>
      <c r="F85" s="16"/>
      <c r="G85" s="16"/>
      <c r="H85" s="16"/>
      <c r="I85" s="16"/>
      <c r="J85" s="16"/>
      <c r="K85" s="16">
        <f t="shared" ref="K85:K88" si="51">O85-M85</f>
        <v>0</v>
      </c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>
        <f t="shared" si="47"/>
        <v>0</v>
      </c>
      <c r="Z85" s="6" t="s">
        <v>102</v>
      </c>
      <c r="AA85" s="16"/>
      <c r="AB85" s="6" t="s">
        <v>11</v>
      </c>
      <c r="AD85" s="16"/>
      <c r="AE85" s="16"/>
      <c r="AF85" s="16"/>
      <c r="AG85" s="16"/>
      <c r="AH85" s="16"/>
      <c r="AI85" s="16"/>
      <c r="AJ85" s="8">
        <f t="shared" si="45"/>
        <v>0</v>
      </c>
      <c r="AK85" s="8"/>
      <c r="AL85" s="16"/>
      <c r="AM85" s="8"/>
      <c r="AN85" s="16"/>
      <c r="AO85" s="16"/>
      <c r="AP85" s="16"/>
      <c r="AQ85" s="16"/>
      <c r="AR85" s="16"/>
      <c r="AS85" s="16"/>
      <c r="AT85" s="8">
        <f t="shared" si="46"/>
        <v>0</v>
      </c>
      <c r="AU85" s="8"/>
      <c r="AV85" s="16">
        <v>0</v>
      </c>
      <c r="AW85" s="16"/>
      <c r="AX85" s="16">
        <v>0</v>
      </c>
      <c r="AY85" s="16"/>
      <c r="AZ85" s="16">
        <f t="shared" si="48"/>
        <v>0</v>
      </c>
      <c r="BB85" s="6" t="s">
        <v>102</v>
      </c>
      <c r="BC85" s="6"/>
      <c r="BD85" s="6" t="s">
        <v>11</v>
      </c>
      <c r="BE85" s="16"/>
      <c r="BF85" s="16"/>
      <c r="BG85" s="16"/>
      <c r="BH85" s="16"/>
      <c r="BI85" s="16"/>
      <c r="BJ85" s="16"/>
      <c r="BK85" s="16"/>
      <c r="BL85" s="16"/>
      <c r="BM85" s="16"/>
      <c r="BN85" s="16">
        <f t="shared" si="49"/>
        <v>0</v>
      </c>
      <c r="BO85" s="17"/>
      <c r="BQ85" s="6"/>
      <c r="BR85" s="6"/>
    </row>
    <row r="86" spans="1:95" ht="12.75" hidden="1" customHeight="1" x14ac:dyDescent="0.2">
      <c r="A86" s="6" t="s">
        <v>103</v>
      </c>
      <c r="C86" s="6" t="s">
        <v>25</v>
      </c>
      <c r="E86" s="16">
        <f t="shared" si="50"/>
        <v>0</v>
      </c>
      <c r="F86" s="16"/>
      <c r="G86" s="16"/>
      <c r="H86" s="16"/>
      <c r="I86" s="16"/>
      <c r="J86" s="16"/>
      <c r="K86" s="16">
        <f t="shared" si="51"/>
        <v>0</v>
      </c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>
        <f t="shared" si="47"/>
        <v>0</v>
      </c>
      <c r="Z86" s="6" t="s">
        <v>103</v>
      </c>
      <c r="AA86" s="16"/>
      <c r="AB86" s="6" t="s">
        <v>25</v>
      </c>
      <c r="AD86" s="16"/>
      <c r="AE86" s="16"/>
      <c r="AF86" s="16"/>
      <c r="AG86" s="16"/>
      <c r="AH86" s="16"/>
      <c r="AI86" s="16"/>
      <c r="AJ86" s="8">
        <f t="shared" si="45"/>
        <v>0</v>
      </c>
      <c r="AK86" s="8"/>
      <c r="AL86" s="16"/>
      <c r="AM86" s="8"/>
      <c r="AN86" s="16"/>
      <c r="AO86" s="16"/>
      <c r="AP86" s="16"/>
      <c r="AQ86" s="16"/>
      <c r="AR86" s="16"/>
      <c r="AS86" s="16"/>
      <c r="AT86" s="8">
        <f t="shared" si="46"/>
        <v>0</v>
      </c>
      <c r="AU86" s="8"/>
      <c r="AV86" s="16">
        <v>0</v>
      </c>
      <c r="AW86" s="16"/>
      <c r="AX86" s="16">
        <v>0</v>
      </c>
      <c r="AY86" s="16"/>
      <c r="AZ86" s="16">
        <f t="shared" si="48"/>
        <v>0</v>
      </c>
      <c r="BB86" s="6" t="s">
        <v>103</v>
      </c>
      <c r="BC86" s="6"/>
      <c r="BD86" s="6" t="s">
        <v>25</v>
      </c>
      <c r="BE86" s="16"/>
      <c r="BF86" s="16"/>
      <c r="BG86" s="16"/>
      <c r="BH86" s="16"/>
      <c r="BI86" s="16"/>
      <c r="BJ86" s="16"/>
      <c r="BK86" s="16"/>
      <c r="BL86" s="16"/>
      <c r="BM86" s="16"/>
      <c r="BN86" s="16">
        <f t="shared" si="49"/>
        <v>0</v>
      </c>
      <c r="BO86" s="17"/>
      <c r="BP86" s="6"/>
      <c r="BQ86" s="6"/>
      <c r="BR86" s="6"/>
    </row>
    <row r="87" spans="1:95" ht="12.75" customHeight="1" x14ac:dyDescent="0.2">
      <c r="A87" s="6" t="s">
        <v>104</v>
      </c>
      <c r="C87" s="6" t="s">
        <v>105</v>
      </c>
      <c r="E87" s="16">
        <v>8083826</v>
      </c>
      <c r="F87" s="16"/>
      <c r="G87" s="16">
        <v>53669575</v>
      </c>
      <c r="H87" s="16"/>
      <c r="I87" s="16">
        <f>+E87+G87</f>
        <v>61753401</v>
      </c>
      <c r="J87" s="16"/>
      <c r="K87" s="16">
        <v>2494289</v>
      </c>
      <c r="L87" s="16"/>
      <c r="M87" s="16">
        <v>6726674</v>
      </c>
      <c r="N87" s="16"/>
      <c r="O87" s="16">
        <f>+K87+M87</f>
        <v>9220963</v>
      </c>
      <c r="P87" s="16"/>
      <c r="Q87" s="16">
        <v>45474588</v>
      </c>
      <c r="R87" s="16"/>
      <c r="S87" s="16">
        <v>726431</v>
      </c>
      <c r="T87" s="16"/>
      <c r="U87" s="16">
        <v>6462317</v>
      </c>
      <c r="V87" s="16"/>
      <c r="W87" s="16">
        <f t="shared" si="47"/>
        <v>52663336</v>
      </c>
      <c r="X87" s="6"/>
      <c r="Y87" s="6"/>
      <c r="Z87" s="6" t="s">
        <v>104</v>
      </c>
      <c r="AA87" s="16"/>
      <c r="AB87" s="6" t="s">
        <v>105</v>
      </c>
      <c r="AD87" s="16">
        <v>8470333</v>
      </c>
      <c r="AE87" s="16"/>
      <c r="AF87" s="16">
        <f>5978833-1245868</f>
        <v>4732965</v>
      </c>
      <c r="AG87" s="16"/>
      <c r="AH87" s="16">
        <v>1245868</v>
      </c>
      <c r="AI87" s="16"/>
      <c r="AJ87" s="8">
        <f t="shared" si="45"/>
        <v>2491500</v>
      </c>
      <c r="AK87" s="8"/>
      <c r="AL87" s="16">
        <v>-178696</v>
      </c>
      <c r="AM87" s="8"/>
      <c r="AN87" s="16">
        <v>0</v>
      </c>
      <c r="AO87" s="16"/>
      <c r="AP87" s="16">
        <v>0</v>
      </c>
      <c r="AQ87" s="16"/>
      <c r="AR87" s="16">
        <v>300760</v>
      </c>
      <c r="AS87" s="16"/>
      <c r="AT87" s="8">
        <f t="shared" si="46"/>
        <v>2613564</v>
      </c>
      <c r="AU87" s="8"/>
      <c r="AV87" s="16">
        <v>0</v>
      </c>
      <c r="AW87" s="16"/>
      <c r="AX87" s="16">
        <v>0</v>
      </c>
      <c r="AY87" s="16"/>
      <c r="AZ87" s="16">
        <f t="shared" si="48"/>
        <v>5589537</v>
      </c>
      <c r="BA87" s="20"/>
      <c r="BB87" s="6" t="s">
        <v>104</v>
      </c>
      <c r="BC87" s="6"/>
      <c r="BD87" s="6" t="s">
        <v>105</v>
      </c>
      <c r="BE87" s="16"/>
      <c r="BF87" s="16">
        <f>3195506+630000</f>
        <v>3825506</v>
      </c>
      <c r="BG87" s="16"/>
      <c r="BH87" s="16">
        <v>0</v>
      </c>
      <c r="BI87" s="16"/>
      <c r="BJ87" s="16">
        <f>3531168+242780</f>
        <v>3773948</v>
      </c>
      <c r="BK87" s="16"/>
      <c r="BL87" s="16">
        <v>277345</v>
      </c>
      <c r="BM87" s="16"/>
      <c r="BN87" s="16">
        <f t="shared" si="49"/>
        <v>7876799</v>
      </c>
      <c r="BO87" s="17"/>
      <c r="BP87" s="6"/>
      <c r="BQ87" s="6"/>
      <c r="BR87" s="6"/>
    </row>
    <row r="88" spans="1:95" ht="12.75" hidden="1" customHeight="1" x14ac:dyDescent="0.2">
      <c r="A88" s="6" t="s">
        <v>106</v>
      </c>
      <c r="C88" s="6" t="s">
        <v>43</v>
      </c>
      <c r="E88" s="16">
        <f t="shared" si="50"/>
        <v>0</v>
      </c>
      <c r="F88" s="16"/>
      <c r="G88" s="16"/>
      <c r="H88" s="16"/>
      <c r="I88" s="16"/>
      <c r="J88" s="16"/>
      <c r="K88" s="16">
        <f t="shared" si="51"/>
        <v>0</v>
      </c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>
        <f t="shared" si="47"/>
        <v>0</v>
      </c>
      <c r="Z88" s="6" t="s">
        <v>106</v>
      </c>
      <c r="AA88" s="16"/>
      <c r="AB88" s="6" t="s">
        <v>43</v>
      </c>
      <c r="AD88" s="16"/>
      <c r="AE88" s="16"/>
      <c r="AF88" s="16"/>
      <c r="AG88" s="16"/>
      <c r="AH88" s="16"/>
      <c r="AI88" s="16"/>
      <c r="AJ88" s="8">
        <f t="shared" si="45"/>
        <v>0</v>
      </c>
      <c r="AK88" s="8"/>
      <c r="AL88" s="16"/>
      <c r="AM88" s="8"/>
      <c r="AN88" s="16"/>
      <c r="AO88" s="16"/>
      <c r="AP88" s="16"/>
      <c r="AQ88" s="16"/>
      <c r="AR88" s="16"/>
      <c r="AS88" s="16"/>
      <c r="AT88" s="8">
        <f t="shared" si="46"/>
        <v>0</v>
      </c>
      <c r="AU88" s="8"/>
      <c r="AV88" s="16">
        <v>0</v>
      </c>
      <c r="AW88" s="16"/>
      <c r="AX88" s="16">
        <v>0</v>
      </c>
      <c r="AY88" s="16"/>
      <c r="AZ88" s="16">
        <f t="shared" si="48"/>
        <v>0</v>
      </c>
      <c r="BB88" s="6" t="s">
        <v>106</v>
      </c>
      <c r="BC88" s="6"/>
      <c r="BD88" s="6" t="s">
        <v>43</v>
      </c>
      <c r="BE88" s="16"/>
      <c r="BF88" s="16"/>
      <c r="BG88" s="16"/>
      <c r="BH88" s="16"/>
      <c r="BI88" s="16"/>
      <c r="BJ88" s="16"/>
      <c r="BK88" s="16"/>
      <c r="BL88" s="16"/>
      <c r="BM88" s="16"/>
      <c r="BN88" s="16">
        <f t="shared" si="49"/>
        <v>0</v>
      </c>
      <c r="BO88" s="17"/>
      <c r="BP88" s="6"/>
      <c r="BQ88" s="6"/>
      <c r="BR88" s="6"/>
    </row>
    <row r="89" spans="1:95" ht="12.75" customHeight="1" x14ac:dyDescent="0.2">
      <c r="A89" s="6" t="s">
        <v>107</v>
      </c>
      <c r="B89" s="6"/>
      <c r="C89" s="6" t="s">
        <v>108</v>
      </c>
      <c r="E89" s="16">
        <v>631553</v>
      </c>
      <c r="F89" s="16"/>
      <c r="G89" s="16">
        <v>18594107</v>
      </c>
      <c r="H89" s="16"/>
      <c r="I89" s="16">
        <f t="shared" ref="I89:I114" si="52">+E89+G89</f>
        <v>19225660</v>
      </c>
      <c r="J89" s="16"/>
      <c r="K89" s="16">
        <v>341034</v>
      </c>
      <c r="L89" s="16"/>
      <c r="M89" s="16">
        <v>1809933</v>
      </c>
      <c r="N89" s="16"/>
      <c r="O89" s="16">
        <f t="shared" ref="O89:O114" si="53">+K89+M89</f>
        <v>2150967</v>
      </c>
      <c r="P89" s="16"/>
      <c r="Q89" s="16">
        <v>16828101</v>
      </c>
      <c r="R89" s="16"/>
      <c r="S89" s="16">
        <v>0</v>
      </c>
      <c r="T89" s="16"/>
      <c r="U89" s="16">
        <v>246592</v>
      </c>
      <c r="V89" s="16"/>
      <c r="W89" s="16">
        <f t="shared" si="47"/>
        <v>17074693</v>
      </c>
      <c r="X89" s="20"/>
      <c r="Y89" s="20"/>
      <c r="Z89" s="6" t="s">
        <v>107</v>
      </c>
      <c r="AA89" s="16"/>
      <c r="AB89" s="6" t="s">
        <v>108</v>
      </c>
      <c r="AC89" s="6"/>
      <c r="AD89" s="16">
        <v>2924635</v>
      </c>
      <c r="AE89" s="16"/>
      <c r="AF89" s="16">
        <f>2766073-389093</f>
        <v>2376980</v>
      </c>
      <c r="AG89" s="16"/>
      <c r="AH89" s="16">
        <v>389093</v>
      </c>
      <c r="AI89" s="16"/>
      <c r="AJ89" s="8">
        <f t="shared" si="45"/>
        <v>158562</v>
      </c>
      <c r="AK89" s="8"/>
      <c r="AL89" s="16">
        <v>-26743</v>
      </c>
      <c r="AM89" s="8"/>
      <c r="AN89" s="16">
        <v>0</v>
      </c>
      <c r="AO89" s="16"/>
      <c r="AP89" s="16">
        <v>0</v>
      </c>
      <c r="AQ89" s="16"/>
      <c r="AR89" s="16">
        <v>0</v>
      </c>
      <c r="AS89" s="16"/>
      <c r="AT89" s="8">
        <f t="shared" si="46"/>
        <v>131819</v>
      </c>
      <c r="AU89" s="8"/>
      <c r="AV89" s="16">
        <v>0</v>
      </c>
      <c r="AW89" s="16"/>
      <c r="AX89" s="16">
        <v>0</v>
      </c>
      <c r="AY89" s="16"/>
      <c r="AZ89" s="16">
        <f t="shared" si="48"/>
        <v>290519</v>
      </c>
      <c r="BA89" s="20"/>
      <c r="BB89" s="6" t="s">
        <v>107</v>
      </c>
      <c r="BC89" s="6"/>
      <c r="BD89" s="6" t="s">
        <v>108</v>
      </c>
      <c r="BE89" s="16"/>
      <c r="BF89" s="16">
        <v>0</v>
      </c>
      <c r="BG89" s="16"/>
      <c r="BH89" s="16">
        <v>0</v>
      </c>
      <c r="BI89" s="16"/>
      <c r="BJ89" s="16">
        <f>1417929+254595+59202+34279</f>
        <v>1766005</v>
      </c>
      <c r="BK89" s="16"/>
      <c r="BL89" s="16">
        <f>94348+137409</f>
        <v>231757</v>
      </c>
      <c r="BM89" s="16"/>
      <c r="BN89" s="16">
        <f t="shared" si="49"/>
        <v>1997762</v>
      </c>
      <c r="BO89" s="17"/>
      <c r="BP89" s="6"/>
      <c r="BQ89" s="6"/>
      <c r="BR89" s="6"/>
    </row>
    <row r="90" spans="1:95" s="19" customFormat="1" ht="12.75" customHeight="1" x14ac:dyDescent="0.2">
      <c r="A90" s="19" t="s">
        <v>41</v>
      </c>
      <c r="B90" s="21"/>
      <c r="C90" s="19" t="s">
        <v>109</v>
      </c>
      <c r="D90" s="9"/>
      <c r="E90" s="16">
        <v>2088140</v>
      </c>
      <c r="F90" s="16"/>
      <c r="G90" s="16">
        <v>10073270</v>
      </c>
      <c r="H90" s="16"/>
      <c r="I90" s="16">
        <f t="shared" si="52"/>
        <v>12161410</v>
      </c>
      <c r="J90" s="16"/>
      <c r="K90" s="16">
        <v>823312</v>
      </c>
      <c r="L90" s="16"/>
      <c r="M90" s="16">
        <v>6026568</v>
      </c>
      <c r="N90" s="16"/>
      <c r="O90" s="16">
        <f t="shared" si="53"/>
        <v>6849880</v>
      </c>
      <c r="P90" s="16"/>
      <c r="Q90" s="16">
        <v>3288472</v>
      </c>
      <c r="R90" s="16"/>
      <c r="S90" s="16">
        <f>615677+277630</f>
        <v>893307</v>
      </c>
      <c r="T90" s="16"/>
      <c r="U90" s="16">
        <v>1150523</v>
      </c>
      <c r="V90" s="16"/>
      <c r="W90" s="16">
        <f t="shared" ref="W90:W114" si="54">SUM(Q90:U90)</f>
        <v>5332302</v>
      </c>
      <c r="X90" s="21"/>
      <c r="Y90" s="21"/>
      <c r="Z90" s="19" t="s">
        <v>41</v>
      </c>
      <c r="AA90" s="28"/>
      <c r="AB90" s="19" t="s">
        <v>109</v>
      </c>
      <c r="AC90" s="21"/>
      <c r="AD90" s="16">
        <v>2513865</v>
      </c>
      <c r="AE90" s="16"/>
      <c r="AF90" s="16">
        <f>1339177-124539</f>
        <v>1214638</v>
      </c>
      <c r="AG90" s="16"/>
      <c r="AH90" s="16">
        <v>124539</v>
      </c>
      <c r="AI90" s="16"/>
      <c r="AJ90" s="8">
        <f t="shared" ref="AJ90:AJ114" si="55">+AD90-AF90-AH90</f>
        <v>1174688</v>
      </c>
      <c r="AK90" s="8"/>
      <c r="AL90" s="16">
        <v>-420837</v>
      </c>
      <c r="AM90" s="8"/>
      <c r="AN90" s="16">
        <v>15000</v>
      </c>
      <c r="AO90" s="16"/>
      <c r="AP90" s="16">
        <v>239026</v>
      </c>
      <c r="AQ90" s="16"/>
      <c r="AR90" s="16">
        <v>0</v>
      </c>
      <c r="AS90" s="16"/>
      <c r="AT90" s="8">
        <f t="shared" ref="AT90:AT114" si="56">+AJ90+AL90+AN90-AP90+AR90</f>
        <v>529825</v>
      </c>
      <c r="AU90" s="8"/>
      <c r="AV90" s="16">
        <v>0</v>
      </c>
      <c r="AW90" s="16"/>
      <c r="AX90" s="16">
        <v>0</v>
      </c>
      <c r="AY90" s="16"/>
      <c r="AZ90" s="16">
        <f t="shared" ref="AZ90:AZ114" si="57">E90-K90</f>
        <v>1264828</v>
      </c>
      <c r="BA90" s="21"/>
      <c r="BB90" s="19" t="s">
        <v>41</v>
      </c>
      <c r="BD90" s="19" t="s">
        <v>109</v>
      </c>
      <c r="BE90" s="28"/>
      <c r="BF90" s="16">
        <v>0</v>
      </c>
      <c r="BG90" s="16"/>
      <c r="BH90" s="16">
        <f>3514265+430000</f>
        <v>3944265</v>
      </c>
      <c r="BI90" s="16"/>
      <c r="BJ90" s="16">
        <f>2402315+196360</f>
        <v>2598675</v>
      </c>
      <c r="BK90" s="16"/>
      <c r="BL90" s="16">
        <f>45223+64765+1701</f>
        <v>111689</v>
      </c>
      <c r="BM90" s="16"/>
      <c r="BN90" s="16">
        <f t="shared" ref="BN90:BN114" si="58">SUM(BF90:BL90)</f>
        <v>6654629</v>
      </c>
      <c r="BO90" s="37"/>
      <c r="BS90" s="36"/>
      <c r="BT90" s="36"/>
      <c r="BU90" s="41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</row>
    <row r="91" spans="1:95" ht="12.75" customHeight="1" x14ac:dyDescent="0.2">
      <c r="A91" s="6" t="s">
        <v>110</v>
      </c>
      <c r="B91" s="20"/>
      <c r="C91" s="6" t="s">
        <v>74</v>
      </c>
      <c r="E91" s="16">
        <f>4530161+877197+408921</f>
        <v>5816279</v>
      </c>
      <c r="F91" s="16"/>
      <c r="G91" s="16">
        <f>70800+64602814</f>
        <v>64673614</v>
      </c>
      <c r="H91" s="16"/>
      <c r="I91" s="16">
        <f t="shared" si="52"/>
        <v>70489893</v>
      </c>
      <c r="J91" s="16"/>
      <c r="K91" s="16">
        <v>856888</v>
      </c>
      <c r="L91" s="16"/>
      <c r="M91" s="16">
        <v>27422695</v>
      </c>
      <c r="N91" s="16"/>
      <c r="O91" s="16">
        <f t="shared" si="53"/>
        <v>28279583</v>
      </c>
      <c r="P91" s="16"/>
      <c r="Q91" s="16">
        <v>35502767</v>
      </c>
      <c r="R91" s="16"/>
      <c r="S91" s="16">
        <v>0</v>
      </c>
      <c r="T91" s="16"/>
      <c r="U91" s="16">
        <v>6707543</v>
      </c>
      <c r="V91" s="16"/>
      <c r="W91" s="16">
        <f t="shared" si="54"/>
        <v>42210310</v>
      </c>
      <c r="X91" s="20"/>
      <c r="Y91" s="20"/>
      <c r="Z91" s="6" t="s">
        <v>110</v>
      </c>
      <c r="AA91" s="16"/>
      <c r="AB91" s="6" t="s">
        <v>74</v>
      </c>
      <c r="AC91" s="20"/>
      <c r="AD91" s="16">
        <v>5955566</v>
      </c>
      <c r="AE91" s="16"/>
      <c r="AF91" s="16">
        <f>4198046-1368369</f>
        <v>2829677</v>
      </c>
      <c r="AG91" s="16"/>
      <c r="AH91" s="16">
        <v>1368369</v>
      </c>
      <c r="AI91" s="16"/>
      <c r="AJ91" s="8">
        <f t="shared" si="55"/>
        <v>1757520</v>
      </c>
      <c r="AK91" s="8"/>
      <c r="AL91" s="16">
        <f>-1066178+775</f>
        <v>-1065403</v>
      </c>
      <c r="AM91" s="8"/>
      <c r="AN91" s="16">
        <v>76486</v>
      </c>
      <c r="AO91" s="16"/>
      <c r="AP91" s="16">
        <v>0</v>
      </c>
      <c r="AQ91" s="16"/>
      <c r="AR91" s="16">
        <v>638604</v>
      </c>
      <c r="AS91" s="16"/>
      <c r="AT91" s="8">
        <f t="shared" si="56"/>
        <v>1407207</v>
      </c>
      <c r="AU91" s="8"/>
      <c r="AV91" s="16">
        <v>0</v>
      </c>
      <c r="AW91" s="16"/>
      <c r="AX91" s="16">
        <v>0</v>
      </c>
      <c r="AY91" s="16"/>
      <c r="AZ91" s="16">
        <f t="shared" si="57"/>
        <v>4959391</v>
      </c>
      <c r="BA91" s="20"/>
      <c r="BB91" s="6" t="s">
        <v>110</v>
      </c>
      <c r="BC91" s="6"/>
      <c r="BD91" s="6" t="s">
        <v>74</v>
      </c>
      <c r="BE91" s="16"/>
      <c r="BF91" s="16">
        <f>6325000+575000</f>
        <v>6900000</v>
      </c>
      <c r="BG91" s="16"/>
      <c r="BH91" s="16">
        <v>0</v>
      </c>
      <c r="BI91" s="16"/>
      <c r="BJ91" s="16">
        <v>20561070</v>
      </c>
      <c r="BK91" s="16"/>
      <c r="BL91" s="16">
        <f>131910+7469+404715</f>
        <v>544094</v>
      </c>
      <c r="BM91" s="16"/>
      <c r="BN91" s="16">
        <f t="shared" si="58"/>
        <v>28005164</v>
      </c>
      <c r="BO91" s="17"/>
      <c r="BP91" s="6"/>
      <c r="BQ91" s="6"/>
      <c r="BR91" s="6"/>
    </row>
    <row r="92" spans="1:95" ht="12.75" hidden="1" customHeight="1" x14ac:dyDescent="0.2">
      <c r="A92" s="6" t="s">
        <v>111</v>
      </c>
      <c r="C92" s="6" t="s">
        <v>41</v>
      </c>
      <c r="E92" s="16">
        <v>6882094</v>
      </c>
      <c r="F92" s="16"/>
      <c r="G92" s="16">
        <v>25202654</v>
      </c>
      <c r="H92" s="16"/>
      <c r="I92" s="16">
        <f t="shared" si="52"/>
        <v>32084748</v>
      </c>
      <c r="J92" s="16"/>
      <c r="K92" s="16">
        <v>2112263</v>
      </c>
      <c r="L92" s="16"/>
      <c r="M92" s="16">
        <v>290479</v>
      </c>
      <c r="N92" s="16"/>
      <c r="O92" s="16">
        <f t="shared" si="53"/>
        <v>2402742</v>
      </c>
      <c r="P92" s="16"/>
      <c r="Q92" s="16">
        <v>24899373</v>
      </c>
      <c r="R92" s="16"/>
      <c r="S92" s="16">
        <v>0</v>
      </c>
      <c r="T92" s="16"/>
      <c r="U92" s="16">
        <v>4782633</v>
      </c>
      <c r="V92" s="16"/>
      <c r="W92" s="16">
        <f t="shared" si="54"/>
        <v>29682006</v>
      </c>
      <c r="X92" s="21"/>
      <c r="Y92" s="21"/>
      <c r="Z92" s="6" t="s">
        <v>111</v>
      </c>
      <c r="AA92" s="16"/>
      <c r="AB92" s="6" t="s">
        <v>41</v>
      </c>
      <c r="AD92" s="16">
        <v>5880452</v>
      </c>
      <c r="AE92" s="16"/>
      <c r="AF92" s="16">
        <f>5916989-754660</f>
        <v>5162329</v>
      </c>
      <c r="AG92" s="16"/>
      <c r="AH92" s="16">
        <v>754660</v>
      </c>
      <c r="AI92" s="16"/>
      <c r="AJ92" s="8">
        <f t="shared" si="55"/>
        <v>-36537</v>
      </c>
      <c r="AK92" s="8"/>
      <c r="AL92" s="16">
        <v>-14458</v>
      </c>
      <c r="AM92" s="8"/>
      <c r="AN92" s="16">
        <v>0</v>
      </c>
      <c r="AO92" s="16"/>
      <c r="AP92" s="16">
        <v>0</v>
      </c>
      <c r="AQ92" s="16"/>
      <c r="AR92" s="16">
        <v>0</v>
      </c>
      <c r="AS92" s="16"/>
      <c r="AT92" s="8">
        <f t="shared" si="56"/>
        <v>-50995</v>
      </c>
      <c r="AU92" s="8"/>
      <c r="AV92" s="16">
        <v>0</v>
      </c>
      <c r="AW92" s="16"/>
      <c r="AX92" s="16">
        <v>0</v>
      </c>
      <c r="AY92" s="16"/>
      <c r="AZ92" s="16">
        <f t="shared" si="57"/>
        <v>4769831</v>
      </c>
      <c r="BA92" s="21"/>
      <c r="BB92" s="6" t="s">
        <v>111</v>
      </c>
      <c r="BC92" s="6"/>
      <c r="BD92" s="6" t="s">
        <v>41</v>
      </c>
      <c r="BE92" s="16"/>
      <c r="BF92" s="16">
        <f>290479+12802</f>
        <v>303281</v>
      </c>
      <c r="BG92" s="16"/>
      <c r="BH92" s="16">
        <v>0</v>
      </c>
      <c r="BI92" s="16"/>
      <c r="BJ92" s="16">
        <v>0</v>
      </c>
      <c r="BK92" s="16"/>
      <c r="BL92" s="16">
        <v>0</v>
      </c>
      <c r="BM92" s="16"/>
      <c r="BN92" s="16">
        <f t="shared" si="58"/>
        <v>303281</v>
      </c>
      <c r="BO92" s="17"/>
      <c r="BP92" s="6"/>
      <c r="BQ92" s="6"/>
      <c r="BR92" s="6"/>
    </row>
    <row r="93" spans="1:95" ht="12.75" customHeight="1" x14ac:dyDescent="0.2">
      <c r="A93" s="6" t="s">
        <v>483</v>
      </c>
      <c r="C93" s="6" t="s">
        <v>55</v>
      </c>
      <c r="E93" s="16">
        <v>3259852</v>
      </c>
      <c r="F93" s="16"/>
      <c r="G93" s="16">
        <v>7971328</v>
      </c>
      <c r="H93" s="16"/>
      <c r="I93" s="16">
        <f t="shared" si="52"/>
        <v>11231180</v>
      </c>
      <c r="J93" s="16"/>
      <c r="K93" s="16">
        <v>590441</v>
      </c>
      <c r="L93" s="16"/>
      <c r="M93" s="16">
        <v>6317890</v>
      </c>
      <c r="N93" s="16"/>
      <c r="O93" s="16">
        <f t="shared" si="53"/>
        <v>6908331</v>
      </c>
      <c r="P93" s="16"/>
      <c r="Q93" s="16">
        <v>1354329</v>
      </c>
      <c r="R93" s="16"/>
      <c r="S93" s="16">
        <v>0</v>
      </c>
      <c r="T93" s="16"/>
      <c r="U93" s="16">
        <v>2968520</v>
      </c>
      <c r="V93" s="16"/>
      <c r="W93" s="16">
        <f t="shared" si="54"/>
        <v>4322849</v>
      </c>
      <c r="Y93" s="21"/>
      <c r="Z93" s="6" t="s">
        <v>483</v>
      </c>
      <c r="AA93" s="16"/>
      <c r="AB93" s="6" t="s">
        <v>55</v>
      </c>
      <c r="AD93" s="16">
        <v>1973343</v>
      </c>
      <c r="AE93" s="16"/>
      <c r="AF93" s="16">
        <f>1662583-347080</f>
        <v>1315503</v>
      </c>
      <c r="AG93" s="16"/>
      <c r="AH93" s="16">
        <v>347080</v>
      </c>
      <c r="AI93" s="16"/>
      <c r="AJ93" s="8">
        <f t="shared" si="55"/>
        <v>310760</v>
      </c>
      <c r="AK93" s="8"/>
      <c r="AL93" s="16">
        <v>-202156</v>
      </c>
      <c r="AM93" s="8"/>
      <c r="AN93" s="16">
        <v>27286</v>
      </c>
      <c r="AO93" s="16"/>
      <c r="AP93" s="16">
        <v>13644</v>
      </c>
      <c r="AQ93" s="16"/>
      <c r="AR93" s="16">
        <v>0</v>
      </c>
      <c r="AS93" s="16"/>
      <c r="AT93" s="8">
        <f t="shared" si="56"/>
        <v>122246</v>
      </c>
      <c r="AU93" s="8"/>
      <c r="AV93" s="16">
        <v>0</v>
      </c>
      <c r="AW93" s="16"/>
      <c r="AX93" s="16">
        <v>0</v>
      </c>
      <c r="AY93" s="16"/>
      <c r="AZ93" s="16">
        <f t="shared" si="57"/>
        <v>2669411</v>
      </c>
      <c r="BB93" s="6" t="s">
        <v>483</v>
      </c>
      <c r="BC93" s="6"/>
      <c r="BD93" s="6" t="s">
        <v>55</v>
      </c>
      <c r="BE93" s="16"/>
      <c r="BF93" s="16">
        <v>0</v>
      </c>
      <c r="BG93" s="16"/>
      <c r="BH93" s="16">
        <v>0</v>
      </c>
      <c r="BI93" s="16"/>
      <c r="BJ93" s="16">
        <f>107220+6005847+10555+244471</f>
        <v>6368093</v>
      </c>
      <c r="BK93" s="16"/>
      <c r="BL93" s="16">
        <f>76169+128654+33687</f>
        <v>238510</v>
      </c>
      <c r="BM93" s="16"/>
      <c r="BN93" s="16">
        <f t="shared" si="58"/>
        <v>6606603</v>
      </c>
      <c r="BO93" s="17"/>
      <c r="BP93" s="6"/>
      <c r="BQ93" s="6"/>
      <c r="BR93" s="6"/>
    </row>
    <row r="94" spans="1:95" ht="12.75" hidden="1" customHeight="1" x14ac:dyDescent="0.2">
      <c r="A94" s="6" t="s">
        <v>112</v>
      </c>
      <c r="C94" s="6" t="s">
        <v>25</v>
      </c>
      <c r="E94" s="16">
        <v>0</v>
      </c>
      <c r="F94" s="16"/>
      <c r="G94" s="16"/>
      <c r="H94" s="16"/>
      <c r="I94" s="16">
        <f t="shared" si="52"/>
        <v>0</v>
      </c>
      <c r="J94" s="16"/>
      <c r="K94" s="16">
        <v>0</v>
      </c>
      <c r="L94" s="16"/>
      <c r="M94" s="16"/>
      <c r="N94" s="16"/>
      <c r="O94" s="16">
        <f t="shared" si="53"/>
        <v>0</v>
      </c>
      <c r="P94" s="16"/>
      <c r="Q94" s="16"/>
      <c r="R94" s="16"/>
      <c r="S94" s="16"/>
      <c r="T94" s="16"/>
      <c r="U94" s="16"/>
      <c r="V94" s="16"/>
      <c r="W94" s="16">
        <f t="shared" si="54"/>
        <v>0</v>
      </c>
      <c r="Z94" s="6" t="s">
        <v>112</v>
      </c>
      <c r="AA94" s="16"/>
      <c r="AB94" s="6" t="s">
        <v>25</v>
      </c>
      <c r="AD94" s="16"/>
      <c r="AE94" s="16"/>
      <c r="AF94" s="16"/>
      <c r="AG94" s="16"/>
      <c r="AH94" s="16"/>
      <c r="AI94" s="16"/>
      <c r="AJ94" s="8">
        <f t="shared" si="55"/>
        <v>0</v>
      </c>
      <c r="AK94" s="8"/>
      <c r="AL94" s="16"/>
      <c r="AM94" s="8"/>
      <c r="AN94" s="16"/>
      <c r="AO94" s="16"/>
      <c r="AP94" s="16"/>
      <c r="AQ94" s="16"/>
      <c r="AR94" s="16"/>
      <c r="AS94" s="16"/>
      <c r="AT94" s="8">
        <f t="shared" si="56"/>
        <v>0</v>
      </c>
      <c r="AU94" s="8"/>
      <c r="AV94" s="16">
        <v>0</v>
      </c>
      <c r="AW94" s="16"/>
      <c r="AX94" s="16">
        <v>0</v>
      </c>
      <c r="AY94" s="16"/>
      <c r="AZ94" s="16">
        <f t="shared" si="57"/>
        <v>0</v>
      </c>
      <c r="BB94" s="6" t="s">
        <v>112</v>
      </c>
      <c r="BC94" s="6"/>
      <c r="BD94" s="6" t="s">
        <v>25</v>
      </c>
      <c r="BE94" s="16"/>
      <c r="BF94" s="16"/>
      <c r="BG94" s="16"/>
      <c r="BH94" s="16"/>
      <c r="BI94" s="16"/>
      <c r="BJ94" s="16"/>
      <c r="BK94" s="16"/>
      <c r="BL94" s="16"/>
      <c r="BM94" s="16"/>
      <c r="BN94" s="16">
        <f t="shared" si="58"/>
        <v>0</v>
      </c>
      <c r="BO94" s="17"/>
      <c r="BP94" s="6"/>
      <c r="BQ94" s="6"/>
      <c r="BR94" s="6"/>
    </row>
    <row r="95" spans="1:95" ht="12.75" customHeight="1" x14ac:dyDescent="0.2">
      <c r="A95" s="6" t="s">
        <v>113</v>
      </c>
      <c r="B95" s="6"/>
      <c r="C95" s="6" t="s">
        <v>17</v>
      </c>
      <c r="E95" s="16">
        <v>734679</v>
      </c>
      <c r="F95" s="16"/>
      <c r="G95" s="16">
        <v>6450299</v>
      </c>
      <c r="H95" s="16"/>
      <c r="I95" s="16">
        <f t="shared" si="52"/>
        <v>7184978</v>
      </c>
      <c r="J95" s="16"/>
      <c r="K95" s="16">
        <v>260312</v>
      </c>
      <c r="L95" s="16"/>
      <c r="M95" s="16">
        <v>5191693</v>
      </c>
      <c r="N95" s="16"/>
      <c r="O95" s="16">
        <f t="shared" si="53"/>
        <v>5452005</v>
      </c>
      <c r="P95" s="16"/>
      <c r="Q95" s="16">
        <v>1041558</v>
      </c>
      <c r="R95" s="16"/>
      <c r="S95" s="16">
        <v>0</v>
      </c>
      <c r="T95" s="16"/>
      <c r="U95" s="16">
        <v>691415</v>
      </c>
      <c r="V95" s="16"/>
      <c r="W95" s="16">
        <f t="shared" si="54"/>
        <v>1732973</v>
      </c>
      <c r="Z95" s="6" t="s">
        <v>113</v>
      </c>
      <c r="AA95" s="16"/>
      <c r="AB95" s="6" t="s">
        <v>17</v>
      </c>
      <c r="AC95" s="6"/>
      <c r="AD95" s="16">
        <v>1320148</v>
      </c>
      <c r="AE95" s="16"/>
      <c r="AF95" s="16">
        <f>997613-156652</f>
        <v>840961</v>
      </c>
      <c r="AG95" s="16"/>
      <c r="AH95" s="16">
        <v>156652</v>
      </c>
      <c r="AI95" s="16"/>
      <c r="AJ95" s="8">
        <f t="shared" si="55"/>
        <v>322535</v>
      </c>
      <c r="AK95" s="8"/>
      <c r="AL95" s="16">
        <v>-249501</v>
      </c>
      <c r="AM95" s="8"/>
      <c r="AN95" s="16">
        <v>0</v>
      </c>
      <c r="AO95" s="16"/>
      <c r="AP95" s="16">
        <v>0</v>
      </c>
      <c r="AQ95" s="16"/>
      <c r="AR95" s="16">
        <v>0</v>
      </c>
      <c r="AS95" s="16"/>
      <c r="AT95" s="8">
        <f t="shared" si="56"/>
        <v>73034</v>
      </c>
      <c r="AU95" s="8"/>
      <c r="AV95" s="16">
        <v>0</v>
      </c>
      <c r="AW95" s="16"/>
      <c r="AX95" s="16">
        <v>0</v>
      </c>
      <c r="AY95" s="16"/>
      <c r="AZ95" s="16">
        <f t="shared" si="57"/>
        <v>474367</v>
      </c>
      <c r="BB95" s="6" t="s">
        <v>113</v>
      </c>
      <c r="BC95" s="6"/>
      <c r="BD95" s="6" t="s">
        <v>17</v>
      </c>
      <c r="BE95" s="16"/>
      <c r="BF95" s="16">
        <v>0</v>
      </c>
      <c r="BG95" s="16"/>
      <c r="BH95" s="16">
        <v>0</v>
      </c>
      <c r="BI95" s="16"/>
      <c r="BJ95" s="16">
        <f>41400+5150293+2300+214748</f>
        <v>5408741</v>
      </c>
      <c r="BK95" s="16"/>
      <c r="BL95" s="16">
        <v>0</v>
      </c>
      <c r="BM95" s="16"/>
      <c r="BN95" s="16">
        <f t="shared" si="58"/>
        <v>5408741</v>
      </c>
      <c r="BO95" s="17"/>
      <c r="BQ95" s="6"/>
      <c r="BR95" s="6"/>
    </row>
    <row r="96" spans="1:95" ht="12.75" customHeight="1" x14ac:dyDescent="0.2">
      <c r="A96" s="6" t="s">
        <v>114</v>
      </c>
      <c r="B96" s="20"/>
      <c r="C96" s="6" t="s">
        <v>78</v>
      </c>
      <c r="E96" s="16">
        <v>841032</v>
      </c>
      <c r="F96" s="16"/>
      <c r="G96" s="16">
        <v>3645549</v>
      </c>
      <c r="H96" s="16"/>
      <c r="I96" s="16">
        <f t="shared" si="52"/>
        <v>4486581</v>
      </c>
      <c r="J96" s="16"/>
      <c r="K96" s="16">
        <v>459113</v>
      </c>
      <c r="L96" s="16"/>
      <c r="M96" s="16">
        <v>707391</v>
      </c>
      <c r="N96" s="16"/>
      <c r="O96" s="16">
        <f t="shared" si="53"/>
        <v>1166504</v>
      </c>
      <c r="P96" s="16"/>
      <c r="Q96" s="16">
        <v>2704810</v>
      </c>
      <c r="R96" s="16"/>
      <c r="S96" s="16">
        <v>0</v>
      </c>
      <c r="T96" s="16"/>
      <c r="U96" s="16">
        <v>615267</v>
      </c>
      <c r="V96" s="16"/>
      <c r="W96" s="16">
        <f t="shared" si="54"/>
        <v>3320077</v>
      </c>
      <c r="X96" s="20"/>
      <c r="Y96" s="20"/>
      <c r="Z96" s="6" t="s">
        <v>114</v>
      </c>
      <c r="AA96" s="16"/>
      <c r="AB96" s="6" t="s">
        <v>78</v>
      </c>
      <c r="AC96" s="20"/>
      <c r="AD96" s="16">
        <v>3122715</v>
      </c>
      <c r="AE96" s="16"/>
      <c r="AF96" s="16">
        <f>2722333-37058</f>
        <v>2685275</v>
      </c>
      <c r="AG96" s="16"/>
      <c r="AH96" s="16">
        <v>37058</v>
      </c>
      <c r="AI96" s="16"/>
      <c r="AJ96" s="8">
        <f t="shared" si="55"/>
        <v>400382</v>
      </c>
      <c r="AK96" s="8"/>
      <c r="AL96" s="16">
        <v>-73999</v>
      </c>
      <c r="AM96" s="8"/>
      <c r="AN96" s="16">
        <v>0</v>
      </c>
      <c r="AO96" s="16"/>
      <c r="AP96" s="16">
        <v>0</v>
      </c>
      <c r="AQ96" s="16"/>
      <c r="AR96" s="16">
        <v>0</v>
      </c>
      <c r="AS96" s="16"/>
      <c r="AT96" s="8">
        <f t="shared" si="56"/>
        <v>326383</v>
      </c>
      <c r="AU96" s="8"/>
      <c r="AV96" s="16">
        <v>0</v>
      </c>
      <c r="AW96" s="16"/>
      <c r="AX96" s="16">
        <v>0</v>
      </c>
      <c r="AY96" s="16"/>
      <c r="AZ96" s="16">
        <f t="shared" si="57"/>
        <v>381919</v>
      </c>
      <c r="BA96" s="20"/>
      <c r="BB96" s="6" t="s">
        <v>114</v>
      </c>
      <c r="BC96" s="6"/>
      <c r="BD96" s="6" t="s">
        <v>78</v>
      </c>
      <c r="BE96" s="16"/>
      <c r="BF96" s="16">
        <v>0</v>
      </c>
      <c r="BG96" s="16"/>
      <c r="BH96" s="16">
        <v>0</v>
      </c>
      <c r="BI96" s="16"/>
      <c r="BJ96" s="16">
        <f>685344+255395</f>
        <v>940739</v>
      </c>
      <c r="BK96" s="16"/>
      <c r="BL96" s="16">
        <f>896+22047</f>
        <v>22943</v>
      </c>
      <c r="BM96" s="16"/>
      <c r="BN96" s="16">
        <f t="shared" si="58"/>
        <v>963682</v>
      </c>
      <c r="BO96" s="17"/>
      <c r="BP96" s="6"/>
      <c r="BQ96" s="6"/>
      <c r="BR96" s="6"/>
    </row>
    <row r="97" spans="1:70" ht="12.75" hidden="1" customHeight="1" x14ac:dyDescent="0.2">
      <c r="A97" s="7" t="s">
        <v>115</v>
      </c>
      <c r="C97" s="6" t="s">
        <v>41</v>
      </c>
      <c r="E97" s="16">
        <v>0</v>
      </c>
      <c r="F97" s="16"/>
      <c r="G97" s="16"/>
      <c r="H97" s="16"/>
      <c r="I97" s="16">
        <f t="shared" si="52"/>
        <v>0</v>
      </c>
      <c r="J97" s="16"/>
      <c r="K97" s="16">
        <v>0</v>
      </c>
      <c r="L97" s="16"/>
      <c r="M97" s="16"/>
      <c r="N97" s="16"/>
      <c r="O97" s="16">
        <f t="shared" si="53"/>
        <v>0</v>
      </c>
      <c r="P97" s="16"/>
      <c r="Q97" s="16"/>
      <c r="R97" s="16"/>
      <c r="S97" s="16"/>
      <c r="T97" s="16"/>
      <c r="U97" s="16"/>
      <c r="V97" s="16"/>
      <c r="W97" s="16">
        <f t="shared" si="54"/>
        <v>0</v>
      </c>
      <c r="Z97" s="7" t="s">
        <v>115</v>
      </c>
      <c r="AA97" s="16"/>
      <c r="AB97" s="6" t="s">
        <v>41</v>
      </c>
      <c r="AD97" s="16"/>
      <c r="AE97" s="16"/>
      <c r="AF97" s="16"/>
      <c r="AG97" s="16"/>
      <c r="AH97" s="16"/>
      <c r="AI97" s="16"/>
      <c r="AJ97" s="8">
        <f t="shared" si="55"/>
        <v>0</v>
      </c>
      <c r="AK97" s="8"/>
      <c r="AL97" s="16"/>
      <c r="AM97" s="8"/>
      <c r="AN97" s="16"/>
      <c r="AO97" s="16"/>
      <c r="AP97" s="16"/>
      <c r="AQ97" s="16"/>
      <c r="AR97" s="16"/>
      <c r="AS97" s="16"/>
      <c r="AT97" s="8">
        <f t="shared" si="56"/>
        <v>0</v>
      </c>
      <c r="AU97" s="8"/>
      <c r="AV97" s="16">
        <v>0</v>
      </c>
      <c r="AW97" s="16"/>
      <c r="AX97" s="16">
        <v>0</v>
      </c>
      <c r="AY97" s="16"/>
      <c r="AZ97" s="16">
        <f t="shared" si="57"/>
        <v>0</v>
      </c>
      <c r="BB97" s="7" t="s">
        <v>115</v>
      </c>
      <c r="BC97" s="6"/>
      <c r="BD97" s="6" t="s">
        <v>41</v>
      </c>
      <c r="BE97" s="16"/>
      <c r="BF97" s="16"/>
      <c r="BG97" s="16"/>
      <c r="BH97" s="16"/>
      <c r="BI97" s="16"/>
      <c r="BJ97" s="16"/>
      <c r="BK97" s="16"/>
      <c r="BL97" s="16"/>
      <c r="BM97" s="16"/>
      <c r="BN97" s="16">
        <f t="shared" si="58"/>
        <v>0</v>
      </c>
      <c r="BO97" s="17"/>
      <c r="BP97" s="6"/>
      <c r="BQ97" s="6"/>
      <c r="BR97" s="6"/>
    </row>
    <row r="98" spans="1:70" ht="12.75" hidden="1" customHeight="1" x14ac:dyDescent="0.2">
      <c r="A98" s="6" t="s">
        <v>116</v>
      </c>
      <c r="C98" s="6" t="s">
        <v>11</v>
      </c>
      <c r="E98" s="16">
        <v>0</v>
      </c>
      <c r="F98" s="16"/>
      <c r="G98" s="16"/>
      <c r="H98" s="16"/>
      <c r="I98" s="16">
        <f t="shared" si="52"/>
        <v>0</v>
      </c>
      <c r="J98" s="16"/>
      <c r="K98" s="16">
        <v>0</v>
      </c>
      <c r="L98" s="16"/>
      <c r="M98" s="16"/>
      <c r="N98" s="16"/>
      <c r="O98" s="16">
        <f t="shared" si="53"/>
        <v>0</v>
      </c>
      <c r="P98" s="16"/>
      <c r="Q98" s="16"/>
      <c r="R98" s="16"/>
      <c r="S98" s="16"/>
      <c r="T98" s="16"/>
      <c r="U98" s="16"/>
      <c r="V98" s="16"/>
      <c r="W98" s="16">
        <f t="shared" si="54"/>
        <v>0</v>
      </c>
      <c r="Z98" s="6" t="s">
        <v>116</v>
      </c>
      <c r="AA98" s="16"/>
      <c r="AB98" s="6" t="s">
        <v>11</v>
      </c>
      <c r="AD98" s="16"/>
      <c r="AE98" s="16"/>
      <c r="AF98" s="16"/>
      <c r="AG98" s="16"/>
      <c r="AH98" s="16"/>
      <c r="AI98" s="16"/>
      <c r="AJ98" s="8">
        <f t="shared" si="55"/>
        <v>0</v>
      </c>
      <c r="AK98" s="8"/>
      <c r="AL98" s="16"/>
      <c r="AM98" s="8"/>
      <c r="AN98" s="16"/>
      <c r="AO98" s="16"/>
      <c r="AP98" s="16"/>
      <c r="AQ98" s="16"/>
      <c r="AR98" s="16"/>
      <c r="AS98" s="16"/>
      <c r="AT98" s="8">
        <f t="shared" si="56"/>
        <v>0</v>
      </c>
      <c r="AU98" s="8"/>
      <c r="AV98" s="16">
        <v>0</v>
      </c>
      <c r="AW98" s="16"/>
      <c r="AX98" s="16">
        <v>0</v>
      </c>
      <c r="AY98" s="16"/>
      <c r="AZ98" s="16">
        <f t="shared" si="57"/>
        <v>0</v>
      </c>
      <c r="BB98" s="6" t="s">
        <v>116</v>
      </c>
      <c r="BC98" s="6"/>
      <c r="BD98" s="6" t="s">
        <v>11</v>
      </c>
      <c r="BE98" s="16"/>
      <c r="BF98" s="16"/>
      <c r="BG98" s="16"/>
      <c r="BH98" s="16"/>
      <c r="BI98" s="16"/>
      <c r="BJ98" s="16"/>
      <c r="BK98" s="16"/>
      <c r="BL98" s="16"/>
      <c r="BM98" s="16"/>
      <c r="BN98" s="16">
        <f t="shared" si="58"/>
        <v>0</v>
      </c>
      <c r="BO98" s="17"/>
      <c r="BP98" s="6"/>
      <c r="BQ98" s="6"/>
      <c r="BR98" s="6"/>
    </row>
    <row r="99" spans="1:70" ht="12.75" customHeight="1" x14ac:dyDescent="0.2">
      <c r="A99" s="6" t="s">
        <v>118</v>
      </c>
      <c r="C99" s="6" t="s">
        <v>119</v>
      </c>
      <c r="E99" s="16">
        <v>6472889</v>
      </c>
      <c r="F99" s="16"/>
      <c r="G99" s="16">
        <v>7426200</v>
      </c>
      <c r="H99" s="16"/>
      <c r="I99" s="16">
        <f t="shared" si="52"/>
        <v>13899089</v>
      </c>
      <c r="J99" s="16"/>
      <c r="K99" s="16">
        <v>106073</v>
      </c>
      <c r="L99" s="16"/>
      <c r="M99" s="16">
        <v>56324</v>
      </c>
      <c r="N99" s="16"/>
      <c r="O99" s="16">
        <f t="shared" si="53"/>
        <v>162397</v>
      </c>
      <c r="P99" s="16"/>
      <c r="Q99" s="16">
        <v>7426200</v>
      </c>
      <c r="R99" s="16"/>
      <c r="S99" s="16">
        <v>0</v>
      </c>
      <c r="T99" s="16"/>
      <c r="U99" s="16">
        <v>6310492</v>
      </c>
      <c r="V99" s="16"/>
      <c r="W99" s="16">
        <f t="shared" si="54"/>
        <v>13736692</v>
      </c>
      <c r="Z99" s="6" t="s">
        <v>118</v>
      </c>
      <c r="AA99" s="16"/>
      <c r="AB99" s="6" t="s">
        <v>119</v>
      </c>
      <c r="AD99" s="16">
        <f>2028298+3329860</f>
        <v>5358158</v>
      </c>
      <c r="AE99" s="16"/>
      <c r="AF99" s="16">
        <f>1888094-330857</f>
        <v>1557237</v>
      </c>
      <c r="AG99" s="16"/>
      <c r="AH99" s="16">
        <v>330857</v>
      </c>
      <c r="AI99" s="16"/>
      <c r="AJ99" s="8">
        <f t="shared" si="55"/>
        <v>3470064</v>
      </c>
      <c r="AK99" s="8"/>
      <c r="AL99" s="16">
        <v>2253</v>
      </c>
      <c r="AM99" s="8"/>
      <c r="AN99" s="16">
        <v>0</v>
      </c>
      <c r="AO99" s="16"/>
      <c r="AP99" s="16">
        <v>0</v>
      </c>
      <c r="AQ99" s="16"/>
      <c r="AR99" s="16">
        <v>0</v>
      </c>
      <c r="AS99" s="16"/>
      <c r="AT99" s="8">
        <f t="shared" si="56"/>
        <v>3472317</v>
      </c>
      <c r="AU99" s="8"/>
      <c r="AV99" s="16">
        <v>0</v>
      </c>
      <c r="AW99" s="16"/>
      <c r="AX99" s="16">
        <v>0</v>
      </c>
      <c r="AY99" s="16"/>
      <c r="AZ99" s="16">
        <f t="shared" si="57"/>
        <v>6366816</v>
      </c>
      <c r="BB99" s="6" t="s">
        <v>118</v>
      </c>
      <c r="BC99" s="6"/>
      <c r="BD99" s="6" t="s">
        <v>119</v>
      </c>
      <c r="BE99" s="16"/>
      <c r="BF99" s="16">
        <v>0</v>
      </c>
      <c r="BG99" s="16"/>
      <c r="BH99" s="16">
        <v>0</v>
      </c>
      <c r="BI99" s="16"/>
      <c r="BJ99" s="16">
        <v>0</v>
      </c>
      <c r="BK99" s="16"/>
      <c r="BL99" s="16">
        <f>56324+10339</f>
        <v>66663</v>
      </c>
      <c r="BM99" s="16"/>
      <c r="BN99" s="16">
        <f t="shared" si="58"/>
        <v>66663</v>
      </c>
      <c r="BO99" s="17"/>
      <c r="BP99" s="6"/>
      <c r="BQ99" s="6"/>
      <c r="BR99" s="6"/>
    </row>
    <row r="100" spans="1:70" ht="12.75" customHeight="1" x14ac:dyDescent="0.2">
      <c r="A100" s="6" t="s">
        <v>120</v>
      </c>
      <c r="C100" s="6" t="s">
        <v>41</v>
      </c>
      <c r="E100" s="16">
        <v>2627287</v>
      </c>
      <c r="F100" s="16"/>
      <c r="G100" s="16">
        <v>25181480</v>
      </c>
      <c r="H100" s="16"/>
      <c r="I100" s="16">
        <f t="shared" si="52"/>
        <v>27808767</v>
      </c>
      <c r="J100" s="16"/>
      <c r="K100" s="16">
        <v>53370</v>
      </c>
      <c r="L100" s="16"/>
      <c r="M100" s="16">
        <v>2878211</v>
      </c>
      <c r="N100" s="16"/>
      <c r="O100" s="16">
        <f t="shared" si="53"/>
        <v>2931581</v>
      </c>
      <c r="P100" s="16"/>
      <c r="Q100" s="16">
        <v>22256955</v>
      </c>
      <c r="R100" s="16"/>
      <c r="S100" s="16">
        <v>0</v>
      </c>
      <c r="T100" s="16"/>
      <c r="U100" s="16">
        <v>2620231</v>
      </c>
      <c r="V100" s="16"/>
      <c r="W100" s="16">
        <f t="shared" si="54"/>
        <v>24877186</v>
      </c>
      <c r="Z100" s="6" t="s">
        <v>120</v>
      </c>
      <c r="AA100" s="16"/>
      <c r="AB100" s="6" t="s">
        <v>41</v>
      </c>
      <c r="AD100" s="16">
        <v>649681</v>
      </c>
      <c r="AE100" s="16"/>
      <c r="AF100" s="16">
        <f>631845-631845</f>
        <v>0</v>
      </c>
      <c r="AG100" s="16"/>
      <c r="AH100" s="16">
        <v>631845</v>
      </c>
      <c r="AI100" s="16"/>
      <c r="AJ100" s="8">
        <f t="shared" si="55"/>
        <v>17836</v>
      </c>
      <c r="AK100" s="8"/>
      <c r="AL100" s="16">
        <v>-97592</v>
      </c>
      <c r="AM100" s="8"/>
      <c r="AN100" s="16">
        <v>0</v>
      </c>
      <c r="AO100" s="16"/>
      <c r="AP100" s="16">
        <v>0</v>
      </c>
      <c r="AQ100" s="16"/>
      <c r="AR100" s="16">
        <v>0</v>
      </c>
      <c r="AS100" s="16"/>
      <c r="AT100" s="8">
        <f t="shared" si="56"/>
        <v>-79756</v>
      </c>
      <c r="AU100" s="8"/>
      <c r="AV100" s="16">
        <v>0</v>
      </c>
      <c r="AW100" s="16"/>
      <c r="AX100" s="16">
        <v>0</v>
      </c>
      <c r="AY100" s="16"/>
      <c r="AZ100" s="16">
        <f t="shared" si="57"/>
        <v>2573917</v>
      </c>
      <c r="BB100" s="6" t="s">
        <v>120</v>
      </c>
      <c r="BC100" s="6"/>
      <c r="BD100" s="6" t="s">
        <v>41</v>
      </c>
      <c r="BE100" s="16"/>
      <c r="BF100" s="16">
        <v>0</v>
      </c>
      <c r="BG100" s="16"/>
      <c r="BH100" s="16">
        <v>0</v>
      </c>
      <c r="BI100" s="16"/>
      <c r="BJ100" s="16">
        <f>42104+2836107+21511+24803</f>
        <v>2924525</v>
      </c>
      <c r="BK100" s="16"/>
      <c r="BL100" s="16">
        <v>0</v>
      </c>
      <c r="BM100" s="16"/>
      <c r="BN100" s="16">
        <f t="shared" si="58"/>
        <v>2924525</v>
      </c>
      <c r="BO100" s="17"/>
      <c r="BP100" s="6"/>
      <c r="BQ100" s="6"/>
      <c r="BR100" s="6"/>
    </row>
    <row r="101" spans="1:70" ht="12.75" customHeight="1" x14ac:dyDescent="0.2">
      <c r="A101" s="6" t="s">
        <v>494</v>
      </c>
      <c r="C101" s="6" t="s">
        <v>41</v>
      </c>
      <c r="E101" s="16">
        <v>682703</v>
      </c>
      <c r="F101" s="16"/>
      <c r="G101" s="16">
        <v>5873792</v>
      </c>
      <c r="H101" s="16"/>
      <c r="I101" s="16">
        <f t="shared" si="52"/>
        <v>6556495</v>
      </c>
      <c r="J101" s="16"/>
      <c r="K101" s="16">
        <v>470533</v>
      </c>
      <c r="L101" s="16"/>
      <c r="M101" s="16">
        <v>29915</v>
      </c>
      <c r="N101" s="16"/>
      <c r="O101" s="16">
        <f t="shared" si="53"/>
        <v>500448</v>
      </c>
      <c r="P101" s="16"/>
      <c r="Q101" s="16">
        <v>5423792</v>
      </c>
      <c r="R101" s="16"/>
      <c r="S101" s="16">
        <v>0</v>
      </c>
      <c r="T101" s="16"/>
      <c r="U101" s="16">
        <v>632255</v>
      </c>
      <c r="V101" s="16"/>
      <c r="W101" s="16">
        <f t="shared" si="54"/>
        <v>6056047</v>
      </c>
      <c r="Z101" s="6" t="s">
        <v>494</v>
      </c>
      <c r="AA101" s="14"/>
      <c r="AB101" s="6" t="s">
        <v>41</v>
      </c>
      <c r="AD101" s="16">
        <v>345657</v>
      </c>
      <c r="AE101" s="16"/>
      <c r="AF101" s="16">
        <f>471309-169974</f>
        <v>301335</v>
      </c>
      <c r="AG101" s="16"/>
      <c r="AH101" s="16">
        <v>169974</v>
      </c>
      <c r="AI101" s="16"/>
      <c r="AJ101" s="8">
        <f t="shared" si="55"/>
        <v>-125652</v>
      </c>
      <c r="AK101" s="8"/>
      <c r="AL101" s="16">
        <v>-6175</v>
      </c>
      <c r="AM101" s="8"/>
      <c r="AN101" s="16">
        <v>0</v>
      </c>
      <c r="AO101" s="16"/>
      <c r="AP101" s="16">
        <v>0</v>
      </c>
      <c r="AQ101" s="16"/>
      <c r="AR101" s="16">
        <v>0</v>
      </c>
      <c r="AS101" s="16"/>
      <c r="AT101" s="8">
        <f t="shared" si="56"/>
        <v>-131827</v>
      </c>
      <c r="AU101" s="8"/>
      <c r="AV101" s="16"/>
      <c r="AW101" s="16"/>
      <c r="AX101" s="16"/>
      <c r="AY101" s="16"/>
      <c r="AZ101" s="16">
        <f t="shared" si="57"/>
        <v>212170</v>
      </c>
      <c r="BB101" s="6" t="s">
        <v>494</v>
      </c>
      <c r="BC101" s="14"/>
      <c r="BD101" s="6" t="s">
        <v>41</v>
      </c>
      <c r="BE101" s="16"/>
      <c r="BF101" s="16">
        <v>0</v>
      </c>
      <c r="BG101" s="16"/>
      <c r="BH101" s="16">
        <v>0</v>
      </c>
      <c r="BI101" s="16"/>
      <c r="BJ101" s="16">
        <v>0</v>
      </c>
      <c r="BK101" s="16"/>
      <c r="BL101" s="16">
        <f>29915+8566</f>
        <v>38481</v>
      </c>
      <c r="BM101" s="16"/>
      <c r="BN101" s="16">
        <f t="shared" si="58"/>
        <v>38481</v>
      </c>
      <c r="BO101" s="17"/>
      <c r="BP101" s="6"/>
      <c r="BQ101" s="6"/>
      <c r="BR101" s="6"/>
    </row>
    <row r="102" spans="1:70" ht="12.75" customHeight="1" x14ac:dyDescent="0.2">
      <c r="A102" s="7" t="s">
        <v>43</v>
      </c>
      <c r="C102" s="6" t="s">
        <v>101</v>
      </c>
      <c r="E102" s="16">
        <v>15472330</v>
      </c>
      <c r="F102" s="16"/>
      <c r="G102" s="16">
        <v>98931800</v>
      </c>
      <c r="H102" s="16"/>
      <c r="I102" s="16">
        <f t="shared" si="52"/>
        <v>114404130</v>
      </c>
      <c r="J102" s="16"/>
      <c r="K102" s="16">
        <v>9403273</v>
      </c>
      <c r="L102" s="16"/>
      <c r="M102" s="16">
        <v>24020655</v>
      </c>
      <c r="N102" s="16"/>
      <c r="O102" s="16">
        <f t="shared" si="53"/>
        <v>33423928</v>
      </c>
      <c r="P102" s="16"/>
      <c r="Q102" s="16">
        <v>71739620</v>
      </c>
      <c r="R102" s="16"/>
      <c r="S102" s="16">
        <f>559006+400000</f>
        <v>959006</v>
      </c>
      <c r="T102" s="16"/>
      <c r="U102" s="16">
        <v>9044644</v>
      </c>
      <c r="V102" s="16"/>
      <c r="W102" s="16">
        <f t="shared" si="54"/>
        <v>81743270</v>
      </c>
      <c r="Z102" s="7" t="s">
        <v>43</v>
      </c>
      <c r="AA102" s="16"/>
      <c r="AB102" s="6" t="s">
        <v>101</v>
      </c>
      <c r="AD102" s="16">
        <v>14749579</v>
      </c>
      <c r="AE102" s="16"/>
      <c r="AF102" s="16">
        <f>13617782-2748808</f>
        <v>10868974</v>
      </c>
      <c r="AG102" s="16"/>
      <c r="AH102" s="16">
        <v>2748808</v>
      </c>
      <c r="AI102" s="16"/>
      <c r="AJ102" s="8">
        <f t="shared" si="55"/>
        <v>1131797</v>
      </c>
      <c r="AK102" s="8"/>
      <c r="AL102" s="16">
        <v>-1242910</v>
      </c>
      <c r="AM102" s="8"/>
      <c r="AN102" s="16">
        <v>278695</v>
      </c>
      <c r="AO102" s="16"/>
      <c r="AP102" s="16">
        <v>0</v>
      </c>
      <c r="AQ102" s="16"/>
      <c r="AR102" s="16">
        <v>0</v>
      </c>
      <c r="AS102" s="16"/>
      <c r="AT102" s="8">
        <f t="shared" si="56"/>
        <v>167582</v>
      </c>
      <c r="AU102" s="8"/>
      <c r="AV102" s="16">
        <v>0</v>
      </c>
      <c r="AW102" s="16"/>
      <c r="AX102" s="16">
        <v>0</v>
      </c>
      <c r="AY102" s="16"/>
      <c r="AZ102" s="16">
        <f t="shared" si="57"/>
        <v>6069057</v>
      </c>
      <c r="BB102" s="7" t="s">
        <v>43</v>
      </c>
      <c r="BC102" s="6"/>
      <c r="BD102" s="6" t="s">
        <v>101</v>
      </c>
      <c r="BE102" s="16"/>
      <c r="BF102" s="16">
        <v>0</v>
      </c>
      <c r="BG102" s="16"/>
      <c r="BH102" s="16">
        <f>23641460+1065000</f>
        <v>24706460</v>
      </c>
      <c r="BI102" s="16"/>
      <c r="BJ102" s="16">
        <v>0</v>
      </c>
      <c r="BK102" s="16"/>
      <c r="BL102" s="16">
        <f>379195+278751</f>
        <v>657946</v>
      </c>
      <c r="BM102" s="16"/>
      <c r="BN102" s="16">
        <f t="shared" si="58"/>
        <v>25364406</v>
      </c>
      <c r="BO102" s="17"/>
      <c r="BP102" s="6"/>
      <c r="BQ102" s="6"/>
      <c r="BR102" s="6"/>
    </row>
    <row r="103" spans="1:70" ht="12.75" customHeight="1" x14ac:dyDescent="0.2">
      <c r="A103" s="7" t="s">
        <v>121</v>
      </c>
      <c r="C103" s="6" t="s">
        <v>43</v>
      </c>
      <c r="E103" s="16">
        <v>1480024</v>
      </c>
      <c r="F103" s="16"/>
      <c r="G103" s="16">
        <v>14449625</v>
      </c>
      <c r="H103" s="16"/>
      <c r="I103" s="16">
        <f t="shared" si="52"/>
        <v>15929649</v>
      </c>
      <c r="J103" s="16"/>
      <c r="K103" s="16">
        <v>542023</v>
      </c>
      <c r="L103" s="16"/>
      <c r="M103" s="16">
        <v>5012180</v>
      </c>
      <c r="N103" s="16"/>
      <c r="O103" s="16">
        <f t="shared" si="53"/>
        <v>5554203</v>
      </c>
      <c r="P103" s="16"/>
      <c r="Q103" s="16">
        <v>9090654</v>
      </c>
      <c r="R103" s="16"/>
      <c r="S103" s="16">
        <v>0</v>
      </c>
      <c r="T103" s="16"/>
      <c r="U103" s="16">
        <v>1284792</v>
      </c>
      <c r="V103" s="16"/>
      <c r="W103" s="16">
        <f t="shared" si="54"/>
        <v>10375446</v>
      </c>
      <c r="Z103" s="7" t="s">
        <v>121</v>
      </c>
      <c r="AA103" s="16"/>
      <c r="AB103" s="6" t="s">
        <v>43</v>
      </c>
      <c r="AD103" s="16">
        <v>1420419</v>
      </c>
      <c r="AE103" s="16"/>
      <c r="AF103" s="16">
        <f>1395256-440644</f>
        <v>954612</v>
      </c>
      <c r="AG103" s="16"/>
      <c r="AH103" s="16">
        <v>440644</v>
      </c>
      <c r="AI103" s="16"/>
      <c r="AJ103" s="8">
        <f t="shared" si="55"/>
        <v>25163</v>
      </c>
      <c r="AK103" s="8"/>
      <c r="AL103" s="16">
        <v>-205935</v>
      </c>
      <c r="AM103" s="8"/>
      <c r="AN103" s="16">
        <v>0</v>
      </c>
      <c r="AO103" s="16"/>
      <c r="AP103" s="16">
        <v>0</v>
      </c>
      <c r="AQ103" s="16"/>
      <c r="AR103" s="16">
        <v>0</v>
      </c>
      <c r="AS103" s="16"/>
      <c r="AT103" s="8">
        <f t="shared" si="56"/>
        <v>-180772</v>
      </c>
      <c r="AU103" s="8"/>
      <c r="AV103" s="16">
        <v>0</v>
      </c>
      <c r="AW103" s="16"/>
      <c r="AX103" s="16">
        <v>0</v>
      </c>
      <c r="AY103" s="16"/>
      <c r="AZ103" s="16">
        <f t="shared" si="57"/>
        <v>938001</v>
      </c>
      <c r="BB103" s="7" t="s">
        <v>121</v>
      </c>
      <c r="BC103" s="6"/>
      <c r="BD103" s="6" t="s">
        <v>43</v>
      </c>
      <c r="BE103" s="16"/>
      <c r="BF103" s="16">
        <v>0</v>
      </c>
      <c r="BG103" s="16"/>
      <c r="BH103" s="16">
        <v>0</v>
      </c>
      <c r="BI103" s="16"/>
      <c r="BJ103" s="16">
        <f>4917607+370688</f>
        <v>5288295</v>
      </c>
      <c r="BK103" s="16"/>
      <c r="BL103" s="16">
        <f>43891+26785+50682+3409</f>
        <v>124767</v>
      </c>
      <c r="BM103" s="16"/>
      <c r="BN103" s="16">
        <f t="shared" si="58"/>
        <v>5413062</v>
      </c>
      <c r="BO103" s="17"/>
      <c r="BP103" s="6"/>
      <c r="BQ103" s="6"/>
      <c r="BR103" s="6"/>
    </row>
    <row r="104" spans="1:70" ht="12.75" customHeight="1" x14ac:dyDescent="0.2">
      <c r="A104" s="6" t="s">
        <v>122</v>
      </c>
      <c r="C104" s="6" t="s">
        <v>123</v>
      </c>
      <c r="E104" s="16">
        <v>2459656</v>
      </c>
      <c r="F104" s="16"/>
      <c r="G104" s="16">
        <v>10788269</v>
      </c>
      <c r="H104" s="16"/>
      <c r="I104" s="16">
        <f t="shared" si="52"/>
        <v>13247925</v>
      </c>
      <c r="J104" s="16"/>
      <c r="K104" s="16">
        <v>1817635</v>
      </c>
      <c r="L104" s="16"/>
      <c r="M104" s="16">
        <v>1649975</v>
      </c>
      <c r="N104" s="16"/>
      <c r="O104" s="16">
        <f t="shared" si="53"/>
        <v>3467610</v>
      </c>
      <c r="P104" s="16"/>
      <c r="Q104" s="16">
        <v>7818269</v>
      </c>
      <c r="R104" s="16"/>
      <c r="S104" s="16">
        <v>0</v>
      </c>
      <c r="T104" s="16"/>
      <c r="U104" s="16">
        <v>1962046</v>
      </c>
      <c r="V104" s="16"/>
      <c r="W104" s="16">
        <f t="shared" si="54"/>
        <v>9780315</v>
      </c>
      <c r="Z104" s="6" t="s">
        <v>122</v>
      </c>
      <c r="AA104" s="16"/>
      <c r="AB104" s="6" t="s">
        <v>123</v>
      </c>
      <c r="AD104" s="16">
        <v>1989091</v>
      </c>
      <c r="AE104" s="16"/>
      <c r="AF104" s="16">
        <f>1591707-359596</f>
        <v>1232111</v>
      </c>
      <c r="AG104" s="16"/>
      <c r="AH104" s="16">
        <v>359596</v>
      </c>
      <c r="AI104" s="16"/>
      <c r="AJ104" s="8">
        <f t="shared" si="55"/>
        <v>397384</v>
      </c>
      <c r="AK104" s="8"/>
      <c r="AL104" s="16">
        <v>-64448</v>
      </c>
      <c r="AM104" s="8"/>
      <c r="AN104" s="16">
        <v>0</v>
      </c>
      <c r="AO104" s="16"/>
      <c r="AP104" s="16">
        <v>0</v>
      </c>
      <c r="AQ104" s="16"/>
      <c r="AR104" s="16">
        <v>424000</v>
      </c>
      <c r="AS104" s="16"/>
      <c r="AT104" s="8">
        <f t="shared" si="56"/>
        <v>756936</v>
      </c>
      <c r="AU104" s="8"/>
      <c r="AV104" s="16">
        <v>0</v>
      </c>
      <c r="AW104" s="16"/>
      <c r="AX104" s="16">
        <v>0</v>
      </c>
      <c r="AY104" s="16"/>
      <c r="AZ104" s="16">
        <f t="shared" si="57"/>
        <v>642021</v>
      </c>
      <c r="BB104" s="6" t="s">
        <v>122</v>
      </c>
      <c r="BC104" s="6"/>
      <c r="BD104" s="6" t="s">
        <v>123</v>
      </c>
      <c r="BE104" s="16"/>
      <c r="BF104" s="16">
        <f>1615000+255000</f>
        <v>1870000</v>
      </c>
      <c r="BG104" s="16"/>
      <c r="BH104" s="16">
        <v>0</v>
      </c>
      <c r="BI104" s="16"/>
      <c r="BJ104" s="16">
        <v>0</v>
      </c>
      <c r="BK104" s="16"/>
      <c r="BL104" s="16">
        <f>34975+8006</f>
        <v>42981</v>
      </c>
      <c r="BM104" s="16"/>
      <c r="BN104" s="16">
        <f t="shared" si="58"/>
        <v>1912981</v>
      </c>
      <c r="BO104" s="17"/>
      <c r="BP104" s="6"/>
      <c r="BQ104" s="6"/>
      <c r="BR104" s="6"/>
    </row>
    <row r="105" spans="1:70" ht="12.75" hidden="1" customHeight="1" x14ac:dyDescent="0.2">
      <c r="A105" s="6" t="s">
        <v>124</v>
      </c>
      <c r="C105" s="6" t="s">
        <v>25</v>
      </c>
      <c r="E105" s="16">
        <v>0</v>
      </c>
      <c r="F105" s="16"/>
      <c r="G105" s="16"/>
      <c r="H105" s="16"/>
      <c r="I105" s="16">
        <f t="shared" si="52"/>
        <v>0</v>
      </c>
      <c r="J105" s="16"/>
      <c r="K105" s="16">
        <v>0</v>
      </c>
      <c r="L105" s="16"/>
      <c r="M105" s="16"/>
      <c r="N105" s="16"/>
      <c r="O105" s="16">
        <f t="shared" si="53"/>
        <v>0</v>
      </c>
      <c r="P105" s="16"/>
      <c r="Q105" s="16"/>
      <c r="R105" s="16"/>
      <c r="S105" s="16"/>
      <c r="T105" s="16"/>
      <c r="U105" s="16"/>
      <c r="V105" s="16"/>
      <c r="W105" s="16">
        <f t="shared" si="54"/>
        <v>0</v>
      </c>
      <c r="Z105" s="6" t="s">
        <v>124</v>
      </c>
      <c r="AA105" s="16"/>
      <c r="AB105" s="6" t="s">
        <v>25</v>
      </c>
      <c r="AD105" s="16"/>
      <c r="AE105" s="16"/>
      <c r="AF105" s="16"/>
      <c r="AG105" s="16"/>
      <c r="AH105" s="16"/>
      <c r="AI105" s="16"/>
      <c r="AJ105" s="8">
        <f t="shared" si="55"/>
        <v>0</v>
      </c>
      <c r="AK105" s="8"/>
      <c r="AL105" s="16"/>
      <c r="AM105" s="8"/>
      <c r="AN105" s="16"/>
      <c r="AO105" s="16"/>
      <c r="AP105" s="16"/>
      <c r="AQ105" s="16"/>
      <c r="AR105" s="16"/>
      <c r="AS105" s="16"/>
      <c r="AT105" s="8">
        <f t="shared" si="56"/>
        <v>0</v>
      </c>
      <c r="AU105" s="8"/>
      <c r="AV105" s="16">
        <v>0</v>
      </c>
      <c r="AW105" s="16"/>
      <c r="AX105" s="16">
        <v>0</v>
      </c>
      <c r="AY105" s="16"/>
      <c r="AZ105" s="16">
        <f t="shared" si="57"/>
        <v>0</v>
      </c>
      <c r="BB105" s="6" t="s">
        <v>124</v>
      </c>
      <c r="BC105" s="6"/>
      <c r="BD105" s="6" t="s">
        <v>25</v>
      </c>
      <c r="BE105" s="16"/>
      <c r="BF105" s="16"/>
      <c r="BG105" s="16"/>
      <c r="BH105" s="16"/>
      <c r="BI105" s="16"/>
      <c r="BJ105" s="16"/>
      <c r="BK105" s="16"/>
      <c r="BL105" s="16"/>
      <c r="BM105" s="16"/>
      <c r="BN105" s="16">
        <f t="shared" si="58"/>
        <v>0</v>
      </c>
      <c r="BO105" s="17"/>
      <c r="BP105" s="6"/>
      <c r="BQ105" s="6"/>
      <c r="BR105" s="6"/>
    </row>
    <row r="106" spans="1:70" ht="12.75" hidden="1" customHeight="1" x14ac:dyDescent="0.2">
      <c r="A106" s="6" t="s">
        <v>125</v>
      </c>
      <c r="C106" s="6" t="s">
        <v>41</v>
      </c>
      <c r="E106" s="16">
        <v>0</v>
      </c>
      <c r="F106" s="16"/>
      <c r="G106" s="16"/>
      <c r="H106" s="16"/>
      <c r="I106" s="16">
        <f t="shared" si="52"/>
        <v>0</v>
      </c>
      <c r="J106" s="16"/>
      <c r="K106" s="16">
        <v>0</v>
      </c>
      <c r="L106" s="16"/>
      <c r="M106" s="16"/>
      <c r="N106" s="16"/>
      <c r="O106" s="16">
        <f t="shared" si="53"/>
        <v>0</v>
      </c>
      <c r="P106" s="16"/>
      <c r="Q106" s="16"/>
      <c r="R106" s="16"/>
      <c r="S106" s="16"/>
      <c r="T106" s="16"/>
      <c r="U106" s="16"/>
      <c r="V106" s="16"/>
      <c r="W106" s="16">
        <f t="shared" si="54"/>
        <v>0</v>
      </c>
      <c r="Z106" s="6" t="s">
        <v>125</v>
      </c>
      <c r="AA106" s="16"/>
      <c r="AB106" s="6" t="s">
        <v>41</v>
      </c>
      <c r="AD106" s="16"/>
      <c r="AE106" s="16"/>
      <c r="AF106" s="16"/>
      <c r="AG106" s="16"/>
      <c r="AH106" s="16"/>
      <c r="AI106" s="16"/>
      <c r="AJ106" s="8">
        <f t="shared" si="55"/>
        <v>0</v>
      </c>
      <c r="AK106" s="8"/>
      <c r="AL106" s="16"/>
      <c r="AM106" s="8"/>
      <c r="AN106" s="16"/>
      <c r="AO106" s="16"/>
      <c r="AP106" s="16"/>
      <c r="AQ106" s="16"/>
      <c r="AR106" s="16"/>
      <c r="AS106" s="16"/>
      <c r="AT106" s="8">
        <f t="shared" si="56"/>
        <v>0</v>
      </c>
      <c r="AU106" s="8"/>
      <c r="AV106" s="16">
        <v>0</v>
      </c>
      <c r="AW106" s="16"/>
      <c r="AX106" s="16">
        <v>0</v>
      </c>
      <c r="AY106" s="16"/>
      <c r="AZ106" s="16">
        <f t="shared" si="57"/>
        <v>0</v>
      </c>
      <c r="BB106" s="6" t="s">
        <v>125</v>
      </c>
      <c r="BC106" s="6"/>
      <c r="BD106" s="6" t="s">
        <v>41</v>
      </c>
      <c r="BE106" s="16"/>
      <c r="BF106" s="16"/>
      <c r="BG106" s="16"/>
      <c r="BH106" s="16"/>
      <c r="BI106" s="16"/>
      <c r="BJ106" s="16"/>
      <c r="BK106" s="16"/>
      <c r="BL106" s="16"/>
      <c r="BM106" s="16"/>
      <c r="BN106" s="16">
        <f t="shared" si="58"/>
        <v>0</v>
      </c>
      <c r="BO106" s="17"/>
      <c r="BP106" s="6"/>
      <c r="BQ106" s="6"/>
      <c r="BR106" s="6"/>
    </row>
    <row r="107" spans="1:70" ht="12.75" customHeight="1" x14ac:dyDescent="0.2">
      <c r="A107" s="6" t="s">
        <v>126</v>
      </c>
      <c r="C107" s="6" t="s">
        <v>117</v>
      </c>
      <c r="E107" s="16">
        <v>904252</v>
      </c>
      <c r="F107" s="16"/>
      <c r="G107" s="16">
        <v>7270273</v>
      </c>
      <c r="H107" s="16"/>
      <c r="I107" s="16">
        <f t="shared" si="52"/>
        <v>8174525</v>
      </c>
      <c r="J107" s="16"/>
      <c r="K107" s="16">
        <v>251919</v>
      </c>
      <c r="L107" s="16"/>
      <c r="M107" s="16">
        <v>5320150</v>
      </c>
      <c r="N107" s="16"/>
      <c r="O107" s="16">
        <f t="shared" si="53"/>
        <v>5572069</v>
      </c>
      <c r="P107" s="16"/>
      <c r="Q107" s="16">
        <v>1813663</v>
      </c>
      <c r="R107" s="16"/>
      <c r="S107" s="16">
        <v>0</v>
      </c>
      <c r="T107" s="16"/>
      <c r="U107" s="16">
        <v>788793</v>
      </c>
      <c r="V107" s="16"/>
      <c r="W107" s="16">
        <f t="shared" si="54"/>
        <v>2602456</v>
      </c>
      <c r="X107" s="6"/>
      <c r="Y107" s="6"/>
      <c r="Z107" s="6" t="s">
        <v>126</v>
      </c>
      <c r="AA107" s="16"/>
      <c r="AB107" s="6" t="s">
        <v>117</v>
      </c>
      <c r="AD107" s="16">
        <v>1569800</v>
      </c>
      <c r="AE107" s="16"/>
      <c r="AF107" s="16">
        <f>1306454-207263</f>
        <v>1099191</v>
      </c>
      <c r="AG107" s="16"/>
      <c r="AH107" s="16">
        <v>207263</v>
      </c>
      <c r="AI107" s="16"/>
      <c r="AJ107" s="8">
        <f t="shared" si="55"/>
        <v>263346</v>
      </c>
      <c r="AK107" s="8"/>
      <c r="AL107" s="16">
        <v>-178983</v>
      </c>
      <c r="AM107" s="8"/>
      <c r="AN107" s="16">
        <v>0</v>
      </c>
      <c r="AO107" s="16"/>
      <c r="AP107" s="16">
        <v>0</v>
      </c>
      <c r="AQ107" s="16"/>
      <c r="AR107" s="16">
        <v>0</v>
      </c>
      <c r="AS107" s="16"/>
      <c r="AT107" s="8">
        <f t="shared" si="56"/>
        <v>84363</v>
      </c>
      <c r="AU107" s="8"/>
      <c r="AV107" s="16">
        <v>0</v>
      </c>
      <c r="AW107" s="16"/>
      <c r="AX107" s="16">
        <v>0</v>
      </c>
      <c r="AY107" s="16"/>
      <c r="AZ107" s="16">
        <f t="shared" si="57"/>
        <v>652333</v>
      </c>
      <c r="BB107" s="6" t="s">
        <v>126</v>
      </c>
      <c r="BC107" s="6"/>
      <c r="BD107" s="6" t="s">
        <v>117</v>
      </c>
      <c r="BE107" s="16"/>
      <c r="BF107" s="16">
        <v>0</v>
      </c>
      <c r="BG107" s="16"/>
      <c r="BH107" s="16">
        <f>5297000+135000</f>
        <v>5432000</v>
      </c>
      <c r="BI107" s="16"/>
      <c r="BJ107" s="16">
        <v>0</v>
      </c>
      <c r="BK107" s="16"/>
      <c r="BL107" s="16">
        <f>14755+8395+16215+1268</f>
        <v>40633</v>
      </c>
      <c r="BM107" s="16"/>
      <c r="BN107" s="16">
        <f t="shared" si="58"/>
        <v>5472633</v>
      </c>
      <c r="BO107" s="17"/>
      <c r="BP107" s="6"/>
      <c r="BQ107" s="6"/>
      <c r="BR107" s="6"/>
    </row>
    <row r="108" spans="1:70" ht="12.75" customHeight="1" x14ac:dyDescent="0.2">
      <c r="A108" s="6" t="s">
        <v>127</v>
      </c>
      <c r="C108" s="6" t="s">
        <v>78</v>
      </c>
      <c r="E108" s="16">
        <v>1336134</v>
      </c>
      <c r="F108" s="16"/>
      <c r="G108" s="16">
        <v>4837065</v>
      </c>
      <c r="H108" s="16"/>
      <c r="I108" s="16">
        <f t="shared" si="52"/>
        <v>6173199</v>
      </c>
      <c r="J108" s="16"/>
      <c r="K108" s="16">
        <v>347665</v>
      </c>
      <c r="L108" s="16"/>
      <c r="M108" s="16">
        <v>1528765</v>
      </c>
      <c r="N108" s="16"/>
      <c r="O108" s="16">
        <f t="shared" si="53"/>
        <v>1876430</v>
      </c>
      <c r="P108" s="16"/>
      <c r="Q108" s="16">
        <v>3150317</v>
      </c>
      <c r="R108" s="16"/>
      <c r="S108" s="16">
        <v>0</v>
      </c>
      <c r="T108" s="16"/>
      <c r="U108" s="16">
        <v>1146452</v>
      </c>
      <c r="V108" s="16"/>
      <c r="W108" s="16">
        <f t="shared" si="54"/>
        <v>4296769</v>
      </c>
      <c r="Z108" s="6" t="s">
        <v>127</v>
      </c>
      <c r="AA108" s="16"/>
      <c r="AB108" s="6" t="s">
        <v>78</v>
      </c>
      <c r="AD108" s="16">
        <v>1768380</v>
      </c>
      <c r="AE108" s="16"/>
      <c r="AF108" s="16">
        <f>1398256-155202</f>
        <v>1243054</v>
      </c>
      <c r="AG108" s="16"/>
      <c r="AH108" s="16">
        <v>155202</v>
      </c>
      <c r="AI108" s="16"/>
      <c r="AJ108" s="8">
        <f t="shared" si="55"/>
        <v>370124</v>
      </c>
      <c r="AK108" s="8"/>
      <c r="AL108" s="16">
        <v>-81482</v>
      </c>
      <c r="AM108" s="8"/>
      <c r="AN108" s="16">
        <v>0</v>
      </c>
      <c r="AO108" s="16"/>
      <c r="AP108" s="16">
        <v>0</v>
      </c>
      <c r="AQ108" s="16"/>
      <c r="AR108" s="16">
        <v>0</v>
      </c>
      <c r="AS108" s="16"/>
      <c r="AT108" s="8">
        <f t="shared" si="56"/>
        <v>288642</v>
      </c>
      <c r="AU108" s="8"/>
      <c r="AV108" s="16">
        <v>0</v>
      </c>
      <c r="AW108" s="16"/>
      <c r="AX108" s="16">
        <v>0</v>
      </c>
      <c r="AY108" s="16"/>
      <c r="AZ108" s="16">
        <f t="shared" si="57"/>
        <v>988469</v>
      </c>
      <c r="BB108" s="6" t="s">
        <v>127</v>
      </c>
      <c r="BC108" s="6"/>
      <c r="BD108" s="6" t="s">
        <v>78</v>
      </c>
      <c r="BE108" s="16"/>
      <c r="BF108" s="16">
        <v>0</v>
      </c>
      <c r="BG108" s="16"/>
      <c r="BH108" s="16">
        <v>0</v>
      </c>
      <c r="BI108" s="16"/>
      <c r="BJ108" s="16">
        <f>1121089+386374+135068+44217</f>
        <v>1686748</v>
      </c>
      <c r="BK108" s="16"/>
      <c r="BL108" s="16">
        <f>21302+17611</f>
        <v>38913</v>
      </c>
      <c r="BM108" s="16"/>
      <c r="BN108" s="16">
        <f t="shared" si="58"/>
        <v>1725661</v>
      </c>
      <c r="BO108" s="17"/>
      <c r="BP108" s="6"/>
      <c r="BQ108" s="6"/>
      <c r="BR108" s="6"/>
    </row>
    <row r="109" spans="1:70" ht="12.75" customHeight="1" x14ac:dyDescent="0.2">
      <c r="A109" s="6" t="s">
        <v>128</v>
      </c>
      <c r="C109" s="6" t="s">
        <v>64</v>
      </c>
      <c r="E109" s="16">
        <v>8124588</v>
      </c>
      <c r="F109" s="16"/>
      <c r="G109" s="16">
        <v>31595606</v>
      </c>
      <c r="H109" s="16"/>
      <c r="I109" s="16">
        <f t="shared" si="52"/>
        <v>39720194</v>
      </c>
      <c r="J109" s="16"/>
      <c r="K109" s="16">
        <v>1573897</v>
      </c>
      <c r="L109" s="16"/>
      <c r="M109" s="16">
        <v>18029006</v>
      </c>
      <c r="N109" s="16"/>
      <c r="O109" s="16">
        <f t="shared" si="53"/>
        <v>19602903</v>
      </c>
      <c r="P109" s="16"/>
      <c r="Q109" s="16">
        <v>16880254</v>
      </c>
      <c r="R109" s="16"/>
      <c r="S109" s="16">
        <v>0</v>
      </c>
      <c r="T109" s="16"/>
      <c r="U109" s="16">
        <v>3237037</v>
      </c>
      <c r="V109" s="16"/>
      <c r="W109" s="16">
        <f t="shared" si="54"/>
        <v>20117291</v>
      </c>
      <c r="X109" s="6"/>
      <c r="Y109" s="6"/>
      <c r="Z109" s="6" t="s">
        <v>128</v>
      </c>
      <c r="AA109" s="16"/>
      <c r="AB109" s="6" t="s">
        <v>64</v>
      </c>
      <c r="AD109" s="16">
        <v>4570527</v>
      </c>
      <c r="AE109" s="16"/>
      <c r="AF109" s="16">
        <f>3414989-904010</f>
        <v>2510979</v>
      </c>
      <c r="AG109" s="16"/>
      <c r="AH109" s="16">
        <v>904010</v>
      </c>
      <c r="AI109" s="16"/>
      <c r="AJ109" s="8">
        <f t="shared" si="55"/>
        <v>1155538</v>
      </c>
      <c r="AK109" s="8"/>
      <c r="AL109" s="16">
        <v>-1039437</v>
      </c>
      <c r="AM109" s="8"/>
      <c r="AN109" s="16">
        <v>0</v>
      </c>
      <c r="AO109" s="16"/>
      <c r="AP109" s="16">
        <v>175943</v>
      </c>
      <c r="AQ109" s="16"/>
      <c r="AR109" s="16">
        <v>815948</v>
      </c>
      <c r="AS109" s="16"/>
      <c r="AT109" s="8">
        <f t="shared" si="56"/>
        <v>756106</v>
      </c>
      <c r="AU109" s="8"/>
      <c r="AV109" s="16">
        <v>0</v>
      </c>
      <c r="AW109" s="16"/>
      <c r="AX109" s="16">
        <v>0</v>
      </c>
      <c r="AY109" s="16"/>
      <c r="AZ109" s="16">
        <f t="shared" si="57"/>
        <v>6550691</v>
      </c>
      <c r="BB109" s="6" t="s">
        <v>128</v>
      </c>
      <c r="BC109" s="6"/>
      <c r="BD109" s="6" t="s">
        <v>64</v>
      </c>
      <c r="BE109" s="16"/>
      <c r="BF109" s="16">
        <v>0</v>
      </c>
      <c r="BG109" s="16"/>
      <c r="BH109" s="16">
        <f>18009960+1250000</f>
        <v>19259960</v>
      </c>
      <c r="BI109" s="16"/>
      <c r="BJ109" s="16">
        <v>0</v>
      </c>
      <c r="BK109" s="16"/>
      <c r="BL109" s="16">
        <f>19046+17329</f>
        <v>36375</v>
      </c>
      <c r="BM109" s="16"/>
      <c r="BN109" s="16">
        <f t="shared" si="58"/>
        <v>19296335</v>
      </c>
      <c r="BO109" s="17"/>
      <c r="BQ109" s="6"/>
      <c r="BR109" s="6"/>
    </row>
    <row r="110" spans="1:70" ht="12.75" customHeight="1" x14ac:dyDescent="0.2">
      <c r="A110" s="6" t="s">
        <v>129</v>
      </c>
      <c r="B110" s="6"/>
      <c r="C110" s="6" t="s">
        <v>11</v>
      </c>
      <c r="E110" s="16">
        <v>987141</v>
      </c>
      <c r="F110" s="16"/>
      <c r="G110" s="16">
        <v>9259656</v>
      </c>
      <c r="H110" s="16"/>
      <c r="I110" s="16">
        <f t="shared" si="52"/>
        <v>10246797</v>
      </c>
      <c r="J110" s="16"/>
      <c r="K110" s="16">
        <v>726843</v>
      </c>
      <c r="L110" s="16"/>
      <c r="M110" s="16">
        <v>4909571</v>
      </c>
      <c r="N110" s="16"/>
      <c r="O110" s="16">
        <f t="shared" si="53"/>
        <v>5636414</v>
      </c>
      <c r="P110" s="16"/>
      <c r="Q110" s="16">
        <v>3990981</v>
      </c>
      <c r="R110" s="16"/>
      <c r="S110" s="16">
        <v>0</v>
      </c>
      <c r="T110" s="16"/>
      <c r="U110" s="16">
        <v>619402</v>
      </c>
      <c r="V110" s="16"/>
      <c r="W110" s="16">
        <f t="shared" si="54"/>
        <v>4610383</v>
      </c>
      <c r="Z110" s="6" t="s">
        <v>129</v>
      </c>
      <c r="AA110" s="16"/>
      <c r="AB110" s="6" t="s">
        <v>11</v>
      </c>
      <c r="AC110" s="6"/>
      <c r="AD110" s="16">
        <v>1846200</v>
      </c>
      <c r="AE110" s="16"/>
      <c r="AF110" s="16">
        <f>1449759-336471</f>
        <v>1113288</v>
      </c>
      <c r="AG110" s="16"/>
      <c r="AH110" s="16">
        <v>336471</v>
      </c>
      <c r="AI110" s="16"/>
      <c r="AJ110" s="8">
        <f t="shared" si="55"/>
        <v>396441</v>
      </c>
      <c r="AK110" s="8"/>
      <c r="AL110" s="16">
        <v>-228191</v>
      </c>
      <c r="AM110" s="8"/>
      <c r="AN110" s="16">
        <v>0</v>
      </c>
      <c r="AO110" s="16"/>
      <c r="AP110" s="16">
        <v>0</v>
      </c>
      <c r="AQ110" s="16"/>
      <c r="AR110" s="16">
        <v>130000</v>
      </c>
      <c r="AS110" s="16"/>
      <c r="AT110" s="8">
        <f t="shared" si="56"/>
        <v>298250</v>
      </c>
      <c r="AU110" s="8"/>
      <c r="AV110" s="16">
        <v>0</v>
      </c>
      <c r="AW110" s="16"/>
      <c r="AX110" s="16">
        <v>0</v>
      </c>
      <c r="AY110" s="16"/>
      <c r="AZ110" s="16">
        <f t="shared" si="57"/>
        <v>260298</v>
      </c>
      <c r="BB110" s="6" t="s">
        <v>129</v>
      </c>
      <c r="BC110" s="6"/>
      <c r="BD110" s="6" t="s">
        <v>11</v>
      </c>
      <c r="BE110" s="16"/>
      <c r="BF110" s="16">
        <f>4744513+474000</f>
        <v>5218513</v>
      </c>
      <c r="BG110" s="16"/>
      <c r="BH110" s="16">
        <v>0</v>
      </c>
      <c r="BI110" s="16"/>
      <c r="BJ110" s="16">
        <v>0</v>
      </c>
      <c r="BK110" s="16"/>
      <c r="BL110" s="16">
        <f>170933+165058</f>
        <v>335991</v>
      </c>
      <c r="BM110" s="16"/>
      <c r="BN110" s="16">
        <f t="shared" si="58"/>
        <v>5554504</v>
      </c>
      <c r="BO110" s="17"/>
      <c r="BP110" s="6"/>
      <c r="BQ110" s="6"/>
      <c r="BR110" s="6"/>
    </row>
    <row r="111" spans="1:70" ht="12.75" customHeight="1" x14ac:dyDescent="0.2">
      <c r="A111" s="6" t="s">
        <v>36</v>
      </c>
      <c r="C111" s="6" t="s">
        <v>130</v>
      </c>
      <c r="E111" s="16">
        <v>2579711</v>
      </c>
      <c r="F111" s="16"/>
      <c r="G111" s="16">
        <v>5998651</v>
      </c>
      <c r="H111" s="16"/>
      <c r="I111" s="16">
        <f t="shared" si="52"/>
        <v>8578362</v>
      </c>
      <c r="J111" s="16"/>
      <c r="K111" s="16">
        <v>636806</v>
      </c>
      <c r="L111" s="16"/>
      <c r="M111" s="16">
        <v>2203216</v>
      </c>
      <c r="N111" s="16"/>
      <c r="O111" s="16">
        <f t="shared" si="53"/>
        <v>2840022</v>
      </c>
      <c r="P111" s="16"/>
      <c r="Q111" s="16">
        <v>3321894</v>
      </c>
      <c r="R111" s="16"/>
      <c r="S111" s="16">
        <v>0</v>
      </c>
      <c r="T111" s="16"/>
      <c r="U111" s="16">
        <v>2416446</v>
      </c>
      <c r="V111" s="16"/>
      <c r="W111" s="16">
        <f t="shared" si="54"/>
        <v>5738340</v>
      </c>
      <c r="Z111" s="6" t="s">
        <v>36</v>
      </c>
      <c r="AA111" s="16"/>
      <c r="AB111" s="6" t="s">
        <v>130</v>
      </c>
      <c r="AD111" s="16">
        <v>2150831</v>
      </c>
      <c r="AE111" s="16"/>
      <c r="AF111" s="16">
        <f>1883991-165347</f>
        <v>1718644</v>
      </c>
      <c r="AG111" s="16"/>
      <c r="AH111" s="16">
        <v>165347</v>
      </c>
      <c r="AI111" s="16"/>
      <c r="AJ111" s="8">
        <f t="shared" si="55"/>
        <v>266840</v>
      </c>
      <c r="AK111" s="8"/>
      <c r="AL111" s="16">
        <v>-155687</v>
      </c>
      <c r="AM111" s="8"/>
      <c r="AN111" s="16">
        <v>0</v>
      </c>
      <c r="AO111" s="16"/>
      <c r="AP111" s="16">
        <v>0</v>
      </c>
      <c r="AQ111" s="16"/>
      <c r="AR111" s="16">
        <v>0</v>
      </c>
      <c r="AS111" s="16"/>
      <c r="AT111" s="8">
        <f t="shared" si="56"/>
        <v>111153</v>
      </c>
      <c r="AU111" s="8"/>
      <c r="AV111" s="16">
        <v>0</v>
      </c>
      <c r="AW111" s="16"/>
      <c r="AX111" s="16">
        <v>0</v>
      </c>
      <c r="AY111" s="16"/>
      <c r="AZ111" s="16">
        <f t="shared" si="57"/>
        <v>1942905</v>
      </c>
      <c r="BB111" s="6" t="s">
        <v>36</v>
      </c>
      <c r="BC111" s="6"/>
      <c r="BD111" s="6" t="s">
        <v>130</v>
      </c>
      <c r="BE111" s="16"/>
      <c r="BF111" s="16">
        <f>1132445+351500</f>
        <v>1483945</v>
      </c>
      <c r="BG111" s="16"/>
      <c r="BH111" s="16">
        <v>0</v>
      </c>
      <c r="BI111" s="16"/>
      <c r="BJ111" s="16">
        <f>968798+168131</f>
        <v>1136929</v>
      </c>
      <c r="BK111" s="16"/>
      <c r="BL111" s="16">
        <f>52685+49288+6595+43136</f>
        <v>151704</v>
      </c>
      <c r="BM111" s="16"/>
      <c r="BN111" s="16">
        <f t="shared" si="58"/>
        <v>2772578</v>
      </c>
      <c r="BO111" s="17"/>
      <c r="BP111" s="6"/>
      <c r="BQ111" s="6"/>
      <c r="BR111" s="6"/>
    </row>
    <row r="112" spans="1:70" ht="12.75" hidden="1" customHeight="1" x14ac:dyDescent="0.2">
      <c r="A112" s="6" t="s">
        <v>131</v>
      </c>
      <c r="C112" s="6" t="s">
        <v>25</v>
      </c>
      <c r="E112" s="16">
        <v>0</v>
      </c>
      <c r="F112" s="16"/>
      <c r="G112" s="16"/>
      <c r="H112" s="16"/>
      <c r="I112" s="16">
        <f t="shared" si="52"/>
        <v>0</v>
      </c>
      <c r="J112" s="16"/>
      <c r="K112" s="16">
        <v>0</v>
      </c>
      <c r="L112" s="16"/>
      <c r="M112" s="16"/>
      <c r="N112" s="16"/>
      <c r="O112" s="16">
        <f t="shared" si="53"/>
        <v>0</v>
      </c>
      <c r="P112" s="16"/>
      <c r="Q112" s="16"/>
      <c r="R112" s="16"/>
      <c r="S112" s="16"/>
      <c r="T112" s="16"/>
      <c r="U112" s="16"/>
      <c r="V112" s="16"/>
      <c r="W112" s="16">
        <f t="shared" si="54"/>
        <v>0</v>
      </c>
      <c r="Z112" s="6" t="s">
        <v>131</v>
      </c>
      <c r="AA112" s="16"/>
      <c r="AB112" s="6" t="s">
        <v>25</v>
      </c>
      <c r="AD112" s="16"/>
      <c r="AE112" s="16"/>
      <c r="AF112" s="16"/>
      <c r="AG112" s="16"/>
      <c r="AH112" s="16"/>
      <c r="AI112" s="16"/>
      <c r="AJ112" s="8">
        <f t="shared" si="55"/>
        <v>0</v>
      </c>
      <c r="AK112" s="8"/>
      <c r="AL112" s="16"/>
      <c r="AM112" s="8"/>
      <c r="AN112" s="16"/>
      <c r="AO112" s="16"/>
      <c r="AP112" s="16"/>
      <c r="AQ112" s="16"/>
      <c r="AR112" s="16"/>
      <c r="AS112" s="16"/>
      <c r="AT112" s="8">
        <f t="shared" si="56"/>
        <v>0</v>
      </c>
      <c r="AU112" s="8"/>
      <c r="AV112" s="16">
        <v>0</v>
      </c>
      <c r="AW112" s="16"/>
      <c r="AX112" s="16">
        <v>0</v>
      </c>
      <c r="AY112" s="16"/>
      <c r="AZ112" s="16">
        <f t="shared" si="57"/>
        <v>0</v>
      </c>
      <c r="BB112" s="6" t="s">
        <v>131</v>
      </c>
      <c r="BC112" s="6"/>
      <c r="BD112" s="6" t="s">
        <v>25</v>
      </c>
      <c r="BE112" s="16"/>
      <c r="BF112" s="16"/>
      <c r="BG112" s="16"/>
      <c r="BH112" s="16"/>
      <c r="BI112" s="16"/>
      <c r="BJ112" s="16"/>
      <c r="BK112" s="16"/>
      <c r="BL112" s="16"/>
      <c r="BM112" s="16"/>
      <c r="BN112" s="16">
        <f t="shared" si="58"/>
        <v>0</v>
      </c>
      <c r="BO112" s="17"/>
      <c r="BP112" s="6"/>
      <c r="BQ112" s="6"/>
      <c r="BR112" s="6"/>
    </row>
    <row r="113" spans="1:95" ht="12.75" hidden="1" customHeight="1" x14ac:dyDescent="0.2">
      <c r="A113" s="6" t="s">
        <v>471</v>
      </c>
      <c r="C113" s="6" t="s">
        <v>43</v>
      </c>
      <c r="E113" s="16">
        <v>4333324</v>
      </c>
      <c r="F113" s="16"/>
      <c r="G113" s="16">
        <v>13628275</v>
      </c>
      <c r="H113" s="16"/>
      <c r="I113" s="16">
        <f t="shared" si="52"/>
        <v>17961599</v>
      </c>
      <c r="J113" s="16"/>
      <c r="K113" s="16">
        <v>779145</v>
      </c>
      <c r="L113" s="16"/>
      <c r="M113" s="16">
        <v>3694076</v>
      </c>
      <c r="N113" s="16"/>
      <c r="O113" s="16">
        <f t="shared" si="53"/>
        <v>4473221</v>
      </c>
      <c r="P113" s="16"/>
      <c r="Q113" s="16">
        <v>9863450</v>
      </c>
      <c r="R113" s="16"/>
      <c r="S113" s="16">
        <v>0</v>
      </c>
      <c r="T113" s="16"/>
      <c r="U113" s="16">
        <v>3624928</v>
      </c>
      <c r="V113" s="16"/>
      <c r="W113" s="16">
        <f t="shared" si="54"/>
        <v>13488378</v>
      </c>
      <c r="Z113" s="6" t="s">
        <v>471</v>
      </c>
      <c r="AA113" s="16"/>
      <c r="AB113" s="6" t="s">
        <v>43</v>
      </c>
      <c r="AD113" s="16">
        <v>4610379</v>
      </c>
      <c r="AE113" s="16"/>
      <c r="AF113" s="16">
        <f>3700675-433000</f>
        <v>3267675</v>
      </c>
      <c r="AG113" s="16"/>
      <c r="AH113" s="16">
        <v>433000</v>
      </c>
      <c r="AI113" s="16"/>
      <c r="AJ113" s="8">
        <f t="shared" si="55"/>
        <v>909704</v>
      </c>
      <c r="AK113" s="8"/>
      <c r="AL113" s="16">
        <v>-67950</v>
      </c>
      <c r="AM113" s="8"/>
      <c r="AN113" s="16">
        <v>0</v>
      </c>
      <c r="AO113" s="16"/>
      <c r="AP113" s="16">
        <v>0</v>
      </c>
      <c r="AQ113" s="16"/>
      <c r="AR113" s="16">
        <v>0</v>
      </c>
      <c r="AS113" s="16"/>
      <c r="AT113" s="8">
        <f t="shared" si="56"/>
        <v>841754</v>
      </c>
      <c r="AU113" s="8"/>
      <c r="AV113" s="16">
        <v>0</v>
      </c>
      <c r="AW113" s="16"/>
      <c r="AX113" s="16">
        <v>0</v>
      </c>
      <c r="AY113" s="16"/>
      <c r="AZ113" s="16">
        <f t="shared" si="57"/>
        <v>3554179</v>
      </c>
      <c r="BB113" s="6" t="s">
        <v>471</v>
      </c>
      <c r="BC113" s="6"/>
      <c r="BD113" s="6" t="s">
        <v>43</v>
      </c>
      <c r="BE113" s="16"/>
      <c r="BF113" s="16">
        <f>3508165+256660</f>
        <v>3764825</v>
      </c>
      <c r="BG113" s="16"/>
      <c r="BH113" s="16">
        <v>0</v>
      </c>
      <c r="BI113" s="16"/>
      <c r="BJ113" s="16">
        <v>0</v>
      </c>
      <c r="BK113" s="16"/>
      <c r="BL113" s="16">
        <f>185911+36275</f>
        <v>222186</v>
      </c>
      <c r="BM113" s="16"/>
      <c r="BN113" s="16">
        <f t="shared" si="58"/>
        <v>3987011</v>
      </c>
      <c r="BO113" s="17"/>
      <c r="BP113" s="6"/>
      <c r="BQ113" s="6"/>
      <c r="BR113" s="6"/>
    </row>
    <row r="114" spans="1:95" ht="12.75" customHeight="1" x14ac:dyDescent="0.2">
      <c r="A114" s="6" t="s">
        <v>132</v>
      </c>
      <c r="B114" s="18"/>
      <c r="C114" s="6" t="s">
        <v>133</v>
      </c>
      <c r="E114" s="16">
        <v>197070</v>
      </c>
      <c r="F114" s="16"/>
      <c r="G114" s="16">
        <f>481030+5634730</f>
        <v>6115760</v>
      </c>
      <c r="H114" s="16"/>
      <c r="I114" s="16">
        <f t="shared" si="52"/>
        <v>6312830</v>
      </c>
      <c r="J114" s="16"/>
      <c r="K114" s="16">
        <v>735557</v>
      </c>
      <c r="L114" s="16"/>
      <c r="M114" s="16">
        <f>39011+1026000+4859+2425171+240000</f>
        <v>3735041</v>
      </c>
      <c r="N114" s="16"/>
      <c r="O114" s="16">
        <f t="shared" si="53"/>
        <v>4470598</v>
      </c>
      <c r="P114" s="16"/>
      <c r="Q114" s="16">
        <v>2044173</v>
      </c>
      <c r="R114" s="16"/>
      <c r="S114" s="16">
        <v>0</v>
      </c>
      <c r="T114" s="16"/>
      <c r="U114" s="16">
        <v>-201941</v>
      </c>
      <c r="V114" s="16"/>
      <c r="W114" s="16">
        <f t="shared" si="54"/>
        <v>1842232</v>
      </c>
      <c r="Z114" s="6" t="s">
        <v>132</v>
      </c>
      <c r="AA114" s="18"/>
      <c r="AB114" s="6" t="s">
        <v>133</v>
      </c>
      <c r="AD114" s="16">
        <v>1801618</v>
      </c>
      <c r="AE114" s="16"/>
      <c r="AF114" s="16">
        <v>1689744</v>
      </c>
      <c r="AG114" s="16"/>
      <c r="AH114" s="16">
        <v>0</v>
      </c>
      <c r="AI114" s="16"/>
      <c r="AJ114" s="8">
        <f t="shared" si="55"/>
        <v>111874</v>
      </c>
      <c r="AK114" s="8"/>
      <c r="AL114" s="16">
        <v>-81640</v>
      </c>
      <c r="AM114" s="8"/>
      <c r="AN114" s="16">
        <v>0</v>
      </c>
      <c r="AO114" s="16"/>
      <c r="AP114" s="16">
        <v>0</v>
      </c>
      <c r="AQ114" s="16"/>
      <c r="AR114" s="16">
        <v>0</v>
      </c>
      <c r="AS114" s="16"/>
      <c r="AT114" s="8">
        <f t="shared" si="56"/>
        <v>30234</v>
      </c>
      <c r="AU114" s="8"/>
      <c r="AV114" s="16"/>
      <c r="AW114" s="16"/>
      <c r="AX114" s="16"/>
      <c r="AY114" s="16"/>
      <c r="AZ114" s="16">
        <f t="shared" si="57"/>
        <v>-538487</v>
      </c>
      <c r="BB114" s="6" t="s">
        <v>132</v>
      </c>
      <c r="BD114" s="6" t="s">
        <v>133</v>
      </c>
      <c r="BE114" s="16"/>
      <c r="BF114" s="16">
        <f>1026000+77000</f>
        <v>1103000</v>
      </c>
      <c r="BG114" s="16"/>
      <c r="BH114" s="16">
        <v>0</v>
      </c>
      <c r="BI114" s="16"/>
      <c r="BJ114" s="16">
        <f>4859+2425171+24000+15000+280601+2956</f>
        <v>2752587</v>
      </c>
      <c r="BK114" s="16"/>
      <c r="BL114" s="16">
        <f>33052+39011</f>
        <v>72063</v>
      </c>
      <c r="BM114" s="16"/>
      <c r="BN114" s="16">
        <f t="shared" si="58"/>
        <v>3927650</v>
      </c>
      <c r="BO114" s="17"/>
      <c r="BP114" s="6"/>
      <c r="BQ114" s="6"/>
      <c r="BR114" s="6"/>
    </row>
    <row r="115" spans="1:95" ht="12.75" customHeight="1" x14ac:dyDescent="0.2">
      <c r="B115" s="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 t="s">
        <v>478</v>
      </c>
      <c r="AA115" s="16"/>
      <c r="AC115" s="6"/>
      <c r="AD115" s="16"/>
      <c r="AE115" s="16"/>
      <c r="AF115" s="16"/>
      <c r="AG115" s="16"/>
      <c r="AH115" s="16"/>
      <c r="AI115" s="16"/>
      <c r="AJ115" s="8"/>
      <c r="AK115" s="8"/>
      <c r="AL115" s="16"/>
      <c r="AM115" s="8"/>
      <c r="AN115" s="16"/>
      <c r="AO115" s="16"/>
      <c r="AP115" s="16"/>
      <c r="AQ115" s="16"/>
      <c r="AR115" s="16"/>
      <c r="AS115" s="16"/>
      <c r="AT115" s="8"/>
      <c r="AU115" s="8"/>
      <c r="AV115" s="16"/>
      <c r="AW115" s="16"/>
      <c r="AX115" s="16"/>
      <c r="AY115" s="16"/>
      <c r="AZ115" s="16" t="s">
        <v>478</v>
      </c>
      <c r="BB115" s="6"/>
      <c r="BC115" s="6"/>
      <c r="BD115" s="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 t="s">
        <v>478</v>
      </c>
      <c r="BO115" s="17"/>
      <c r="BQ115" s="6"/>
      <c r="BR115" s="6"/>
    </row>
    <row r="116" spans="1:95" s="24" customFormat="1" ht="12.75" customHeight="1" x14ac:dyDescent="0.2">
      <c r="A116" s="23" t="s">
        <v>389</v>
      </c>
      <c r="D116" s="7"/>
      <c r="Z116" s="23" t="s">
        <v>389</v>
      </c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14"/>
      <c r="BB116" s="23" t="s">
        <v>488</v>
      </c>
      <c r="BE116" s="6"/>
      <c r="BF116" s="6"/>
      <c r="BG116" s="6"/>
      <c r="BH116" s="6"/>
      <c r="BI116" s="6"/>
      <c r="BJ116" s="6"/>
      <c r="BK116" s="6"/>
      <c r="BL116" s="6"/>
      <c r="BM116" s="6"/>
      <c r="BO116" s="17"/>
      <c r="BS116" s="31"/>
      <c r="BT116" s="31"/>
      <c r="BU116" s="73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</row>
    <row r="117" spans="1:95" s="24" customFormat="1" ht="12.75" customHeight="1" x14ac:dyDescent="0.2">
      <c r="A117" s="38" t="s">
        <v>515</v>
      </c>
      <c r="D117" s="7"/>
      <c r="Z117" s="38" t="s">
        <v>518</v>
      </c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14"/>
      <c r="BB117" s="25" t="s">
        <v>346</v>
      </c>
      <c r="BE117" s="6"/>
      <c r="BF117" s="6"/>
      <c r="BG117" s="6"/>
      <c r="BH117" s="6"/>
      <c r="BI117" s="6"/>
      <c r="BJ117" s="6"/>
      <c r="BK117" s="6"/>
      <c r="BL117" s="6"/>
      <c r="BM117" s="6"/>
      <c r="BO117" s="17"/>
      <c r="BS117" s="31"/>
      <c r="BT117" s="31"/>
      <c r="BU117" s="73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</row>
    <row r="118" spans="1:95" s="24" customFormat="1" ht="12.75" customHeight="1" x14ac:dyDescent="0.2">
      <c r="A118" s="23" t="s">
        <v>504</v>
      </c>
      <c r="D118" s="7"/>
      <c r="Z118" s="23" t="s">
        <v>505</v>
      </c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14"/>
      <c r="BB118" s="23" t="s">
        <v>504</v>
      </c>
      <c r="BE118" s="6"/>
      <c r="BF118" s="6"/>
      <c r="BG118" s="6"/>
      <c r="BH118" s="6"/>
      <c r="BI118" s="6"/>
      <c r="BJ118" s="6"/>
      <c r="BK118" s="6"/>
      <c r="BL118" s="6"/>
      <c r="BM118" s="6"/>
      <c r="BO118" s="17"/>
      <c r="BS118" s="18"/>
      <c r="BT118" s="18"/>
      <c r="BU118" s="30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</row>
    <row r="119" spans="1:95" ht="12.75" customHeight="1" x14ac:dyDescent="0.2">
      <c r="A119" s="24" t="s">
        <v>287</v>
      </c>
      <c r="Z119" s="24" t="s">
        <v>287</v>
      </c>
      <c r="AA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B119" s="24" t="s">
        <v>287</v>
      </c>
      <c r="BC119" s="10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17"/>
      <c r="BP119" s="6"/>
      <c r="BQ119" s="6"/>
      <c r="BR119" s="6"/>
    </row>
    <row r="120" spans="1:95" ht="12.75" hidden="1" customHeight="1" x14ac:dyDescent="0.2"/>
    <row r="121" spans="1:95" ht="12.75" hidden="1" customHeight="1" x14ac:dyDescent="0.2">
      <c r="A121" s="24"/>
      <c r="V121" s="39"/>
      <c r="W121" s="39"/>
      <c r="Z121" s="24"/>
      <c r="AA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B121" s="24"/>
      <c r="BC121" s="10"/>
      <c r="BD121" s="6"/>
      <c r="BE121" s="6"/>
      <c r="BF121" s="26"/>
      <c r="BG121" s="26"/>
      <c r="BH121" s="26"/>
      <c r="BI121" s="26"/>
      <c r="BJ121" s="26"/>
      <c r="BK121" s="26"/>
      <c r="BL121" s="26"/>
      <c r="BM121" s="26"/>
      <c r="BN121" s="6"/>
      <c r="BO121" s="17"/>
      <c r="BP121" s="6"/>
      <c r="BQ121" s="6"/>
      <c r="BR121" s="6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</row>
    <row r="122" spans="1:95" ht="12.75" customHeight="1" x14ac:dyDescent="0.2">
      <c r="A122" s="24" t="s">
        <v>478</v>
      </c>
      <c r="Q122" s="93" t="s">
        <v>512</v>
      </c>
      <c r="R122" s="93"/>
      <c r="S122" s="93"/>
      <c r="T122" s="93"/>
      <c r="U122" s="93"/>
      <c r="Z122" s="24" t="s">
        <v>478</v>
      </c>
      <c r="AT122" s="72"/>
      <c r="AV122" s="88" t="s">
        <v>409</v>
      </c>
      <c r="AW122" s="6"/>
      <c r="AX122" s="88" t="s">
        <v>410</v>
      </c>
      <c r="BB122" s="24" t="s">
        <v>478</v>
      </c>
    </row>
    <row r="123" spans="1:95" s="88" customFormat="1" ht="12.75" customHeight="1" x14ac:dyDescent="0.2">
      <c r="D123" s="63"/>
      <c r="Q123" s="88" t="s">
        <v>516</v>
      </c>
      <c r="AV123" s="88" t="s">
        <v>347</v>
      </c>
      <c r="AX123" s="88" t="s">
        <v>347</v>
      </c>
      <c r="BA123" s="14"/>
      <c r="BF123" s="88" t="s">
        <v>294</v>
      </c>
      <c r="BH123" s="88" t="s">
        <v>348</v>
      </c>
      <c r="BL123" s="88" t="s">
        <v>292</v>
      </c>
      <c r="BN123" s="88" t="s">
        <v>5</v>
      </c>
      <c r="BO123" s="17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</row>
    <row r="124" spans="1:95" s="88" customFormat="1" ht="12.75" customHeight="1" x14ac:dyDescent="0.2">
      <c r="E124" s="88" t="s">
        <v>2</v>
      </c>
      <c r="G124" s="88" t="s">
        <v>349</v>
      </c>
      <c r="I124" s="88" t="s">
        <v>5</v>
      </c>
      <c r="K124" s="88" t="s">
        <v>2</v>
      </c>
      <c r="M124" s="88" t="s">
        <v>349</v>
      </c>
      <c r="O124" s="88" t="s">
        <v>5</v>
      </c>
      <c r="Q124" s="88" t="s">
        <v>517</v>
      </c>
      <c r="W124" s="88" t="s">
        <v>5</v>
      </c>
      <c r="AD124" s="88" t="s">
        <v>343</v>
      </c>
      <c r="AF124" s="88" t="s">
        <v>351</v>
      </c>
      <c r="AJ124" s="88" t="s">
        <v>343</v>
      </c>
      <c r="AL124" s="88" t="s">
        <v>352</v>
      </c>
      <c r="AR124" s="88" t="s">
        <v>3</v>
      </c>
      <c r="AT124" s="88" t="s">
        <v>366</v>
      </c>
      <c r="AV124" s="88" t="s">
        <v>411</v>
      </c>
      <c r="AX124" s="88" t="s">
        <v>411</v>
      </c>
      <c r="AZ124" s="88" t="s">
        <v>353</v>
      </c>
      <c r="BA124" s="14"/>
      <c r="BF124" s="88" t="s">
        <v>354</v>
      </c>
      <c r="BH124" s="88" t="s">
        <v>300</v>
      </c>
      <c r="BL124" s="88" t="s">
        <v>350</v>
      </c>
      <c r="BN124" s="88" t="s">
        <v>350</v>
      </c>
      <c r="BO124" s="17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</row>
    <row r="125" spans="1:95" s="88" customFormat="1" ht="12.75" customHeight="1" x14ac:dyDescent="0.2">
      <c r="A125" s="87" t="s">
        <v>6</v>
      </c>
      <c r="C125" s="87" t="s">
        <v>7</v>
      </c>
      <c r="E125" s="87" t="s">
        <v>0</v>
      </c>
      <c r="G125" s="87" t="s">
        <v>0</v>
      </c>
      <c r="I125" s="87" t="s">
        <v>0</v>
      </c>
      <c r="K125" s="87" t="s">
        <v>1</v>
      </c>
      <c r="M125" s="87" t="s">
        <v>1</v>
      </c>
      <c r="O125" s="87" t="s">
        <v>1</v>
      </c>
      <c r="Q125" s="87" t="s">
        <v>0</v>
      </c>
      <c r="S125" s="87" t="s">
        <v>8</v>
      </c>
      <c r="U125" s="87" t="s">
        <v>9</v>
      </c>
      <c r="W125" s="87" t="s">
        <v>512</v>
      </c>
      <c r="Z125" s="87" t="s">
        <v>6</v>
      </c>
      <c r="AB125" s="87" t="s">
        <v>7</v>
      </c>
      <c r="AD125" s="27" t="s">
        <v>300</v>
      </c>
      <c r="AE125" s="27"/>
      <c r="AF125" s="27" t="s">
        <v>355</v>
      </c>
      <c r="AH125" s="27" t="s">
        <v>355</v>
      </c>
      <c r="AJ125" s="27" t="s">
        <v>356</v>
      </c>
      <c r="AL125" s="27" t="s">
        <v>412</v>
      </c>
      <c r="AN125" s="27" t="s">
        <v>357</v>
      </c>
      <c r="AP125" s="27" t="s">
        <v>358</v>
      </c>
      <c r="AR125" s="27" t="s">
        <v>359</v>
      </c>
      <c r="AT125" s="27" t="s">
        <v>512</v>
      </c>
      <c r="AV125" s="87" t="s">
        <v>413</v>
      </c>
      <c r="AX125" s="87" t="s">
        <v>413</v>
      </c>
      <c r="AZ125" s="27" t="s">
        <v>3</v>
      </c>
      <c r="BA125" s="14"/>
      <c r="BB125" s="87" t="s">
        <v>6</v>
      </c>
      <c r="BD125" s="87" t="s">
        <v>7</v>
      </c>
      <c r="BF125" s="27" t="s">
        <v>360</v>
      </c>
      <c r="BH125" s="27" t="s">
        <v>360</v>
      </c>
      <c r="BJ125" s="27" t="s">
        <v>361</v>
      </c>
      <c r="BL125" s="27" t="s">
        <v>362</v>
      </c>
      <c r="BN125" s="87" t="s">
        <v>362</v>
      </c>
      <c r="BO125" s="17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</row>
    <row r="126" spans="1:95" s="88" customFormat="1" ht="12.75" customHeight="1" x14ac:dyDescent="0.2">
      <c r="BA126" s="14"/>
      <c r="BO126" s="17"/>
      <c r="BS126" s="18"/>
      <c r="BT126" s="18"/>
      <c r="BU126" s="30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</row>
    <row r="127" spans="1:95" ht="12.75" customHeight="1" x14ac:dyDescent="0.2">
      <c r="A127" s="6" t="s">
        <v>134</v>
      </c>
      <c r="C127" s="6" t="s">
        <v>134</v>
      </c>
      <c r="E127" s="28">
        <v>3099908</v>
      </c>
      <c r="F127" s="28"/>
      <c r="G127" s="28">
        <v>6330948</v>
      </c>
      <c r="H127" s="28"/>
      <c r="I127" s="28">
        <f t="shared" ref="I127:I165" si="59">+E127+G127</f>
        <v>9430856</v>
      </c>
      <c r="J127" s="28"/>
      <c r="K127" s="28">
        <v>528471</v>
      </c>
      <c r="L127" s="28"/>
      <c r="M127" s="28">
        <v>2668326</v>
      </c>
      <c r="N127" s="28"/>
      <c r="O127" s="28">
        <f t="shared" ref="O127:O165" si="60">+K127+M127</f>
        <v>3196797</v>
      </c>
      <c r="P127" s="28"/>
      <c r="Q127" s="28">
        <v>3367178</v>
      </c>
      <c r="R127" s="28"/>
      <c r="S127" s="28">
        <v>0</v>
      </c>
      <c r="T127" s="28"/>
      <c r="U127" s="28">
        <v>2903015</v>
      </c>
      <c r="V127" s="28"/>
      <c r="W127" s="28">
        <f t="shared" ref="W127:W177" si="61">SUM(Q127:U127)</f>
        <v>6270193</v>
      </c>
      <c r="Z127" s="6" t="s">
        <v>134</v>
      </c>
      <c r="AA127" s="16"/>
      <c r="AB127" s="6" t="s">
        <v>134</v>
      </c>
      <c r="AD127" s="28">
        <v>2571700</v>
      </c>
      <c r="AE127" s="28"/>
      <c r="AF127" s="28">
        <f>1944302-275944</f>
        <v>1668358</v>
      </c>
      <c r="AG127" s="28"/>
      <c r="AH127" s="28">
        <v>275944</v>
      </c>
      <c r="AI127" s="28"/>
      <c r="AJ127" s="40">
        <f t="shared" ref="AJ127:AJ156" si="62">+AD127-AF127-AH127</f>
        <v>627398</v>
      </c>
      <c r="AK127" s="40"/>
      <c r="AL127" s="28">
        <v>-78863</v>
      </c>
      <c r="AM127" s="40"/>
      <c r="AN127" s="28">
        <v>0</v>
      </c>
      <c r="AO127" s="28"/>
      <c r="AP127" s="28">
        <v>0</v>
      </c>
      <c r="AQ127" s="28"/>
      <c r="AR127" s="28">
        <v>0</v>
      </c>
      <c r="AS127" s="28"/>
      <c r="AT127" s="40">
        <f t="shared" ref="AT127:AT160" si="63">+AJ127+AL127+AN127-AP127+AR127</f>
        <v>548535</v>
      </c>
      <c r="AU127" s="40"/>
      <c r="AV127" s="28">
        <v>0</v>
      </c>
      <c r="AW127" s="28"/>
      <c r="AX127" s="28">
        <v>0</v>
      </c>
      <c r="AY127" s="28"/>
      <c r="AZ127" s="28">
        <f t="shared" ref="AZ127:AZ169" si="64">E127-K127</f>
        <v>2571437</v>
      </c>
      <c r="BB127" s="6" t="s">
        <v>134</v>
      </c>
      <c r="BC127" s="6"/>
      <c r="BD127" s="6" t="s">
        <v>134</v>
      </c>
      <c r="BE127" s="16"/>
      <c r="BF127" s="28">
        <v>0</v>
      </c>
      <c r="BG127" s="28"/>
      <c r="BH127" s="28">
        <f>1446671+175000</f>
        <v>1621671</v>
      </c>
      <c r="BI127" s="28"/>
      <c r="BJ127" s="28">
        <f>1006790+186753</f>
        <v>1193543</v>
      </c>
      <c r="BK127" s="28"/>
      <c r="BL127" s="28">
        <f>86765+128100+27197+20456</f>
        <v>262518</v>
      </c>
      <c r="BM127" s="28"/>
      <c r="BN127" s="28">
        <f t="shared" si="49"/>
        <v>3077732</v>
      </c>
      <c r="BO127" s="17"/>
      <c r="BP127" s="6"/>
      <c r="BQ127" s="6"/>
      <c r="BR127" s="6"/>
    </row>
    <row r="128" spans="1:95" ht="12.75" customHeight="1" x14ac:dyDescent="0.2">
      <c r="A128" s="6" t="s">
        <v>135</v>
      </c>
      <c r="B128" s="20"/>
      <c r="C128" s="6" t="s">
        <v>20</v>
      </c>
      <c r="E128" s="16">
        <v>3667007</v>
      </c>
      <c r="F128" s="16"/>
      <c r="G128" s="16">
        <v>15096713</v>
      </c>
      <c r="H128" s="16"/>
      <c r="I128" s="16">
        <f t="shared" si="59"/>
        <v>18763720</v>
      </c>
      <c r="J128" s="16"/>
      <c r="K128" s="16">
        <v>793459</v>
      </c>
      <c r="L128" s="16"/>
      <c r="M128" s="16">
        <v>530790</v>
      </c>
      <c r="N128" s="16"/>
      <c r="O128" s="16">
        <f t="shared" si="60"/>
        <v>1324249</v>
      </c>
      <c r="P128" s="16"/>
      <c r="Q128" s="16">
        <v>14537427</v>
      </c>
      <c r="R128" s="16"/>
      <c r="S128" s="16">
        <v>0</v>
      </c>
      <c r="T128" s="16"/>
      <c r="U128" s="16">
        <v>2902044</v>
      </c>
      <c r="V128" s="16"/>
      <c r="W128" s="16">
        <f t="shared" si="61"/>
        <v>17439471</v>
      </c>
      <c r="X128" s="20"/>
      <c r="Y128" s="20"/>
      <c r="Z128" s="6" t="s">
        <v>135</v>
      </c>
      <c r="AA128" s="16"/>
      <c r="AB128" s="6" t="s">
        <v>20</v>
      </c>
      <c r="AC128" s="20"/>
      <c r="AD128" s="16">
        <v>3250094</v>
      </c>
      <c r="AE128" s="16"/>
      <c r="AF128" s="16">
        <f>3061067-524675</f>
        <v>2536392</v>
      </c>
      <c r="AG128" s="16"/>
      <c r="AH128" s="16">
        <v>524675</v>
      </c>
      <c r="AI128" s="16"/>
      <c r="AJ128" s="8">
        <f t="shared" si="62"/>
        <v>189027</v>
      </c>
      <c r="AK128" s="8"/>
      <c r="AL128" s="16">
        <v>-4210</v>
      </c>
      <c r="AM128" s="8"/>
      <c r="AN128" s="16">
        <v>0</v>
      </c>
      <c r="AO128" s="16"/>
      <c r="AP128" s="16">
        <v>0</v>
      </c>
      <c r="AQ128" s="16"/>
      <c r="AR128" s="16">
        <f>308869+25622</f>
        <v>334491</v>
      </c>
      <c r="AS128" s="16"/>
      <c r="AT128" s="8">
        <f t="shared" si="63"/>
        <v>519308</v>
      </c>
      <c r="AU128" s="8"/>
      <c r="AV128" s="16">
        <v>0</v>
      </c>
      <c r="AW128" s="16"/>
      <c r="AX128" s="16">
        <v>0</v>
      </c>
      <c r="AY128" s="16"/>
      <c r="AZ128" s="16">
        <f t="shared" si="64"/>
        <v>2873548</v>
      </c>
      <c r="BA128" s="20"/>
      <c r="BB128" s="6" t="s">
        <v>135</v>
      </c>
      <c r="BC128" s="6"/>
      <c r="BD128" s="6" t="s">
        <v>20</v>
      </c>
      <c r="BE128" s="16"/>
      <c r="BF128" s="16">
        <v>0</v>
      </c>
      <c r="BG128" s="16"/>
      <c r="BH128" s="16">
        <v>0</v>
      </c>
      <c r="BI128" s="16"/>
      <c r="BJ128" s="16">
        <f>480980+42520+52786</f>
        <v>576286</v>
      </c>
      <c r="BK128" s="16"/>
      <c r="BL128" s="16">
        <f>7290+71530</f>
        <v>78820</v>
      </c>
      <c r="BM128" s="16"/>
      <c r="BN128" s="16">
        <f t="shared" si="49"/>
        <v>655106</v>
      </c>
      <c r="BO128" s="17"/>
      <c r="BP128" s="6"/>
      <c r="BQ128" s="6"/>
      <c r="BR128" s="6"/>
    </row>
    <row r="129" spans="1:95" ht="12" hidden="1" customHeight="1" x14ac:dyDescent="0.2">
      <c r="A129" s="6" t="s">
        <v>136</v>
      </c>
      <c r="C129" s="6" t="s">
        <v>137</v>
      </c>
      <c r="E129" s="16">
        <v>0</v>
      </c>
      <c r="F129" s="16"/>
      <c r="G129" s="16"/>
      <c r="H129" s="16"/>
      <c r="I129" s="16">
        <f t="shared" si="59"/>
        <v>0</v>
      </c>
      <c r="J129" s="16"/>
      <c r="K129" s="16">
        <v>0</v>
      </c>
      <c r="L129" s="16"/>
      <c r="M129" s="16"/>
      <c r="N129" s="16"/>
      <c r="O129" s="16">
        <f t="shared" si="60"/>
        <v>0</v>
      </c>
      <c r="P129" s="16"/>
      <c r="Q129" s="16"/>
      <c r="R129" s="16"/>
      <c r="S129" s="16"/>
      <c r="T129" s="16"/>
      <c r="U129" s="16"/>
      <c r="V129" s="16"/>
      <c r="W129" s="16">
        <f t="shared" si="61"/>
        <v>0</v>
      </c>
      <c r="Z129" s="6" t="s">
        <v>136</v>
      </c>
      <c r="AA129" s="16"/>
      <c r="AB129" s="6" t="s">
        <v>137</v>
      </c>
      <c r="AD129" s="16"/>
      <c r="AE129" s="16"/>
      <c r="AF129" s="16"/>
      <c r="AG129" s="16"/>
      <c r="AH129" s="16"/>
      <c r="AI129" s="16"/>
      <c r="AJ129" s="8">
        <f t="shared" si="62"/>
        <v>0</v>
      </c>
      <c r="AK129" s="8"/>
      <c r="AL129" s="16"/>
      <c r="AM129" s="8"/>
      <c r="AN129" s="16"/>
      <c r="AO129" s="16"/>
      <c r="AP129" s="16"/>
      <c r="AQ129" s="16"/>
      <c r="AR129" s="16"/>
      <c r="AS129" s="16"/>
      <c r="AT129" s="8">
        <f t="shared" si="63"/>
        <v>0</v>
      </c>
      <c r="AU129" s="8"/>
      <c r="AV129" s="16">
        <v>0</v>
      </c>
      <c r="AW129" s="16"/>
      <c r="AX129" s="16">
        <v>0</v>
      </c>
      <c r="AY129" s="16"/>
      <c r="AZ129" s="16">
        <f t="shared" si="64"/>
        <v>0</v>
      </c>
      <c r="BB129" s="6" t="s">
        <v>136</v>
      </c>
      <c r="BC129" s="6"/>
      <c r="BD129" s="6" t="s">
        <v>137</v>
      </c>
      <c r="BE129" s="16"/>
      <c r="BF129" s="16"/>
      <c r="BG129" s="16"/>
      <c r="BH129" s="16"/>
      <c r="BI129" s="16"/>
      <c r="BJ129" s="16"/>
      <c r="BK129" s="16"/>
      <c r="BL129" s="16"/>
      <c r="BM129" s="16"/>
      <c r="BN129" s="16">
        <f t="shared" si="49"/>
        <v>0</v>
      </c>
      <c r="BO129" s="17"/>
      <c r="BP129" s="6"/>
      <c r="BQ129" s="6"/>
      <c r="BR129" s="6"/>
    </row>
    <row r="130" spans="1:95" ht="12.75" hidden="1" customHeight="1" x14ac:dyDescent="0.2">
      <c r="A130" s="6" t="s">
        <v>138</v>
      </c>
      <c r="C130" s="6" t="s">
        <v>64</v>
      </c>
      <c r="E130" s="16">
        <v>0</v>
      </c>
      <c r="F130" s="16"/>
      <c r="G130" s="16"/>
      <c r="H130" s="16"/>
      <c r="I130" s="16">
        <f t="shared" si="59"/>
        <v>0</v>
      </c>
      <c r="J130" s="16"/>
      <c r="K130" s="16">
        <v>0</v>
      </c>
      <c r="L130" s="16"/>
      <c r="M130" s="16"/>
      <c r="N130" s="16"/>
      <c r="O130" s="16">
        <f t="shared" si="60"/>
        <v>0</v>
      </c>
      <c r="P130" s="16"/>
      <c r="Q130" s="16"/>
      <c r="R130" s="16"/>
      <c r="S130" s="16"/>
      <c r="T130" s="16"/>
      <c r="U130" s="16"/>
      <c r="V130" s="16"/>
      <c r="W130" s="16">
        <f t="shared" si="61"/>
        <v>0</v>
      </c>
      <c r="Z130" s="6" t="s">
        <v>138</v>
      </c>
      <c r="AA130" s="16"/>
      <c r="AB130" s="6" t="s">
        <v>64</v>
      </c>
      <c r="AD130" s="16"/>
      <c r="AE130" s="16"/>
      <c r="AF130" s="16"/>
      <c r="AG130" s="16"/>
      <c r="AH130" s="16"/>
      <c r="AI130" s="16"/>
      <c r="AJ130" s="8">
        <f t="shared" si="62"/>
        <v>0</v>
      </c>
      <c r="AK130" s="8"/>
      <c r="AL130" s="16"/>
      <c r="AM130" s="8"/>
      <c r="AN130" s="16"/>
      <c r="AO130" s="16"/>
      <c r="AP130" s="16"/>
      <c r="AQ130" s="16"/>
      <c r="AR130" s="16"/>
      <c r="AS130" s="16"/>
      <c r="AT130" s="8">
        <f t="shared" si="63"/>
        <v>0</v>
      </c>
      <c r="AU130" s="8"/>
      <c r="AV130" s="16">
        <v>0</v>
      </c>
      <c r="AW130" s="16"/>
      <c r="AX130" s="16">
        <v>0</v>
      </c>
      <c r="AY130" s="16"/>
      <c r="AZ130" s="16">
        <f t="shared" si="64"/>
        <v>0</v>
      </c>
      <c r="BB130" s="6" t="s">
        <v>138</v>
      </c>
      <c r="BC130" s="6"/>
      <c r="BD130" s="6" t="s">
        <v>64</v>
      </c>
      <c r="BE130" s="16"/>
      <c r="BF130" s="16"/>
      <c r="BG130" s="16"/>
      <c r="BH130" s="16"/>
      <c r="BI130" s="16"/>
      <c r="BJ130" s="16"/>
      <c r="BK130" s="16"/>
      <c r="BL130" s="16"/>
      <c r="BM130" s="16"/>
      <c r="BN130" s="16">
        <f t="shared" si="49"/>
        <v>0</v>
      </c>
      <c r="BO130" s="17"/>
      <c r="BP130" s="6"/>
      <c r="BQ130" s="6"/>
      <c r="BR130" s="6"/>
    </row>
    <row r="131" spans="1:95" ht="12.75" hidden="1" customHeight="1" x14ac:dyDescent="0.2">
      <c r="A131" s="6" t="s">
        <v>472</v>
      </c>
      <c r="C131" s="6" t="s">
        <v>90</v>
      </c>
      <c r="E131" s="16">
        <v>0</v>
      </c>
      <c r="F131" s="16"/>
      <c r="G131" s="16"/>
      <c r="H131" s="16"/>
      <c r="I131" s="16">
        <f t="shared" si="59"/>
        <v>0</v>
      </c>
      <c r="J131" s="16"/>
      <c r="K131" s="16">
        <v>0</v>
      </c>
      <c r="L131" s="16"/>
      <c r="M131" s="16"/>
      <c r="N131" s="16"/>
      <c r="O131" s="16">
        <f t="shared" si="60"/>
        <v>0</v>
      </c>
      <c r="P131" s="16"/>
      <c r="Q131" s="16"/>
      <c r="R131" s="16"/>
      <c r="S131" s="16"/>
      <c r="T131" s="16"/>
      <c r="U131" s="16"/>
      <c r="V131" s="16"/>
      <c r="W131" s="16">
        <f t="shared" si="61"/>
        <v>0</v>
      </c>
      <c r="Z131" s="6" t="s">
        <v>472</v>
      </c>
      <c r="AA131" s="16"/>
      <c r="AB131" s="6" t="s">
        <v>90</v>
      </c>
      <c r="AD131" s="16"/>
      <c r="AE131" s="16"/>
      <c r="AF131" s="16"/>
      <c r="AG131" s="16"/>
      <c r="AH131" s="16"/>
      <c r="AI131" s="16"/>
      <c r="AJ131" s="8">
        <f t="shared" si="62"/>
        <v>0</v>
      </c>
      <c r="AK131" s="8"/>
      <c r="AL131" s="16"/>
      <c r="AM131" s="8"/>
      <c r="AN131" s="16"/>
      <c r="AO131" s="16"/>
      <c r="AP131" s="16"/>
      <c r="AQ131" s="16"/>
      <c r="AR131" s="16"/>
      <c r="AS131" s="16"/>
      <c r="AT131" s="8">
        <f t="shared" si="63"/>
        <v>0</v>
      </c>
      <c r="AU131" s="8"/>
      <c r="AV131" s="16">
        <v>0</v>
      </c>
      <c r="AW131" s="16"/>
      <c r="AX131" s="16">
        <v>0</v>
      </c>
      <c r="AY131" s="16"/>
      <c r="AZ131" s="16">
        <f t="shared" si="64"/>
        <v>0</v>
      </c>
      <c r="BB131" s="6" t="s">
        <v>474</v>
      </c>
      <c r="BC131" s="6"/>
      <c r="BD131" s="6" t="s">
        <v>90</v>
      </c>
      <c r="BE131" s="16"/>
      <c r="BF131" s="16"/>
      <c r="BG131" s="16"/>
      <c r="BH131" s="16"/>
      <c r="BI131" s="16"/>
      <c r="BJ131" s="16"/>
      <c r="BK131" s="16"/>
      <c r="BL131" s="16"/>
      <c r="BM131" s="16"/>
      <c r="BN131" s="16">
        <f>SUM(BF131:BL131)</f>
        <v>0</v>
      </c>
      <c r="BO131" s="17"/>
      <c r="BP131" s="6"/>
      <c r="BQ131" s="6"/>
      <c r="BR131" s="6"/>
    </row>
    <row r="132" spans="1:95" s="19" customFormat="1" ht="12.75" customHeight="1" x14ac:dyDescent="0.2">
      <c r="A132" s="6" t="s">
        <v>139</v>
      </c>
      <c r="B132" s="6"/>
      <c r="C132" s="6" t="s">
        <v>25</v>
      </c>
      <c r="D132" s="7"/>
      <c r="E132" s="16">
        <v>6504874</v>
      </c>
      <c r="F132" s="16"/>
      <c r="G132" s="16">
        <v>41676522</v>
      </c>
      <c r="H132" s="16"/>
      <c r="I132" s="16">
        <f t="shared" si="59"/>
        <v>48181396</v>
      </c>
      <c r="J132" s="16"/>
      <c r="K132" s="16">
        <v>1917480</v>
      </c>
      <c r="L132" s="16"/>
      <c r="M132" s="16">
        <v>13094818</v>
      </c>
      <c r="N132" s="16"/>
      <c r="O132" s="16">
        <f t="shared" si="60"/>
        <v>15012298</v>
      </c>
      <c r="P132" s="16"/>
      <c r="Q132" s="16">
        <v>27082817</v>
      </c>
      <c r="R132" s="16"/>
      <c r="S132" s="16">
        <f>504119+195499</f>
        <v>699618</v>
      </c>
      <c r="T132" s="16"/>
      <c r="U132" s="16">
        <v>5386663</v>
      </c>
      <c r="V132" s="16"/>
      <c r="W132" s="16">
        <f t="shared" si="61"/>
        <v>33169098</v>
      </c>
      <c r="X132" s="14"/>
      <c r="Y132" s="14"/>
      <c r="Z132" s="6" t="s">
        <v>139</v>
      </c>
      <c r="AA132" s="16"/>
      <c r="AB132" s="6" t="s">
        <v>25</v>
      </c>
      <c r="AC132" s="6"/>
      <c r="AD132" s="16">
        <v>10982021</v>
      </c>
      <c r="AE132" s="16"/>
      <c r="AF132" s="16">
        <f>9757481-567321</f>
        <v>9190160</v>
      </c>
      <c r="AG132" s="16"/>
      <c r="AH132" s="16">
        <v>567321</v>
      </c>
      <c r="AI132" s="16"/>
      <c r="AJ132" s="8">
        <f t="shared" si="62"/>
        <v>1224540</v>
      </c>
      <c r="AK132" s="8"/>
      <c r="AL132" s="16">
        <v>-293384</v>
      </c>
      <c r="AM132" s="8"/>
      <c r="AN132" s="16">
        <v>0</v>
      </c>
      <c r="AO132" s="16"/>
      <c r="AP132" s="16">
        <v>15252</v>
      </c>
      <c r="AQ132" s="16"/>
      <c r="AR132" s="16">
        <v>566385</v>
      </c>
      <c r="AS132" s="16"/>
      <c r="AT132" s="8">
        <f t="shared" si="63"/>
        <v>1482289</v>
      </c>
      <c r="AU132" s="8"/>
      <c r="AV132" s="16">
        <v>0</v>
      </c>
      <c r="AW132" s="16"/>
      <c r="AX132" s="16">
        <v>0</v>
      </c>
      <c r="AY132" s="16"/>
      <c r="AZ132" s="16">
        <f t="shared" si="64"/>
        <v>4587394</v>
      </c>
      <c r="BA132" s="14"/>
      <c r="BB132" s="6" t="s">
        <v>139</v>
      </c>
      <c r="BC132" s="6"/>
      <c r="BD132" s="6" t="s">
        <v>25</v>
      </c>
      <c r="BE132" s="16"/>
      <c r="BF132" s="16">
        <v>0</v>
      </c>
      <c r="BG132" s="16"/>
      <c r="BH132" s="16">
        <f>10038931+486359</f>
        <v>10525290</v>
      </c>
      <c r="BI132" s="16"/>
      <c r="BJ132" s="16">
        <f>2475987+313229</f>
        <v>2789216</v>
      </c>
      <c r="BK132" s="16"/>
      <c r="BL132" s="16">
        <f>61636+518264+61316+29506</f>
        <v>670722</v>
      </c>
      <c r="BM132" s="16"/>
      <c r="BN132" s="16">
        <f t="shared" si="49"/>
        <v>13985228</v>
      </c>
      <c r="BO132" s="37"/>
      <c r="BS132" s="36"/>
      <c r="BT132" s="36"/>
      <c r="BU132" s="41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</row>
    <row r="133" spans="1:95" ht="12.75" customHeight="1" x14ac:dyDescent="0.2">
      <c r="A133" s="6" t="s">
        <v>140</v>
      </c>
      <c r="C133" s="6" t="s">
        <v>100</v>
      </c>
      <c r="E133" s="16">
        <v>7216378</v>
      </c>
      <c r="F133" s="16"/>
      <c r="G133" s="16">
        <v>34292223</v>
      </c>
      <c r="H133" s="16"/>
      <c r="I133" s="16">
        <f t="shared" si="59"/>
        <v>41508601</v>
      </c>
      <c r="J133" s="16"/>
      <c r="K133" s="16">
        <v>2356028</v>
      </c>
      <c r="L133" s="16"/>
      <c r="M133" s="16">
        <v>22023612</v>
      </c>
      <c r="N133" s="16"/>
      <c r="O133" s="16">
        <f t="shared" si="60"/>
        <v>24379640</v>
      </c>
      <c r="P133" s="16"/>
      <c r="Q133" s="16">
        <v>10640531</v>
      </c>
      <c r="R133" s="16"/>
      <c r="S133" s="16">
        <v>570492</v>
      </c>
      <c r="T133" s="16"/>
      <c r="U133" s="16">
        <v>6485088</v>
      </c>
      <c r="V133" s="16"/>
      <c r="W133" s="16">
        <f t="shared" si="61"/>
        <v>17696111</v>
      </c>
      <c r="Z133" s="6" t="s">
        <v>140</v>
      </c>
      <c r="AA133" s="16"/>
      <c r="AB133" s="6" t="s">
        <v>100</v>
      </c>
      <c r="AD133" s="16">
        <v>8172166</v>
      </c>
      <c r="AE133" s="16"/>
      <c r="AF133" s="16">
        <f>7934236-2014721</f>
        <v>5919515</v>
      </c>
      <c r="AG133" s="16"/>
      <c r="AH133" s="16">
        <v>2014721</v>
      </c>
      <c r="AI133" s="16"/>
      <c r="AJ133" s="8">
        <f t="shared" si="62"/>
        <v>237930</v>
      </c>
      <c r="AK133" s="8"/>
      <c r="AL133" s="16">
        <v>-906806</v>
      </c>
      <c r="AM133" s="8"/>
      <c r="AN133" s="16">
        <v>0</v>
      </c>
      <c r="AO133" s="16"/>
      <c r="AP133" s="16">
        <v>0</v>
      </c>
      <c r="AQ133" s="16"/>
      <c r="AR133" s="16">
        <v>66416</v>
      </c>
      <c r="AS133" s="16"/>
      <c r="AT133" s="8">
        <f t="shared" si="63"/>
        <v>-602460</v>
      </c>
      <c r="AU133" s="8"/>
      <c r="AV133" s="16">
        <v>0</v>
      </c>
      <c r="AW133" s="16"/>
      <c r="AX133" s="16">
        <v>0</v>
      </c>
      <c r="AY133" s="16"/>
      <c r="AZ133" s="16">
        <f t="shared" si="64"/>
        <v>4860350</v>
      </c>
      <c r="BB133" s="6" t="s">
        <v>140</v>
      </c>
      <c r="BC133" s="6"/>
      <c r="BD133" s="6" t="s">
        <v>100</v>
      </c>
      <c r="BE133" s="16"/>
      <c r="BF133" s="16">
        <v>0</v>
      </c>
      <c r="BG133" s="16"/>
      <c r="BH133" s="16">
        <f>6378121+280000</f>
        <v>6658121</v>
      </c>
      <c r="BI133" s="16"/>
      <c r="BJ133" s="16">
        <f>15081670+1319086</f>
        <v>16400756</v>
      </c>
      <c r="BK133" s="16"/>
      <c r="BL133" s="16">
        <f>52492+563821</f>
        <v>616313</v>
      </c>
      <c r="BM133" s="16"/>
      <c r="BN133" s="16">
        <f t="shared" si="49"/>
        <v>23675190</v>
      </c>
      <c r="BO133" s="17"/>
      <c r="BP133" s="6"/>
      <c r="BQ133" s="6"/>
      <c r="BR133" s="6"/>
    </row>
    <row r="134" spans="1:95" ht="12.75" customHeight="1" x14ac:dyDescent="0.2">
      <c r="A134" s="6" t="s">
        <v>141</v>
      </c>
      <c r="C134" s="6" t="s">
        <v>109</v>
      </c>
      <c r="E134" s="16">
        <v>2872517</v>
      </c>
      <c r="F134" s="16"/>
      <c r="G134" s="16">
        <v>10297</v>
      </c>
      <c r="H134" s="16"/>
      <c r="I134" s="16">
        <f t="shared" si="59"/>
        <v>2882814</v>
      </c>
      <c r="J134" s="16"/>
      <c r="K134" s="16">
        <v>85192</v>
      </c>
      <c r="L134" s="16"/>
      <c r="M134" s="16">
        <v>13467472</v>
      </c>
      <c r="N134" s="16"/>
      <c r="O134" s="16">
        <f t="shared" si="60"/>
        <v>13552664</v>
      </c>
      <c r="P134" s="16"/>
      <c r="Q134" s="16">
        <v>18124360</v>
      </c>
      <c r="R134" s="16"/>
      <c r="S134" s="16">
        <f>850763+200000</f>
        <v>1050763</v>
      </c>
      <c r="T134" s="16"/>
      <c r="U134" s="16">
        <v>4276768</v>
      </c>
      <c r="V134" s="16"/>
      <c r="W134" s="16">
        <f t="shared" si="61"/>
        <v>23451891</v>
      </c>
      <c r="Z134" s="6" t="s">
        <v>141</v>
      </c>
      <c r="AA134" s="16"/>
      <c r="AB134" s="6" t="s">
        <v>109</v>
      </c>
      <c r="AD134" s="16">
        <v>3215031</v>
      </c>
      <c r="AE134" s="16"/>
      <c r="AF134" s="16">
        <f>2906416-962135</f>
        <v>1944281</v>
      </c>
      <c r="AG134" s="16"/>
      <c r="AH134" s="16">
        <v>962135</v>
      </c>
      <c r="AI134" s="16"/>
      <c r="AJ134" s="8">
        <f t="shared" si="62"/>
        <v>308615</v>
      </c>
      <c r="AK134" s="8"/>
      <c r="AL134" s="16">
        <v>-708543</v>
      </c>
      <c r="AM134" s="8"/>
      <c r="AN134" s="16">
        <v>0</v>
      </c>
      <c r="AO134" s="16"/>
      <c r="AP134" s="16">
        <v>0</v>
      </c>
      <c r="AQ134" s="16"/>
      <c r="AR134" s="16">
        <v>167155</v>
      </c>
      <c r="AS134" s="16"/>
      <c r="AT134" s="8">
        <f t="shared" si="63"/>
        <v>-232773</v>
      </c>
      <c r="AU134" s="8"/>
      <c r="AV134" s="16">
        <v>0</v>
      </c>
      <c r="AW134" s="16"/>
      <c r="AX134" s="16">
        <v>0</v>
      </c>
      <c r="AY134" s="16"/>
      <c r="AZ134" s="16">
        <f t="shared" si="64"/>
        <v>2787325</v>
      </c>
      <c r="BB134" s="6" t="s">
        <v>141</v>
      </c>
      <c r="BC134" s="6"/>
      <c r="BD134" s="6" t="s">
        <v>109</v>
      </c>
      <c r="BE134" s="16"/>
      <c r="BF134" s="16">
        <v>0</v>
      </c>
      <c r="BG134" s="16"/>
      <c r="BH134" s="16">
        <v>13010453</v>
      </c>
      <c r="BI134" s="16"/>
      <c r="BJ134" s="16">
        <v>0</v>
      </c>
      <c r="BK134" s="16"/>
      <c r="BL134" s="16">
        <f>44625+32394+380000+7940</f>
        <v>464959</v>
      </c>
      <c r="BM134" s="16"/>
      <c r="BN134" s="16">
        <f t="shared" si="49"/>
        <v>13475412</v>
      </c>
      <c r="BO134" s="17"/>
      <c r="BP134" s="6"/>
      <c r="BQ134" s="6"/>
      <c r="BR134" s="6"/>
    </row>
    <row r="135" spans="1:95" ht="12.75" customHeight="1" x14ac:dyDescent="0.2">
      <c r="A135" s="6" t="s">
        <v>142</v>
      </c>
      <c r="C135" s="6" t="s">
        <v>86</v>
      </c>
      <c r="E135" s="16">
        <v>6120092</v>
      </c>
      <c r="F135" s="16"/>
      <c r="G135" s="16">
        <v>75525913</v>
      </c>
      <c r="H135" s="16"/>
      <c r="I135" s="16">
        <f t="shared" si="59"/>
        <v>81646005</v>
      </c>
      <c r="J135" s="16"/>
      <c r="K135" s="16">
        <v>3076652</v>
      </c>
      <c r="L135" s="16"/>
      <c r="M135" s="16">
        <v>58096997</v>
      </c>
      <c r="N135" s="16"/>
      <c r="O135" s="16">
        <f t="shared" si="60"/>
        <v>61173649</v>
      </c>
      <c r="P135" s="16"/>
      <c r="Q135" s="16">
        <v>14816687</v>
      </c>
      <c r="R135" s="16"/>
      <c r="S135" s="16">
        <v>0</v>
      </c>
      <c r="T135" s="16"/>
      <c r="U135" s="16">
        <v>4690969</v>
      </c>
      <c r="V135" s="16"/>
      <c r="W135" s="16">
        <f t="shared" si="61"/>
        <v>19507656</v>
      </c>
      <c r="Z135" s="6" t="s">
        <v>142</v>
      </c>
      <c r="AA135" s="16"/>
      <c r="AB135" s="6" t="s">
        <v>86</v>
      </c>
      <c r="AD135" s="16">
        <v>12283502</v>
      </c>
      <c r="AE135" s="16"/>
      <c r="AF135" s="16">
        <f>15983048-2439486</f>
        <v>13543562</v>
      </c>
      <c r="AG135" s="16"/>
      <c r="AH135" s="16">
        <v>2439486</v>
      </c>
      <c r="AI135" s="16"/>
      <c r="AJ135" s="8">
        <f t="shared" si="62"/>
        <v>-3699546</v>
      </c>
      <c r="AK135" s="8"/>
      <c r="AL135" s="16">
        <v>-1616367</v>
      </c>
      <c r="AM135" s="8"/>
      <c r="AN135" s="16">
        <v>0</v>
      </c>
      <c r="AO135" s="16"/>
      <c r="AP135" s="16">
        <v>0</v>
      </c>
      <c r="AQ135" s="16"/>
      <c r="AR135" s="16">
        <v>0</v>
      </c>
      <c r="AS135" s="16"/>
      <c r="AT135" s="8">
        <f t="shared" si="63"/>
        <v>-5315913</v>
      </c>
      <c r="AU135" s="8"/>
      <c r="AV135" s="16">
        <v>0</v>
      </c>
      <c r="AW135" s="16"/>
      <c r="AX135" s="16">
        <v>0</v>
      </c>
      <c r="AY135" s="16"/>
      <c r="AZ135" s="16">
        <f t="shared" si="64"/>
        <v>3043440</v>
      </c>
      <c r="BB135" s="6" t="s">
        <v>142</v>
      </c>
      <c r="BC135" s="6"/>
      <c r="BD135" s="6" t="s">
        <v>86</v>
      </c>
      <c r="BE135" s="16"/>
      <c r="BF135" s="16">
        <v>0</v>
      </c>
      <c r="BG135" s="16"/>
      <c r="BH135" s="16">
        <f>5761059+373125</f>
        <v>6134184</v>
      </c>
      <c r="BI135" s="16"/>
      <c r="BJ135" s="16">
        <f>50685318+1269868</f>
        <v>51955186</v>
      </c>
      <c r="BK135" s="16"/>
      <c r="BL135" s="16">
        <f>369586+2290+1278744+142082+26796+67476</f>
        <v>1886974</v>
      </c>
      <c r="BM135" s="16"/>
      <c r="BN135" s="16">
        <f t="shared" si="49"/>
        <v>59976344</v>
      </c>
      <c r="BO135" s="17"/>
      <c r="BP135" s="6"/>
      <c r="BQ135" s="6"/>
      <c r="BR135" s="6"/>
    </row>
    <row r="136" spans="1:95" ht="12.75" customHeight="1" x14ac:dyDescent="0.2">
      <c r="A136" s="6" t="s">
        <v>34</v>
      </c>
      <c r="C136" s="6" t="s">
        <v>143</v>
      </c>
      <c r="E136" s="16">
        <v>697149</v>
      </c>
      <c r="F136" s="16"/>
      <c r="G136" s="16">
        <v>3525541</v>
      </c>
      <c r="H136" s="16"/>
      <c r="I136" s="16">
        <f t="shared" si="59"/>
        <v>4222690</v>
      </c>
      <c r="J136" s="16"/>
      <c r="K136" s="16">
        <v>243971</v>
      </c>
      <c r="L136" s="16"/>
      <c r="M136" s="16">
        <v>281052</v>
      </c>
      <c r="N136" s="16"/>
      <c r="O136" s="16">
        <f t="shared" si="60"/>
        <v>525023</v>
      </c>
      <c r="P136" s="16"/>
      <c r="Q136" s="16">
        <v>3129314</v>
      </c>
      <c r="R136" s="16"/>
      <c r="S136" s="16">
        <v>0</v>
      </c>
      <c r="T136" s="16"/>
      <c r="U136" s="16">
        <v>568353</v>
      </c>
      <c r="V136" s="16"/>
      <c r="W136" s="16">
        <f t="shared" si="61"/>
        <v>3697667</v>
      </c>
      <c r="Z136" s="6" t="s">
        <v>34</v>
      </c>
      <c r="AA136" s="16"/>
      <c r="AB136" s="6" t="s">
        <v>143</v>
      </c>
      <c r="AD136" s="16">
        <v>1492517</v>
      </c>
      <c r="AE136" s="16"/>
      <c r="AF136" s="16">
        <f>1305387-135366</f>
        <v>1170021</v>
      </c>
      <c r="AG136" s="16"/>
      <c r="AH136" s="16">
        <v>135366</v>
      </c>
      <c r="AI136" s="16"/>
      <c r="AJ136" s="8">
        <f t="shared" si="62"/>
        <v>187130</v>
      </c>
      <c r="AK136" s="8"/>
      <c r="AL136" s="16">
        <v>-22690</v>
      </c>
      <c r="AM136" s="8"/>
      <c r="AN136" s="16">
        <v>0</v>
      </c>
      <c r="AO136" s="16"/>
      <c r="AP136" s="16">
        <v>0</v>
      </c>
      <c r="AQ136" s="16"/>
      <c r="AR136" s="16">
        <v>0</v>
      </c>
      <c r="AS136" s="16"/>
      <c r="AT136" s="8">
        <f t="shared" si="63"/>
        <v>164440</v>
      </c>
      <c r="AU136" s="8"/>
      <c r="AV136" s="16">
        <v>0</v>
      </c>
      <c r="AW136" s="16"/>
      <c r="AX136" s="16">
        <v>0</v>
      </c>
      <c r="AY136" s="16"/>
      <c r="AZ136" s="16">
        <f t="shared" si="64"/>
        <v>453178</v>
      </c>
      <c r="BB136" s="6" t="s">
        <v>34</v>
      </c>
      <c r="BC136" s="6"/>
      <c r="BD136" s="6" t="s">
        <v>143</v>
      </c>
      <c r="BE136" s="16"/>
      <c r="BF136" s="16">
        <f>86543+11284</f>
        <v>97827</v>
      </c>
      <c r="BG136" s="16"/>
      <c r="BH136" s="16">
        <f>152800+145600</f>
        <v>298400</v>
      </c>
      <c r="BI136" s="16"/>
      <c r="BJ136" s="16">
        <v>0</v>
      </c>
      <c r="BK136" s="16"/>
      <c r="BL136" s="16">
        <f>41709+27592</f>
        <v>69301</v>
      </c>
      <c r="BM136" s="16"/>
      <c r="BN136" s="16">
        <f t="shared" si="49"/>
        <v>465528</v>
      </c>
      <c r="BO136" s="17"/>
      <c r="BP136" s="6"/>
      <c r="BQ136" s="6"/>
      <c r="BR136" s="6"/>
    </row>
    <row r="137" spans="1:95" ht="12.75" customHeight="1" x14ac:dyDescent="0.2">
      <c r="A137" s="6" t="s">
        <v>144</v>
      </c>
      <c r="B137" s="6"/>
      <c r="C137" s="6" t="s">
        <v>145</v>
      </c>
      <c r="E137" s="16">
        <v>1781505</v>
      </c>
      <c r="F137" s="16"/>
      <c r="G137" s="16">
        <v>3295054</v>
      </c>
      <c r="H137" s="16"/>
      <c r="I137" s="16">
        <f t="shared" si="59"/>
        <v>5076559</v>
      </c>
      <c r="J137" s="16"/>
      <c r="K137" s="16">
        <v>335077</v>
      </c>
      <c r="L137" s="16"/>
      <c r="M137" s="16">
        <v>858662</v>
      </c>
      <c r="N137" s="16"/>
      <c r="O137" s="16">
        <f t="shared" si="60"/>
        <v>1193739</v>
      </c>
      <c r="P137" s="16"/>
      <c r="Q137" s="16">
        <v>2267070</v>
      </c>
      <c r="R137" s="16"/>
      <c r="S137" s="16">
        <v>0</v>
      </c>
      <c r="T137" s="16"/>
      <c r="U137" s="16">
        <v>1615750</v>
      </c>
      <c r="V137" s="16"/>
      <c r="W137" s="16">
        <f t="shared" si="61"/>
        <v>3882820</v>
      </c>
      <c r="X137" s="6"/>
      <c r="Y137" s="6"/>
      <c r="Z137" s="6" t="s">
        <v>144</v>
      </c>
      <c r="AA137" s="16"/>
      <c r="AB137" s="6" t="s">
        <v>145</v>
      </c>
      <c r="AC137" s="6"/>
      <c r="AD137" s="16">
        <v>1405485</v>
      </c>
      <c r="AE137" s="16"/>
      <c r="AF137" s="16">
        <f>1303127-152628</f>
        <v>1150499</v>
      </c>
      <c r="AG137" s="16"/>
      <c r="AH137" s="16">
        <v>152628</v>
      </c>
      <c r="AI137" s="16"/>
      <c r="AJ137" s="8">
        <f t="shared" si="62"/>
        <v>102358</v>
      </c>
      <c r="AK137" s="8"/>
      <c r="AL137" s="16">
        <v>-161907</v>
      </c>
      <c r="AM137" s="8"/>
      <c r="AN137" s="16">
        <v>0</v>
      </c>
      <c r="AO137" s="16"/>
      <c r="AP137" s="16">
        <v>0</v>
      </c>
      <c r="AQ137" s="16"/>
      <c r="AR137" s="16">
        <v>0</v>
      </c>
      <c r="AS137" s="16"/>
      <c r="AT137" s="8">
        <f t="shared" si="63"/>
        <v>-59549</v>
      </c>
      <c r="AU137" s="8"/>
      <c r="AV137" s="16">
        <v>0</v>
      </c>
      <c r="AW137" s="16"/>
      <c r="AX137" s="16">
        <v>0</v>
      </c>
      <c r="AY137" s="16"/>
      <c r="AZ137" s="16">
        <f t="shared" si="64"/>
        <v>1446428</v>
      </c>
      <c r="BB137" s="6" t="s">
        <v>144</v>
      </c>
      <c r="BC137" s="6"/>
      <c r="BD137" s="6" t="s">
        <v>145</v>
      </c>
      <c r="BE137" s="16"/>
      <c r="BF137" s="16">
        <v>0</v>
      </c>
      <c r="BG137" s="16"/>
      <c r="BH137" s="16">
        <v>0</v>
      </c>
      <c r="BI137" s="16"/>
      <c r="BJ137" s="16">
        <f>774611+110097</f>
        <v>884708</v>
      </c>
      <c r="BK137" s="16"/>
      <c r="BL137" s="16">
        <f>19944+84051</f>
        <v>103995</v>
      </c>
      <c r="BM137" s="16"/>
      <c r="BN137" s="16">
        <f t="shared" si="49"/>
        <v>988703</v>
      </c>
      <c r="BO137" s="17"/>
      <c r="BP137" s="6"/>
      <c r="BQ137" s="6"/>
      <c r="BR137" s="6"/>
    </row>
    <row r="138" spans="1:95" ht="12.75" customHeight="1" x14ac:dyDescent="0.2">
      <c r="A138" s="6" t="s">
        <v>15</v>
      </c>
      <c r="B138" s="6"/>
      <c r="C138" s="6" t="s">
        <v>15</v>
      </c>
      <c r="E138" s="16">
        <v>2991004</v>
      </c>
      <c r="F138" s="16"/>
      <c r="G138" s="16">
        <v>28108582</v>
      </c>
      <c r="H138" s="16"/>
      <c r="I138" s="16">
        <f t="shared" si="59"/>
        <v>31099586</v>
      </c>
      <c r="J138" s="16"/>
      <c r="K138" s="16">
        <v>2624019</v>
      </c>
      <c r="L138" s="16"/>
      <c r="M138" s="16">
        <v>13045619</v>
      </c>
      <c r="N138" s="16"/>
      <c r="O138" s="16">
        <f t="shared" si="60"/>
        <v>15669638</v>
      </c>
      <c r="P138" s="16"/>
      <c r="Q138" s="16">
        <v>14051423</v>
      </c>
      <c r="R138" s="16"/>
      <c r="S138" s="16">
        <f>311357+362219</f>
        <v>673576</v>
      </c>
      <c r="T138" s="16"/>
      <c r="U138" s="16">
        <v>704949</v>
      </c>
      <c r="V138" s="16"/>
      <c r="W138" s="16">
        <f t="shared" si="61"/>
        <v>15429948</v>
      </c>
      <c r="Z138" s="6" t="s">
        <v>15</v>
      </c>
      <c r="AA138" s="16"/>
      <c r="AB138" s="6" t="s">
        <v>15</v>
      </c>
      <c r="AC138" s="6"/>
      <c r="AD138" s="16">
        <v>8175102</v>
      </c>
      <c r="AE138" s="16"/>
      <c r="AF138" s="16">
        <f>7558912-845507</f>
        <v>6713405</v>
      </c>
      <c r="AG138" s="16"/>
      <c r="AH138" s="16">
        <v>845507</v>
      </c>
      <c r="AI138" s="16"/>
      <c r="AJ138" s="8">
        <f t="shared" si="62"/>
        <v>616190</v>
      </c>
      <c r="AK138" s="8"/>
      <c r="AL138" s="16">
        <v>-702391</v>
      </c>
      <c r="AM138" s="8"/>
      <c r="AN138" s="16">
        <v>0</v>
      </c>
      <c r="AO138" s="16"/>
      <c r="AP138" s="16">
        <v>50000</v>
      </c>
      <c r="AQ138" s="16"/>
      <c r="AR138" s="16">
        <v>0</v>
      </c>
      <c r="AS138" s="16"/>
      <c r="AT138" s="8">
        <f t="shared" si="63"/>
        <v>-136201</v>
      </c>
      <c r="AU138" s="8"/>
      <c r="AV138" s="16">
        <v>0</v>
      </c>
      <c r="AW138" s="16"/>
      <c r="AX138" s="16">
        <v>0</v>
      </c>
      <c r="AY138" s="16"/>
      <c r="AZ138" s="16">
        <f t="shared" si="64"/>
        <v>366985</v>
      </c>
      <c r="BB138" s="6" t="s">
        <v>15</v>
      </c>
      <c r="BC138" s="6"/>
      <c r="BD138" s="6" t="s">
        <v>15</v>
      </c>
      <c r="BE138" s="16"/>
      <c r="BF138" s="16">
        <f>1756820+733719</f>
        <v>2490539</v>
      </c>
      <c r="BG138" s="16"/>
      <c r="BH138" s="16">
        <v>0</v>
      </c>
      <c r="BI138" s="16"/>
      <c r="BJ138" s="16">
        <f>10232514+670500</f>
        <v>10903014</v>
      </c>
      <c r="BK138" s="16"/>
      <c r="BL138" s="16">
        <f>543895+512390+134000+41866</f>
        <v>1232151</v>
      </c>
      <c r="BM138" s="16"/>
      <c r="BN138" s="16">
        <f t="shared" si="49"/>
        <v>14625704</v>
      </c>
      <c r="BO138" s="17"/>
      <c r="BP138" s="6"/>
      <c r="BQ138" s="6"/>
      <c r="BR138" s="6"/>
    </row>
    <row r="139" spans="1:95" ht="12.75" customHeight="1" x14ac:dyDescent="0.2">
      <c r="A139" s="6" t="s">
        <v>146</v>
      </c>
      <c r="B139" s="6"/>
      <c r="C139" s="6" t="s">
        <v>13</v>
      </c>
      <c r="E139" s="16">
        <v>2031640</v>
      </c>
      <c r="F139" s="16"/>
      <c r="G139" s="16">
        <v>5647826</v>
      </c>
      <c r="H139" s="16"/>
      <c r="I139" s="16">
        <f t="shared" si="59"/>
        <v>7679466</v>
      </c>
      <c r="J139" s="16"/>
      <c r="K139" s="16">
        <v>1180461</v>
      </c>
      <c r="L139" s="16"/>
      <c r="M139" s="16">
        <v>1392647</v>
      </c>
      <c r="N139" s="16"/>
      <c r="O139" s="16">
        <f t="shared" si="60"/>
        <v>2573108</v>
      </c>
      <c r="P139" s="16"/>
      <c r="Q139" s="16">
        <v>4195460</v>
      </c>
      <c r="R139" s="16"/>
      <c r="S139" s="16">
        <v>0</v>
      </c>
      <c r="T139" s="16"/>
      <c r="U139" s="16">
        <v>910898</v>
      </c>
      <c r="V139" s="16"/>
      <c r="W139" s="16">
        <f t="shared" si="61"/>
        <v>5106358</v>
      </c>
      <c r="X139" s="6"/>
      <c r="Y139" s="6"/>
      <c r="Z139" s="6" t="s">
        <v>146</v>
      </c>
      <c r="AA139" s="16"/>
      <c r="AB139" s="6" t="s">
        <v>13</v>
      </c>
      <c r="AC139" s="6"/>
      <c r="AD139" s="16">
        <v>957702</v>
      </c>
      <c r="AE139" s="16"/>
      <c r="AF139" s="16">
        <f>1071977-205112</f>
        <v>866865</v>
      </c>
      <c r="AG139" s="16"/>
      <c r="AH139" s="16">
        <v>205112</v>
      </c>
      <c r="AI139" s="16"/>
      <c r="AJ139" s="8">
        <f t="shared" si="62"/>
        <v>-114275</v>
      </c>
      <c r="AK139" s="8"/>
      <c r="AL139" s="16">
        <v>320632</v>
      </c>
      <c r="AM139" s="8"/>
      <c r="AN139" s="16">
        <v>0</v>
      </c>
      <c r="AO139" s="16"/>
      <c r="AP139" s="16">
        <v>0</v>
      </c>
      <c r="AQ139" s="16"/>
      <c r="AR139" s="16">
        <v>0</v>
      </c>
      <c r="AS139" s="16"/>
      <c r="AT139" s="8">
        <f t="shared" si="63"/>
        <v>206357</v>
      </c>
      <c r="AU139" s="8"/>
      <c r="AV139" s="16">
        <v>0</v>
      </c>
      <c r="AW139" s="16"/>
      <c r="AX139" s="16">
        <v>0</v>
      </c>
      <c r="AY139" s="16"/>
      <c r="AZ139" s="16">
        <f t="shared" si="64"/>
        <v>851179</v>
      </c>
      <c r="BB139" s="6" t="s">
        <v>146</v>
      </c>
      <c r="BC139" s="6"/>
      <c r="BD139" s="6" t="s">
        <v>13</v>
      </c>
      <c r="BE139" s="16"/>
      <c r="BF139" s="16">
        <f>983296+41400</f>
        <v>1024696</v>
      </c>
      <c r="BG139" s="16"/>
      <c r="BH139" s="16">
        <v>0</v>
      </c>
      <c r="BI139" s="16"/>
      <c r="BJ139" s="16">
        <f>336712+40224+2442+48292</f>
        <v>427670</v>
      </c>
      <c r="BK139" s="16"/>
      <c r="BL139" s="16">
        <f>16035+16380+25635+15788</f>
        <v>73838</v>
      </c>
      <c r="BM139" s="16"/>
      <c r="BN139" s="16">
        <f t="shared" si="49"/>
        <v>1526204</v>
      </c>
      <c r="BO139" s="17"/>
      <c r="BP139" s="6"/>
      <c r="BQ139" s="6"/>
      <c r="BR139" s="6"/>
    </row>
    <row r="140" spans="1:95" ht="12.75" customHeight="1" x14ac:dyDescent="0.2">
      <c r="A140" s="6" t="s">
        <v>147</v>
      </c>
      <c r="C140" s="6" t="s">
        <v>43</v>
      </c>
      <c r="E140" s="16">
        <v>1058597</v>
      </c>
      <c r="F140" s="16"/>
      <c r="G140" s="16">
        <f>787592+9886101</f>
        <v>10673693</v>
      </c>
      <c r="H140" s="16"/>
      <c r="I140" s="16">
        <f t="shared" si="59"/>
        <v>11732290</v>
      </c>
      <c r="J140" s="16"/>
      <c r="K140" s="16">
        <v>297374</v>
      </c>
      <c r="L140" s="16"/>
      <c r="M140" s="16">
        <f>41315+690881+1601171</f>
        <v>2333367</v>
      </c>
      <c r="N140" s="16"/>
      <c r="O140" s="16">
        <f t="shared" si="60"/>
        <v>2630741</v>
      </c>
      <c r="P140" s="16"/>
      <c r="Q140" s="16">
        <v>8182423</v>
      </c>
      <c r="R140" s="16"/>
      <c r="S140" s="16">
        <v>0</v>
      </c>
      <c r="T140" s="16"/>
      <c r="U140" s="16">
        <v>926414</v>
      </c>
      <c r="V140" s="16"/>
      <c r="W140" s="16">
        <f t="shared" si="61"/>
        <v>9108837</v>
      </c>
      <c r="Z140" s="6" t="s">
        <v>147</v>
      </c>
      <c r="AA140" s="16"/>
      <c r="AB140" s="6" t="s">
        <v>43</v>
      </c>
      <c r="AD140" s="16">
        <v>1619459</v>
      </c>
      <c r="AE140" s="16"/>
      <c r="AF140" s="16">
        <f>1981597-325859</f>
        <v>1655738</v>
      </c>
      <c r="AG140" s="16"/>
      <c r="AH140" s="16">
        <v>325859</v>
      </c>
      <c r="AI140" s="16"/>
      <c r="AJ140" s="8">
        <f t="shared" si="62"/>
        <v>-362138</v>
      </c>
      <c r="AK140" s="8"/>
      <c r="AL140" s="16">
        <v>-26418</v>
      </c>
      <c r="AM140" s="8"/>
      <c r="AN140" s="16">
        <v>0</v>
      </c>
      <c r="AO140" s="16"/>
      <c r="AP140" s="16">
        <v>186982</v>
      </c>
      <c r="AQ140" s="16"/>
      <c r="AR140" s="16">
        <v>0</v>
      </c>
      <c r="AS140" s="16"/>
      <c r="AT140" s="8">
        <f t="shared" si="63"/>
        <v>-575538</v>
      </c>
      <c r="AU140" s="8"/>
      <c r="AV140" s="16">
        <v>0</v>
      </c>
      <c r="AW140" s="16"/>
      <c r="AX140" s="16">
        <v>0</v>
      </c>
      <c r="AY140" s="16"/>
      <c r="AZ140" s="16">
        <f t="shared" si="64"/>
        <v>761223</v>
      </c>
      <c r="BB140" s="6" t="s">
        <v>147</v>
      </c>
      <c r="BC140" s="6"/>
      <c r="BD140" s="6" t="s">
        <v>43</v>
      </c>
      <c r="BE140" s="16"/>
      <c r="BF140" s="16">
        <f>690881+125000</f>
        <v>815881</v>
      </c>
      <c r="BG140" s="16"/>
      <c r="BH140" s="16">
        <v>0</v>
      </c>
      <c r="BI140" s="16"/>
      <c r="BJ140" s="16">
        <f>1601171+74218</f>
        <v>1675389</v>
      </c>
      <c r="BK140" s="16"/>
      <c r="BL140" s="16">
        <f>41315+6608</f>
        <v>47923</v>
      </c>
      <c r="BM140" s="16"/>
      <c r="BN140" s="16">
        <f t="shared" si="49"/>
        <v>2539193</v>
      </c>
      <c r="BO140" s="17"/>
      <c r="BP140" s="6"/>
      <c r="BQ140" s="6"/>
      <c r="BR140" s="6"/>
    </row>
    <row r="141" spans="1:95" ht="12.75" hidden="1" customHeight="1" x14ac:dyDescent="0.2">
      <c r="A141" s="6" t="s">
        <v>148</v>
      </c>
      <c r="C141" s="6" t="s">
        <v>25</v>
      </c>
      <c r="E141" s="16">
        <v>0</v>
      </c>
      <c r="F141" s="16"/>
      <c r="G141" s="16"/>
      <c r="H141" s="16"/>
      <c r="I141" s="16">
        <f t="shared" si="59"/>
        <v>0</v>
      </c>
      <c r="J141" s="16"/>
      <c r="K141" s="16">
        <v>0</v>
      </c>
      <c r="L141" s="16"/>
      <c r="M141" s="16"/>
      <c r="N141" s="16"/>
      <c r="O141" s="16">
        <f t="shared" si="60"/>
        <v>0</v>
      </c>
      <c r="P141" s="16"/>
      <c r="Q141" s="16"/>
      <c r="R141" s="16"/>
      <c r="S141" s="16"/>
      <c r="T141" s="16"/>
      <c r="U141" s="16"/>
      <c r="V141" s="16"/>
      <c r="W141" s="16">
        <f t="shared" si="61"/>
        <v>0</v>
      </c>
      <c r="Z141" s="6" t="s">
        <v>148</v>
      </c>
      <c r="AA141" s="16"/>
      <c r="AB141" s="6" t="s">
        <v>25</v>
      </c>
      <c r="AD141" s="16"/>
      <c r="AE141" s="16"/>
      <c r="AF141" s="16"/>
      <c r="AG141" s="16"/>
      <c r="AH141" s="16"/>
      <c r="AI141" s="16"/>
      <c r="AJ141" s="8">
        <f t="shared" si="62"/>
        <v>0</v>
      </c>
      <c r="AK141" s="8"/>
      <c r="AL141" s="16"/>
      <c r="AM141" s="8"/>
      <c r="AN141" s="16"/>
      <c r="AO141" s="16"/>
      <c r="AP141" s="16"/>
      <c r="AQ141" s="16"/>
      <c r="AR141" s="16"/>
      <c r="AS141" s="16"/>
      <c r="AT141" s="8">
        <f t="shared" si="63"/>
        <v>0</v>
      </c>
      <c r="AU141" s="8"/>
      <c r="AV141" s="16">
        <v>0</v>
      </c>
      <c r="AW141" s="16"/>
      <c r="AX141" s="16">
        <v>0</v>
      </c>
      <c r="AY141" s="16"/>
      <c r="AZ141" s="16">
        <f t="shared" si="64"/>
        <v>0</v>
      </c>
      <c r="BB141" s="6" t="s">
        <v>148</v>
      </c>
      <c r="BC141" s="6"/>
      <c r="BD141" s="6" t="s">
        <v>25</v>
      </c>
      <c r="BE141" s="16"/>
      <c r="BF141" s="16"/>
      <c r="BG141" s="16"/>
      <c r="BH141" s="16"/>
      <c r="BI141" s="16"/>
      <c r="BJ141" s="16"/>
      <c r="BK141" s="16"/>
      <c r="BL141" s="16"/>
      <c r="BM141" s="16"/>
      <c r="BN141" s="16">
        <f t="shared" si="49"/>
        <v>0</v>
      </c>
      <c r="BO141" s="17"/>
      <c r="BP141" s="6"/>
      <c r="BQ141" s="6"/>
      <c r="BR141" s="6"/>
    </row>
    <row r="142" spans="1:95" ht="12.75" hidden="1" customHeight="1" x14ac:dyDescent="0.2">
      <c r="A142" s="6" t="s">
        <v>149</v>
      </c>
      <c r="C142" s="6" t="s">
        <v>11</v>
      </c>
      <c r="E142" s="16">
        <v>0</v>
      </c>
      <c r="F142" s="16"/>
      <c r="G142" s="16"/>
      <c r="H142" s="16"/>
      <c r="I142" s="16">
        <f t="shared" si="59"/>
        <v>0</v>
      </c>
      <c r="J142" s="16"/>
      <c r="K142" s="16">
        <v>0</v>
      </c>
      <c r="L142" s="16"/>
      <c r="M142" s="16"/>
      <c r="N142" s="16"/>
      <c r="O142" s="16">
        <f t="shared" si="60"/>
        <v>0</v>
      </c>
      <c r="P142" s="16"/>
      <c r="Q142" s="16"/>
      <c r="R142" s="16"/>
      <c r="S142" s="16"/>
      <c r="T142" s="16"/>
      <c r="U142" s="16"/>
      <c r="V142" s="16"/>
      <c r="W142" s="16">
        <f t="shared" si="61"/>
        <v>0</v>
      </c>
      <c r="Z142" s="6" t="s">
        <v>149</v>
      </c>
      <c r="AA142" s="16"/>
      <c r="AB142" s="6" t="s">
        <v>11</v>
      </c>
      <c r="AD142" s="16"/>
      <c r="AE142" s="16"/>
      <c r="AF142" s="16"/>
      <c r="AG142" s="16"/>
      <c r="AH142" s="16"/>
      <c r="AI142" s="16"/>
      <c r="AJ142" s="8">
        <f t="shared" si="62"/>
        <v>0</v>
      </c>
      <c r="AK142" s="8"/>
      <c r="AL142" s="16"/>
      <c r="AM142" s="8"/>
      <c r="AN142" s="16"/>
      <c r="AO142" s="16"/>
      <c r="AP142" s="16"/>
      <c r="AQ142" s="16"/>
      <c r="AR142" s="16"/>
      <c r="AS142" s="16"/>
      <c r="AT142" s="8">
        <f t="shared" si="63"/>
        <v>0</v>
      </c>
      <c r="AU142" s="8"/>
      <c r="AV142" s="16">
        <v>0</v>
      </c>
      <c r="AW142" s="16"/>
      <c r="AX142" s="16">
        <v>0</v>
      </c>
      <c r="AY142" s="16"/>
      <c r="AZ142" s="16">
        <f t="shared" si="64"/>
        <v>0</v>
      </c>
      <c r="BB142" s="6" t="s">
        <v>149</v>
      </c>
      <c r="BC142" s="6"/>
      <c r="BD142" s="6" t="s">
        <v>11</v>
      </c>
      <c r="BE142" s="16"/>
      <c r="BF142" s="16"/>
      <c r="BG142" s="16"/>
      <c r="BH142" s="16"/>
      <c r="BI142" s="16"/>
      <c r="BJ142" s="16"/>
      <c r="BK142" s="16"/>
      <c r="BL142" s="16"/>
      <c r="BM142" s="16"/>
      <c r="BN142" s="16">
        <f t="shared" si="49"/>
        <v>0</v>
      </c>
      <c r="BO142" s="17"/>
      <c r="BP142" s="6"/>
      <c r="BQ142" s="6"/>
      <c r="BR142" s="6"/>
    </row>
    <row r="143" spans="1:95" ht="12.75" customHeight="1" x14ac:dyDescent="0.2">
      <c r="A143" s="6" t="s">
        <v>150</v>
      </c>
      <c r="C143" s="6" t="s">
        <v>151</v>
      </c>
      <c r="E143" s="16">
        <v>9849961</v>
      </c>
      <c r="F143" s="16"/>
      <c r="G143" s="16">
        <v>14699964</v>
      </c>
      <c r="H143" s="16"/>
      <c r="I143" s="16">
        <f t="shared" si="59"/>
        <v>24549925</v>
      </c>
      <c r="J143" s="16"/>
      <c r="K143" s="16">
        <v>776422</v>
      </c>
      <c r="L143" s="16"/>
      <c r="M143" s="16">
        <v>827352</v>
      </c>
      <c r="N143" s="16"/>
      <c r="O143" s="16">
        <f t="shared" si="60"/>
        <v>1603774</v>
      </c>
      <c r="P143" s="16"/>
      <c r="Q143" s="16">
        <v>13789644</v>
      </c>
      <c r="R143" s="16"/>
      <c r="S143" s="16">
        <v>0</v>
      </c>
      <c r="T143" s="16"/>
      <c r="U143" s="16">
        <v>9156507</v>
      </c>
      <c r="V143" s="16"/>
      <c r="W143" s="16">
        <f t="shared" si="61"/>
        <v>22946151</v>
      </c>
      <c r="Z143" s="6" t="s">
        <v>150</v>
      </c>
      <c r="AA143" s="16"/>
      <c r="AB143" s="6" t="s">
        <v>151</v>
      </c>
      <c r="AD143" s="16">
        <v>6605686</v>
      </c>
      <c r="AE143" s="16"/>
      <c r="AF143" s="16">
        <f>5915598-677340</f>
        <v>5238258</v>
      </c>
      <c r="AG143" s="16"/>
      <c r="AH143" s="16">
        <v>677340</v>
      </c>
      <c r="AI143" s="16"/>
      <c r="AJ143" s="8">
        <f t="shared" si="62"/>
        <v>690088</v>
      </c>
      <c r="AK143" s="8"/>
      <c r="AL143" s="16">
        <v>8796</v>
      </c>
      <c r="AM143" s="8"/>
      <c r="AN143" s="16">
        <v>0</v>
      </c>
      <c r="AO143" s="16"/>
      <c r="AP143" s="16">
        <v>0</v>
      </c>
      <c r="AQ143" s="16"/>
      <c r="AR143" s="16">
        <v>382810</v>
      </c>
      <c r="AS143" s="16"/>
      <c r="AT143" s="8">
        <f t="shared" si="63"/>
        <v>1081694</v>
      </c>
      <c r="AU143" s="8"/>
      <c r="AV143" s="16">
        <v>0</v>
      </c>
      <c r="AW143" s="16"/>
      <c r="AX143" s="16">
        <v>0</v>
      </c>
      <c r="AY143" s="16"/>
      <c r="AZ143" s="16">
        <f t="shared" si="64"/>
        <v>9073539</v>
      </c>
      <c r="BB143" s="6" t="s">
        <v>150</v>
      </c>
      <c r="BC143" s="6"/>
      <c r="BD143" s="6" t="s">
        <v>151</v>
      </c>
      <c r="BE143" s="16"/>
      <c r="BF143" s="16">
        <v>225000</v>
      </c>
      <c r="BG143" s="16"/>
      <c r="BH143" s="16">
        <v>0</v>
      </c>
      <c r="BI143" s="16"/>
      <c r="BJ143" s="16">
        <v>0</v>
      </c>
      <c r="BK143" s="16"/>
      <c r="BL143" s="16">
        <f>675629+151723+9691+256458</f>
        <v>1093501</v>
      </c>
      <c r="BM143" s="16"/>
      <c r="BN143" s="16">
        <f t="shared" si="49"/>
        <v>1318501</v>
      </c>
      <c r="BO143" s="17"/>
      <c r="BP143" s="6"/>
      <c r="BQ143" s="6"/>
      <c r="BR143" s="6"/>
    </row>
    <row r="144" spans="1:95" ht="12.75" hidden="1" customHeight="1" x14ac:dyDescent="0.2">
      <c r="A144" s="6" t="s">
        <v>152</v>
      </c>
      <c r="C144" s="6" t="s">
        <v>25</v>
      </c>
      <c r="E144" s="16">
        <v>0</v>
      </c>
      <c r="F144" s="16"/>
      <c r="G144" s="16"/>
      <c r="H144" s="16"/>
      <c r="I144" s="16">
        <f t="shared" si="59"/>
        <v>0</v>
      </c>
      <c r="J144" s="16"/>
      <c r="K144" s="16">
        <v>0</v>
      </c>
      <c r="L144" s="16"/>
      <c r="M144" s="16"/>
      <c r="N144" s="16"/>
      <c r="O144" s="16">
        <f t="shared" si="60"/>
        <v>0</v>
      </c>
      <c r="P144" s="16"/>
      <c r="Q144" s="16"/>
      <c r="R144" s="16"/>
      <c r="S144" s="16"/>
      <c r="T144" s="16"/>
      <c r="U144" s="16"/>
      <c r="V144" s="16"/>
      <c r="W144" s="16">
        <f t="shared" si="61"/>
        <v>0</v>
      </c>
      <c r="Z144" s="6" t="s">
        <v>152</v>
      </c>
      <c r="AA144" s="16"/>
      <c r="AB144" s="6" t="s">
        <v>25</v>
      </c>
      <c r="AD144" s="16"/>
      <c r="AE144" s="16"/>
      <c r="AF144" s="16"/>
      <c r="AG144" s="16"/>
      <c r="AH144" s="16"/>
      <c r="AI144" s="16"/>
      <c r="AJ144" s="8">
        <f t="shared" si="62"/>
        <v>0</v>
      </c>
      <c r="AK144" s="8"/>
      <c r="AL144" s="16"/>
      <c r="AM144" s="8"/>
      <c r="AN144" s="16"/>
      <c r="AO144" s="16"/>
      <c r="AP144" s="16"/>
      <c r="AQ144" s="16"/>
      <c r="AR144" s="16"/>
      <c r="AS144" s="16"/>
      <c r="AT144" s="8">
        <f t="shared" si="63"/>
        <v>0</v>
      </c>
      <c r="AU144" s="8"/>
      <c r="AV144" s="16">
        <v>0</v>
      </c>
      <c r="AW144" s="16"/>
      <c r="AX144" s="16">
        <v>0</v>
      </c>
      <c r="AY144" s="16"/>
      <c r="AZ144" s="16">
        <f t="shared" si="64"/>
        <v>0</v>
      </c>
      <c r="BB144" s="6" t="s">
        <v>152</v>
      </c>
      <c r="BC144" s="6"/>
      <c r="BD144" s="6" t="s">
        <v>25</v>
      </c>
      <c r="BE144" s="16"/>
      <c r="BF144" s="16"/>
      <c r="BG144" s="16"/>
      <c r="BH144" s="16"/>
      <c r="BI144" s="16"/>
      <c r="BJ144" s="16"/>
      <c r="BK144" s="16"/>
      <c r="BL144" s="16"/>
      <c r="BM144" s="16"/>
      <c r="BN144" s="16">
        <f t="shared" si="49"/>
        <v>0</v>
      </c>
      <c r="BO144" s="17"/>
      <c r="BP144" s="6"/>
      <c r="BQ144" s="6"/>
      <c r="BR144" s="6"/>
    </row>
    <row r="145" spans="1:70" ht="12.75" customHeight="1" x14ac:dyDescent="0.2">
      <c r="A145" s="6" t="s">
        <v>153</v>
      </c>
      <c r="B145" s="6"/>
      <c r="C145" s="6" t="s">
        <v>38</v>
      </c>
      <c r="E145" s="16">
        <v>2314285</v>
      </c>
      <c r="F145" s="16"/>
      <c r="G145" s="16">
        <v>4768094</v>
      </c>
      <c r="H145" s="16"/>
      <c r="I145" s="16">
        <f t="shared" si="59"/>
        <v>7082379</v>
      </c>
      <c r="J145" s="16"/>
      <c r="K145" s="16">
        <v>1001524</v>
      </c>
      <c r="L145" s="16"/>
      <c r="M145" s="16">
        <v>4954326</v>
      </c>
      <c r="N145" s="16"/>
      <c r="O145" s="16">
        <f t="shared" si="60"/>
        <v>5955850</v>
      </c>
      <c r="P145" s="16"/>
      <c r="Q145" s="16">
        <v>-221641</v>
      </c>
      <c r="R145" s="16"/>
      <c r="S145" s="16">
        <v>24583</v>
      </c>
      <c r="T145" s="16"/>
      <c r="U145" s="16">
        <v>1459591</v>
      </c>
      <c r="V145" s="16"/>
      <c r="W145" s="16">
        <f t="shared" si="61"/>
        <v>1262533</v>
      </c>
      <c r="X145" s="6"/>
      <c r="Y145" s="6"/>
      <c r="Z145" s="6" t="s">
        <v>153</v>
      </c>
      <c r="AA145" s="16"/>
      <c r="AB145" s="6" t="s">
        <v>38</v>
      </c>
      <c r="AC145" s="6"/>
      <c r="AD145" s="16">
        <v>2998108</v>
      </c>
      <c r="AE145" s="16"/>
      <c r="AF145" s="16">
        <f>2806082-491663</f>
        <v>2314419</v>
      </c>
      <c r="AG145" s="16"/>
      <c r="AH145" s="16">
        <v>491663</v>
      </c>
      <c r="AI145" s="16"/>
      <c r="AJ145" s="8">
        <f t="shared" si="62"/>
        <v>192026</v>
      </c>
      <c r="AK145" s="8"/>
      <c r="AL145" s="16">
        <v>-282476</v>
      </c>
      <c r="AM145" s="8"/>
      <c r="AN145" s="16">
        <v>0</v>
      </c>
      <c r="AO145" s="16"/>
      <c r="AP145" s="16">
        <v>0</v>
      </c>
      <c r="AQ145" s="16"/>
      <c r="AR145" s="16">
        <v>0</v>
      </c>
      <c r="AS145" s="16"/>
      <c r="AT145" s="8">
        <f t="shared" si="63"/>
        <v>-90450</v>
      </c>
      <c r="AU145" s="8"/>
      <c r="AV145" s="16">
        <v>0</v>
      </c>
      <c r="AW145" s="16"/>
      <c r="AX145" s="16">
        <v>0</v>
      </c>
      <c r="AY145" s="16"/>
      <c r="AZ145" s="16">
        <f t="shared" si="64"/>
        <v>1312761</v>
      </c>
      <c r="BA145" s="20"/>
      <c r="BB145" s="6" t="s">
        <v>153</v>
      </c>
      <c r="BC145" s="6"/>
      <c r="BD145" s="6" t="s">
        <v>38</v>
      </c>
      <c r="BE145" s="16"/>
      <c r="BF145" s="16">
        <f>2810511+295000</f>
        <v>3105511</v>
      </c>
      <c r="BG145" s="16"/>
      <c r="BH145" s="16">
        <v>0</v>
      </c>
      <c r="BI145" s="16"/>
      <c r="BJ145" s="16">
        <f>400510+21398</f>
        <v>421908</v>
      </c>
      <c r="BK145" s="16"/>
      <c r="BL145" s="16">
        <f>132305+110751+1611000+213000</f>
        <v>2067056</v>
      </c>
      <c r="BM145" s="16"/>
      <c r="BN145" s="16">
        <f t="shared" si="49"/>
        <v>5594475</v>
      </c>
      <c r="BO145" s="17"/>
      <c r="BP145" s="6"/>
      <c r="BQ145" s="6"/>
      <c r="BR145" s="6"/>
    </row>
    <row r="146" spans="1:70" ht="12.75" hidden="1" customHeight="1" x14ac:dyDescent="0.2">
      <c r="A146" s="6" t="s">
        <v>154</v>
      </c>
      <c r="C146" s="6" t="s">
        <v>154</v>
      </c>
      <c r="E146" s="16">
        <v>0</v>
      </c>
      <c r="F146" s="16"/>
      <c r="G146" s="16"/>
      <c r="H146" s="16"/>
      <c r="I146" s="16">
        <f t="shared" si="59"/>
        <v>0</v>
      </c>
      <c r="J146" s="16"/>
      <c r="K146" s="16">
        <v>0</v>
      </c>
      <c r="L146" s="16"/>
      <c r="M146" s="16"/>
      <c r="N146" s="16"/>
      <c r="O146" s="16">
        <f t="shared" si="60"/>
        <v>0</v>
      </c>
      <c r="P146" s="16"/>
      <c r="Q146" s="16"/>
      <c r="R146" s="16"/>
      <c r="S146" s="16"/>
      <c r="T146" s="16"/>
      <c r="U146" s="16"/>
      <c r="V146" s="16"/>
      <c r="W146" s="16">
        <f t="shared" si="61"/>
        <v>0</v>
      </c>
      <c r="Z146" s="6" t="s">
        <v>154</v>
      </c>
      <c r="AA146" s="16"/>
      <c r="AB146" s="6" t="s">
        <v>154</v>
      </c>
      <c r="AD146" s="16"/>
      <c r="AE146" s="16"/>
      <c r="AF146" s="16"/>
      <c r="AG146" s="16"/>
      <c r="AH146" s="16"/>
      <c r="AI146" s="16"/>
      <c r="AJ146" s="8">
        <f t="shared" si="62"/>
        <v>0</v>
      </c>
      <c r="AK146" s="8"/>
      <c r="AL146" s="16"/>
      <c r="AM146" s="8"/>
      <c r="AN146" s="16"/>
      <c r="AO146" s="16"/>
      <c r="AP146" s="16"/>
      <c r="AQ146" s="16"/>
      <c r="AR146" s="16"/>
      <c r="AS146" s="16"/>
      <c r="AT146" s="8">
        <f t="shared" si="63"/>
        <v>0</v>
      </c>
      <c r="AU146" s="8"/>
      <c r="AV146" s="16">
        <v>0</v>
      </c>
      <c r="AW146" s="16"/>
      <c r="AX146" s="16">
        <v>0</v>
      </c>
      <c r="AY146" s="16"/>
      <c r="AZ146" s="16">
        <f t="shared" si="64"/>
        <v>0</v>
      </c>
      <c r="BB146" s="6" t="s">
        <v>154</v>
      </c>
      <c r="BC146" s="6"/>
      <c r="BD146" s="6" t="s">
        <v>154</v>
      </c>
      <c r="BE146" s="16"/>
      <c r="BF146" s="16"/>
      <c r="BG146" s="16"/>
      <c r="BH146" s="16"/>
      <c r="BI146" s="16"/>
      <c r="BJ146" s="16"/>
      <c r="BK146" s="16"/>
      <c r="BL146" s="16"/>
      <c r="BM146" s="16"/>
      <c r="BN146" s="16">
        <f t="shared" si="49"/>
        <v>0</v>
      </c>
      <c r="BO146" s="17"/>
      <c r="BP146" s="6"/>
      <c r="BQ146" s="6"/>
      <c r="BR146" s="6"/>
    </row>
    <row r="147" spans="1:70" ht="12.75" customHeight="1" x14ac:dyDescent="0.2">
      <c r="A147" s="6" t="s">
        <v>155</v>
      </c>
      <c r="C147" s="6" t="s">
        <v>31</v>
      </c>
      <c r="E147" s="16">
        <v>679703</v>
      </c>
      <c r="F147" s="16"/>
      <c r="G147" s="16">
        <v>13819710</v>
      </c>
      <c r="H147" s="16"/>
      <c r="I147" s="16">
        <f t="shared" si="59"/>
        <v>14499413</v>
      </c>
      <c r="J147" s="16"/>
      <c r="K147" s="16">
        <v>790660</v>
      </c>
      <c r="L147" s="16"/>
      <c r="M147" s="16">
        <v>7671685</v>
      </c>
      <c r="N147" s="16"/>
      <c r="O147" s="16">
        <f t="shared" si="60"/>
        <v>8462345</v>
      </c>
      <c r="P147" s="16"/>
      <c r="Q147" s="16">
        <v>5578144</v>
      </c>
      <c r="R147" s="16"/>
      <c r="S147" s="16">
        <v>0</v>
      </c>
      <c r="T147" s="16"/>
      <c r="U147" s="16">
        <v>458924</v>
      </c>
      <c r="V147" s="16"/>
      <c r="W147" s="16">
        <f t="shared" si="61"/>
        <v>6037068</v>
      </c>
      <c r="Z147" s="6" t="s">
        <v>155</v>
      </c>
      <c r="AA147" s="16"/>
      <c r="AB147" s="6" t="s">
        <v>31</v>
      </c>
      <c r="AD147" s="16">
        <v>2999846</v>
      </c>
      <c r="AE147" s="16"/>
      <c r="AF147" s="16">
        <f>2578019-618296</f>
        <v>1959723</v>
      </c>
      <c r="AG147" s="16"/>
      <c r="AH147" s="16">
        <v>618296</v>
      </c>
      <c r="AI147" s="16"/>
      <c r="AJ147" s="8">
        <f t="shared" si="62"/>
        <v>421827</v>
      </c>
      <c r="AK147" s="8"/>
      <c r="AL147" s="16">
        <v>-163490</v>
      </c>
      <c r="AM147" s="8"/>
      <c r="AN147" s="16">
        <v>0</v>
      </c>
      <c r="AO147" s="16"/>
      <c r="AP147" s="16">
        <v>0</v>
      </c>
      <c r="AQ147" s="16"/>
      <c r="AR147" s="16">
        <v>0</v>
      </c>
      <c r="AS147" s="16"/>
      <c r="AT147" s="8">
        <f t="shared" si="63"/>
        <v>258337</v>
      </c>
      <c r="AU147" s="8"/>
      <c r="AV147" s="16">
        <v>0</v>
      </c>
      <c r="AW147" s="16"/>
      <c r="AX147" s="16">
        <v>0</v>
      </c>
      <c r="AY147" s="16"/>
      <c r="AZ147" s="16">
        <f t="shared" si="64"/>
        <v>-110957</v>
      </c>
      <c r="BB147" s="6" t="s">
        <v>155</v>
      </c>
      <c r="BC147" s="6"/>
      <c r="BD147" s="6" t="s">
        <v>31</v>
      </c>
      <c r="BE147" s="16"/>
      <c r="BF147" s="16">
        <v>0</v>
      </c>
      <c r="BG147" s="16"/>
      <c r="BH147" s="16">
        <v>0</v>
      </c>
      <c r="BI147" s="16"/>
      <c r="BJ147" s="16">
        <f>723623+6816087+43138+632061</f>
        <v>8214909</v>
      </c>
      <c r="BK147" s="16"/>
      <c r="BL147" s="16">
        <f>76458+14722+5415+35380+6520+6121</f>
        <v>144616</v>
      </c>
      <c r="BM147" s="16"/>
      <c r="BN147" s="16">
        <f t="shared" si="49"/>
        <v>8359525</v>
      </c>
      <c r="BO147" s="17"/>
      <c r="BP147" s="6"/>
      <c r="BQ147" s="6"/>
      <c r="BR147" s="6"/>
    </row>
    <row r="148" spans="1:70" ht="12.75" customHeight="1" x14ac:dyDescent="0.2">
      <c r="A148" s="6" t="s">
        <v>156</v>
      </c>
      <c r="C148" s="6" t="s">
        <v>157</v>
      </c>
      <c r="E148" s="16">
        <v>16999819</v>
      </c>
      <c r="F148" s="16"/>
      <c r="G148" s="16">
        <v>39171345</v>
      </c>
      <c r="H148" s="16"/>
      <c r="I148" s="16">
        <f t="shared" si="59"/>
        <v>56171164</v>
      </c>
      <c r="J148" s="16"/>
      <c r="K148" s="16">
        <v>693232</v>
      </c>
      <c r="L148" s="16"/>
      <c r="M148" s="16">
        <v>21471237</v>
      </c>
      <c r="N148" s="16"/>
      <c r="O148" s="16">
        <f t="shared" si="60"/>
        <v>22164469</v>
      </c>
      <c r="P148" s="16"/>
      <c r="Q148" s="16">
        <v>17506143</v>
      </c>
      <c r="R148" s="16"/>
      <c r="S148" s="16">
        <v>5560664</v>
      </c>
      <c r="T148" s="16"/>
      <c r="U148" s="16">
        <v>10939888</v>
      </c>
      <c r="V148" s="16"/>
      <c r="W148" s="16">
        <f t="shared" si="61"/>
        <v>34006695</v>
      </c>
      <c r="Z148" s="6" t="s">
        <v>156</v>
      </c>
      <c r="AA148" s="16"/>
      <c r="AB148" s="6" t="s">
        <v>157</v>
      </c>
      <c r="AD148" s="16">
        <v>7154859</v>
      </c>
      <c r="AE148" s="16"/>
      <c r="AF148" s="16">
        <f>4632261-1279635</f>
        <v>3352626</v>
      </c>
      <c r="AG148" s="16"/>
      <c r="AH148" s="16">
        <v>1279635</v>
      </c>
      <c r="AI148" s="16"/>
      <c r="AJ148" s="8">
        <f t="shared" si="62"/>
        <v>2522598</v>
      </c>
      <c r="AK148" s="8"/>
      <c r="AL148" s="16">
        <v>4096682</v>
      </c>
      <c r="AM148" s="8"/>
      <c r="AN148" s="16">
        <v>0</v>
      </c>
      <c r="AO148" s="16"/>
      <c r="AP148" s="16">
        <v>0</v>
      </c>
      <c r="AQ148" s="16"/>
      <c r="AR148" s="16">
        <v>0</v>
      </c>
      <c r="AS148" s="16"/>
      <c r="AT148" s="8">
        <f t="shared" si="63"/>
        <v>6619280</v>
      </c>
      <c r="AU148" s="8"/>
      <c r="AV148" s="16">
        <v>0</v>
      </c>
      <c r="AW148" s="16"/>
      <c r="AX148" s="16">
        <v>0</v>
      </c>
      <c r="AY148" s="16"/>
      <c r="AZ148" s="16">
        <f t="shared" si="64"/>
        <v>16306587</v>
      </c>
      <c r="BB148" s="6" t="s">
        <v>156</v>
      </c>
      <c r="BC148" s="6"/>
      <c r="BD148" s="6" t="s">
        <v>157</v>
      </c>
      <c r="BE148" s="16"/>
      <c r="BF148" s="16">
        <v>186630</v>
      </c>
      <c r="BG148" s="16"/>
      <c r="BH148" s="16">
        <f>20801673+124271</f>
        <v>20925944</v>
      </c>
      <c r="BI148" s="16"/>
      <c r="BJ148" s="16">
        <f>517443+29568</f>
        <v>547011</v>
      </c>
      <c r="BK148" s="16"/>
      <c r="BL148" s="16">
        <f>70738+81383+85504</f>
        <v>237625</v>
      </c>
      <c r="BM148" s="16"/>
      <c r="BN148" s="16">
        <f t="shared" si="49"/>
        <v>21897210</v>
      </c>
      <c r="BO148" s="17"/>
      <c r="BP148" s="6"/>
      <c r="BQ148" s="6"/>
      <c r="BR148" s="6"/>
    </row>
    <row r="149" spans="1:70" ht="12.75" hidden="1" customHeight="1" x14ac:dyDescent="0.2">
      <c r="A149" s="6" t="s">
        <v>158</v>
      </c>
      <c r="C149" s="6" t="s">
        <v>109</v>
      </c>
      <c r="E149" s="16">
        <v>0</v>
      </c>
      <c r="F149" s="16"/>
      <c r="G149" s="16"/>
      <c r="H149" s="16"/>
      <c r="I149" s="16">
        <f t="shared" si="59"/>
        <v>0</v>
      </c>
      <c r="J149" s="16"/>
      <c r="K149" s="16">
        <v>0</v>
      </c>
      <c r="L149" s="16"/>
      <c r="M149" s="16"/>
      <c r="N149" s="16"/>
      <c r="O149" s="16">
        <f t="shared" si="60"/>
        <v>0</v>
      </c>
      <c r="P149" s="16"/>
      <c r="Q149" s="16"/>
      <c r="R149" s="16"/>
      <c r="S149" s="16"/>
      <c r="T149" s="16"/>
      <c r="U149" s="16"/>
      <c r="V149" s="16"/>
      <c r="W149" s="16">
        <f t="shared" si="61"/>
        <v>0</v>
      </c>
      <c r="Z149" s="6" t="s">
        <v>158</v>
      </c>
      <c r="AA149" s="16"/>
      <c r="AB149" s="6" t="s">
        <v>109</v>
      </c>
      <c r="AD149" s="16"/>
      <c r="AE149" s="16"/>
      <c r="AF149" s="16"/>
      <c r="AG149" s="16"/>
      <c r="AH149" s="16"/>
      <c r="AI149" s="16"/>
      <c r="AJ149" s="8">
        <f t="shared" si="62"/>
        <v>0</v>
      </c>
      <c r="AK149" s="8"/>
      <c r="AL149" s="16"/>
      <c r="AM149" s="8"/>
      <c r="AN149" s="16"/>
      <c r="AO149" s="16"/>
      <c r="AP149" s="16"/>
      <c r="AQ149" s="16"/>
      <c r="AR149" s="16"/>
      <c r="AS149" s="16"/>
      <c r="AT149" s="8">
        <f t="shared" si="63"/>
        <v>0</v>
      </c>
      <c r="AU149" s="8"/>
      <c r="AV149" s="16">
        <v>0</v>
      </c>
      <c r="AW149" s="16"/>
      <c r="AX149" s="16">
        <v>0</v>
      </c>
      <c r="AY149" s="16"/>
      <c r="AZ149" s="16">
        <f t="shared" si="64"/>
        <v>0</v>
      </c>
      <c r="BB149" s="6" t="s">
        <v>158</v>
      </c>
      <c r="BC149" s="6"/>
      <c r="BD149" s="6" t="s">
        <v>109</v>
      </c>
      <c r="BE149" s="16"/>
      <c r="BF149" s="16"/>
      <c r="BG149" s="16"/>
      <c r="BH149" s="16"/>
      <c r="BI149" s="16"/>
      <c r="BJ149" s="16"/>
      <c r="BK149" s="16"/>
      <c r="BL149" s="16"/>
      <c r="BM149" s="16"/>
      <c r="BN149" s="16">
        <f t="shared" si="49"/>
        <v>0</v>
      </c>
      <c r="BO149" s="17"/>
      <c r="BP149" s="6"/>
      <c r="BQ149" s="6"/>
      <c r="BR149" s="6"/>
    </row>
    <row r="150" spans="1:70" ht="12.75" hidden="1" customHeight="1" x14ac:dyDescent="0.2">
      <c r="A150" s="6" t="s">
        <v>159</v>
      </c>
      <c r="C150" s="6" t="s">
        <v>13</v>
      </c>
      <c r="E150" s="16">
        <v>0</v>
      </c>
      <c r="F150" s="16"/>
      <c r="G150" s="16"/>
      <c r="H150" s="16"/>
      <c r="I150" s="16">
        <f t="shared" si="59"/>
        <v>0</v>
      </c>
      <c r="J150" s="16"/>
      <c r="K150" s="16">
        <v>0</v>
      </c>
      <c r="L150" s="16"/>
      <c r="M150" s="16"/>
      <c r="N150" s="16"/>
      <c r="O150" s="16">
        <f t="shared" si="60"/>
        <v>0</v>
      </c>
      <c r="P150" s="16"/>
      <c r="Q150" s="16"/>
      <c r="R150" s="16"/>
      <c r="S150" s="16"/>
      <c r="T150" s="16"/>
      <c r="U150" s="16"/>
      <c r="V150" s="16"/>
      <c r="W150" s="16">
        <f t="shared" si="61"/>
        <v>0</v>
      </c>
      <c r="Z150" s="6" t="s">
        <v>159</v>
      </c>
      <c r="AA150" s="16"/>
      <c r="AB150" s="6" t="s">
        <v>13</v>
      </c>
      <c r="AD150" s="16"/>
      <c r="AE150" s="16"/>
      <c r="AF150" s="16"/>
      <c r="AG150" s="16"/>
      <c r="AH150" s="16"/>
      <c r="AI150" s="16"/>
      <c r="AJ150" s="8">
        <f t="shared" si="62"/>
        <v>0</v>
      </c>
      <c r="AK150" s="8"/>
      <c r="AL150" s="16"/>
      <c r="AM150" s="8"/>
      <c r="AN150" s="16"/>
      <c r="AO150" s="16"/>
      <c r="AP150" s="16"/>
      <c r="AQ150" s="16"/>
      <c r="AR150" s="16"/>
      <c r="AS150" s="16"/>
      <c r="AT150" s="8">
        <f t="shared" si="63"/>
        <v>0</v>
      </c>
      <c r="AU150" s="8"/>
      <c r="AV150" s="16">
        <v>0</v>
      </c>
      <c r="AW150" s="16"/>
      <c r="AX150" s="16">
        <v>0</v>
      </c>
      <c r="AY150" s="16"/>
      <c r="AZ150" s="16">
        <f t="shared" si="64"/>
        <v>0</v>
      </c>
      <c r="BB150" s="6" t="s">
        <v>159</v>
      </c>
      <c r="BC150" s="6"/>
      <c r="BD150" s="6" t="s">
        <v>13</v>
      </c>
      <c r="BE150" s="16"/>
      <c r="BF150" s="16"/>
      <c r="BG150" s="16"/>
      <c r="BH150" s="16"/>
      <c r="BI150" s="16"/>
      <c r="BJ150" s="16"/>
      <c r="BK150" s="16"/>
      <c r="BL150" s="16"/>
      <c r="BM150" s="16"/>
      <c r="BN150" s="16">
        <f t="shared" si="49"/>
        <v>0</v>
      </c>
      <c r="BO150" s="17"/>
      <c r="BP150" s="6"/>
      <c r="BQ150" s="6"/>
      <c r="BR150" s="6"/>
    </row>
    <row r="151" spans="1:70" ht="12.75" customHeight="1" x14ac:dyDescent="0.2">
      <c r="A151" s="6" t="s">
        <v>160</v>
      </c>
      <c r="C151" s="6" t="s">
        <v>161</v>
      </c>
      <c r="E151" s="16">
        <v>1074619</v>
      </c>
      <c r="F151" s="16"/>
      <c r="G151" s="16">
        <v>3121919</v>
      </c>
      <c r="H151" s="16"/>
      <c r="I151" s="16">
        <f t="shared" si="59"/>
        <v>4196538</v>
      </c>
      <c r="J151" s="16"/>
      <c r="K151" s="16">
        <v>220315</v>
      </c>
      <c r="L151" s="16"/>
      <c r="M151" s="16">
        <v>95772</v>
      </c>
      <c r="N151" s="16"/>
      <c r="O151" s="16">
        <f t="shared" si="60"/>
        <v>316087</v>
      </c>
      <c r="P151" s="16"/>
      <c r="Q151" s="16">
        <v>3121919</v>
      </c>
      <c r="R151" s="16"/>
      <c r="S151" s="16">
        <v>0</v>
      </c>
      <c r="T151" s="16"/>
      <c r="U151" s="16">
        <v>758532</v>
      </c>
      <c r="V151" s="16"/>
      <c r="W151" s="16">
        <f t="shared" si="61"/>
        <v>3880451</v>
      </c>
      <c r="X151" s="6"/>
      <c r="Y151" s="6"/>
      <c r="Z151" s="6" t="s">
        <v>160</v>
      </c>
      <c r="AA151" s="16"/>
      <c r="AB151" s="6" t="s">
        <v>161</v>
      </c>
      <c r="AD151" s="16">
        <v>2426531</v>
      </c>
      <c r="AE151" s="16"/>
      <c r="AF151" s="16">
        <f>2382642-249005</f>
        <v>2133637</v>
      </c>
      <c r="AG151" s="16"/>
      <c r="AH151" s="16">
        <v>249005</v>
      </c>
      <c r="AI151" s="16"/>
      <c r="AJ151" s="8">
        <f t="shared" si="62"/>
        <v>43889</v>
      </c>
      <c r="AK151" s="8"/>
      <c r="AL151" s="16">
        <v>0</v>
      </c>
      <c r="AM151" s="8"/>
      <c r="AN151" s="16">
        <v>5000</v>
      </c>
      <c r="AO151" s="16"/>
      <c r="AP151" s="16">
        <v>87546</v>
      </c>
      <c r="AQ151" s="16"/>
      <c r="AR151" s="16">
        <v>0</v>
      </c>
      <c r="AS151" s="16"/>
      <c r="AT151" s="8">
        <f t="shared" si="63"/>
        <v>-38657</v>
      </c>
      <c r="AU151" s="8"/>
      <c r="AV151" s="16">
        <v>0</v>
      </c>
      <c r="AW151" s="16"/>
      <c r="AX151" s="16">
        <v>0</v>
      </c>
      <c r="AY151" s="16"/>
      <c r="AZ151" s="16">
        <f t="shared" si="64"/>
        <v>854304</v>
      </c>
      <c r="BB151" s="6" t="s">
        <v>160</v>
      </c>
      <c r="BC151" s="6"/>
      <c r="BD151" s="6" t="s">
        <v>161</v>
      </c>
      <c r="BE151" s="16"/>
      <c r="BF151" s="16">
        <v>0</v>
      </c>
      <c r="BG151" s="16"/>
      <c r="BH151" s="16">
        <v>0</v>
      </c>
      <c r="BI151" s="16"/>
      <c r="BJ151" s="16">
        <v>0</v>
      </c>
      <c r="BK151" s="16"/>
      <c r="BL151" s="16">
        <f>95772+49540</f>
        <v>145312</v>
      </c>
      <c r="BM151" s="16"/>
      <c r="BN151" s="16">
        <f t="shared" si="49"/>
        <v>145312</v>
      </c>
      <c r="BO151" s="17"/>
      <c r="BP151" s="6"/>
      <c r="BQ151" s="6"/>
      <c r="BR151" s="6"/>
    </row>
    <row r="152" spans="1:70" ht="12.75" hidden="1" customHeight="1" x14ac:dyDescent="0.2">
      <c r="A152" s="6" t="s">
        <v>162</v>
      </c>
      <c r="C152" s="6" t="s">
        <v>25</v>
      </c>
      <c r="E152" s="16">
        <v>0</v>
      </c>
      <c r="F152" s="16"/>
      <c r="G152" s="16"/>
      <c r="H152" s="16"/>
      <c r="I152" s="16">
        <f t="shared" si="59"/>
        <v>0</v>
      </c>
      <c r="J152" s="16"/>
      <c r="K152" s="16">
        <v>0</v>
      </c>
      <c r="L152" s="16"/>
      <c r="M152" s="16"/>
      <c r="N152" s="16"/>
      <c r="O152" s="16">
        <f t="shared" si="60"/>
        <v>0</v>
      </c>
      <c r="P152" s="16"/>
      <c r="Q152" s="16"/>
      <c r="R152" s="16"/>
      <c r="S152" s="16"/>
      <c r="T152" s="16"/>
      <c r="U152" s="16"/>
      <c r="V152" s="16"/>
      <c r="W152" s="16">
        <f t="shared" si="61"/>
        <v>0</v>
      </c>
      <c r="Z152" s="6" t="s">
        <v>162</v>
      </c>
      <c r="AA152" s="16"/>
      <c r="AB152" s="6" t="s">
        <v>25</v>
      </c>
      <c r="AD152" s="16"/>
      <c r="AE152" s="16"/>
      <c r="AF152" s="16"/>
      <c r="AG152" s="16"/>
      <c r="AH152" s="16"/>
      <c r="AI152" s="16"/>
      <c r="AJ152" s="8">
        <f t="shared" si="62"/>
        <v>0</v>
      </c>
      <c r="AK152" s="8"/>
      <c r="AL152" s="16"/>
      <c r="AM152" s="8"/>
      <c r="AN152" s="16"/>
      <c r="AO152" s="16"/>
      <c r="AP152" s="16"/>
      <c r="AQ152" s="16"/>
      <c r="AR152" s="16"/>
      <c r="AS152" s="16"/>
      <c r="AT152" s="8">
        <f t="shared" si="63"/>
        <v>0</v>
      </c>
      <c r="AU152" s="8"/>
      <c r="AV152" s="16">
        <v>0</v>
      </c>
      <c r="AW152" s="16"/>
      <c r="AX152" s="16">
        <v>0</v>
      </c>
      <c r="AY152" s="16"/>
      <c r="AZ152" s="16">
        <f t="shared" si="64"/>
        <v>0</v>
      </c>
      <c r="BB152" s="6" t="s">
        <v>162</v>
      </c>
      <c r="BC152" s="6"/>
      <c r="BD152" s="6" t="s">
        <v>25</v>
      </c>
      <c r="BE152" s="16"/>
      <c r="BF152" s="16"/>
      <c r="BG152" s="16"/>
      <c r="BH152" s="16"/>
      <c r="BI152" s="16"/>
      <c r="BJ152" s="16"/>
      <c r="BK152" s="16"/>
      <c r="BL152" s="16"/>
      <c r="BM152" s="16"/>
      <c r="BN152" s="16">
        <f t="shared" si="49"/>
        <v>0</v>
      </c>
      <c r="BO152" s="17"/>
      <c r="BP152" s="6"/>
      <c r="BQ152" s="6"/>
      <c r="BR152" s="6"/>
    </row>
    <row r="153" spans="1:70" ht="12.75" customHeight="1" x14ac:dyDescent="0.2">
      <c r="A153" s="6" t="s">
        <v>51</v>
      </c>
      <c r="C153" s="6" t="s">
        <v>51</v>
      </c>
      <c r="E153" s="16">
        <v>3431812</v>
      </c>
      <c r="F153" s="16"/>
      <c r="G153" s="16">
        <v>32962216</v>
      </c>
      <c r="H153" s="16"/>
      <c r="I153" s="16">
        <f t="shared" si="59"/>
        <v>36394028</v>
      </c>
      <c r="J153" s="16"/>
      <c r="K153" s="16">
        <v>1197385</v>
      </c>
      <c r="L153" s="16"/>
      <c r="M153" s="16">
        <v>10804596</v>
      </c>
      <c r="N153" s="16"/>
      <c r="O153" s="16">
        <f t="shared" si="60"/>
        <v>12001981</v>
      </c>
      <c r="P153" s="16"/>
      <c r="Q153" s="16">
        <v>14426543</v>
      </c>
      <c r="R153" s="16"/>
      <c r="S153" s="16">
        <v>501989</v>
      </c>
      <c r="T153" s="16"/>
      <c r="U153" s="16">
        <v>9463505</v>
      </c>
      <c r="V153" s="16"/>
      <c r="W153" s="16">
        <f t="shared" si="61"/>
        <v>24392037</v>
      </c>
      <c r="Z153" s="6" t="s">
        <v>51</v>
      </c>
      <c r="AA153" s="16"/>
      <c r="AB153" s="6" t="s">
        <v>51</v>
      </c>
      <c r="AD153" s="16">
        <v>3894156</v>
      </c>
      <c r="AE153" s="16"/>
      <c r="AF153" s="16">
        <f>3680005-424664</f>
        <v>3255341</v>
      </c>
      <c r="AG153" s="16"/>
      <c r="AH153" s="16">
        <v>424664</v>
      </c>
      <c r="AI153" s="16"/>
      <c r="AJ153" s="8">
        <f t="shared" si="62"/>
        <v>214151</v>
      </c>
      <c r="AK153" s="8"/>
      <c r="AL153" s="16">
        <v>-389229</v>
      </c>
      <c r="AM153" s="8"/>
      <c r="AN153" s="16">
        <v>0</v>
      </c>
      <c r="AO153" s="16"/>
      <c r="AP153" s="16">
        <v>0</v>
      </c>
      <c r="AQ153" s="16"/>
      <c r="AR153" s="16">
        <v>0</v>
      </c>
      <c r="AS153" s="16"/>
      <c r="AT153" s="8">
        <f t="shared" si="63"/>
        <v>-175078</v>
      </c>
      <c r="AU153" s="8"/>
      <c r="AV153" s="16">
        <v>0</v>
      </c>
      <c r="AW153" s="16"/>
      <c r="AX153" s="16">
        <v>0</v>
      </c>
      <c r="AY153" s="16"/>
      <c r="AZ153" s="16">
        <f t="shared" si="64"/>
        <v>2234427</v>
      </c>
      <c r="BB153" s="6" t="s">
        <v>51</v>
      </c>
      <c r="BC153" s="6"/>
      <c r="BD153" s="6" t="s">
        <v>51</v>
      </c>
      <c r="BE153" s="16"/>
      <c r="BF153" s="16">
        <f>8995259+700000</f>
        <v>9695259</v>
      </c>
      <c r="BG153" s="16"/>
      <c r="BH153" s="16">
        <v>0</v>
      </c>
      <c r="BI153" s="16"/>
      <c r="BJ153" s="16">
        <v>78223</v>
      </c>
      <c r="BK153" s="16"/>
      <c r="BL153" s="16">
        <f>44217+892168+872952+33508</f>
        <v>1842845</v>
      </c>
      <c r="BM153" s="16"/>
      <c r="BN153" s="16">
        <f t="shared" si="49"/>
        <v>11616327</v>
      </c>
      <c r="BO153" s="17"/>
      <c r="BP153" s="6"/>
      <c r="BQ153" s="6"/>
      <c r="BR153" s="6"/>
    </row>
    <row r="154" spans="1:70" ht="12.75" hidden="1" customHeight="1" x14ac:dyDescent="0.2">
      <c r="A154" s="6" t="s">
        <v>163</v>
      </c>
      <c r="C154" s="6" t="s">
        <v>90</v>
      </c>
      <c r="E154" s="16">
        <v>0</v>
      </c>
      <c r="F154" s="16"/>
      <c r="G154" s="16"/>
      <c r="H154" s="16"/>
      <c r="I154" s="16">
        <f t="shared" si="59"/>
        <v>0</v>
      </c>
      <c r="J154" s="16"/>
      <c r="K154" s="16">
        <v>0</v>
      </c>
      <c r="L154" s="16"/>
      <c r="M154" s="16"/>
      <c r="N154" s="16"/>
      <c r="O154" s="16">
        <f t="shared" si="60"/>
        <v>0</v>
      </c>
      <c r="P154" s="16"/>
      <c r="Q154" s="16"/>
      <c r="R154" s="16"/>
      <c r="S154" s="16"/>
      <c r="T154" s="16"/>
      <c r="U154" s="16"/>
      <c r="V154" s="16"/>
      <c r="W154" s="16">
        <f t="shared" si="61"/>
        <v>0</v>
      </c>
      <c r="Z154" s="6" t="s">
        <v>163</v>
      </c>
      <c r="AA154" s="16"/>
      <c r="AB154" s="6" t="s">
        <v>90</v>
      </c>
      <c r="AD154" s="16"/>
      <c r="AE154" s="16"/>
      <c r="AF154" s="16"/>
      <c r="AG154" s="16"/>
      <c r="AH154" s="16"/>
      <c r="AI154" s="16"/>
      <c r="AJ154" s="8">
        <f t="shared" si="62"/>
        <v>0</v>
      </c>
      <c r="AK154" s="8"/>
      <c r="AL154" s="16"/>
      <c r="AM154" s="8"/>
      <c r="AN154" s="16"/>
      <c r="AO154" s="16"/>
      <c r="AP154" s="16"/>
      <c r="AQ154" s="16"/>
      <c r="AR154" s="16"/>
      <c r="AS154" s="16"/>
      <c r="AT154" s="8">
        <f t="shared" si="63"/>
        <v>0</v>
      </c>
      <c r="AU154" s="8"/>
      <c r="AV154" s="16">
        <v>0</v>
      </c>
      <c r="AW154" s="16"/>
      <c r="AX154" s="16">
        <v>0</v>
      </c>
      <c r="AY154" s="16"/>
      <c r="AZ154" s="16">
        <f t="shared" si="64"/>
        <v>0</v>
      </c>
      <c r="BB154" s="6" t="s">
        <v>163</v>
      </c>
      <c r="BC154" s="6"/>
      <c r="BD154" s="6" t="s">
        <v>90</v>
      </c>
      <c r="BE154" s="16"/>
      <c r="BF154" s="16"/>
      <c r="BG154" s="16"/>
      <c r="BH154" s="16"/>
      <c r="BI154" s="16"/>
      <c r="BJ154" s="16"/>
      <c r="BK154" s="16"/>
      <c r="BL154" s="16"/>
      <c r="BM154" s="16"/>
      <c r="BN154" s="16">
        <f t="shared" si="49"/>
        <v>0</v>
      </c>
      <c r="BO154" s="17"/>
      <c r="BP154" s="6"/>
      <c r="BQ154" s="6"/>
      <c r="BR154" s="6"/>
    </row>
    <row r="155" spans="1:70" ht="12.75" hidden="1" customHeight="1" x14ac:dyDescent="0.2">
      <c r="A155" s="6" t="s">
        <v>164</v>
      </c>
      <c r="C155" s="6" t="s">
        <v>90</v>
      </c>
      <c r="E155" s="16">
        <v>0</v>
      </c>
      <c r="F155" s="16"/>
      <c r="G155" s="16"/>
      <c r="H155" s="16"/>
      <c r="I155" s="16">
        <f t="shared" si="59"/>
        <v>0</v>
      </c>
      <c r="J155" s="16"/>
      <c r="K155" s="16">
        <v>0</v>
      </c>
      <c r="L155" s="16"/>
      <c r="M155" s="16"/>
      <c r="N155" s="16"/>
      <c r="O155" s="16">
        <f t="shared" si="60"/>
        <v>0</v>
      </c>
      <c r="P155" s="16"/>
      <c r="Q155" s="16"/>
      <c r="R155" s="16"/>
      <c r="S155" s="16"/>
      <c r="T155" s="16"/>
      <c r="U155" s="16"/>
      <c r="V155" s="16"/>
      <c r="W155" s="16">
        <f t="shared" si="61"/>
        <v>0</v>
      </c>
      <c r="Z155" s="6" t="s">
        <v>164</v>
      </c>
      <c r="AA155" s="16"/>
      <c r="AB155" s="6" t="s">
        <v>90</v>
      </c>
      <c r="AD155" s="16"/>
      <c r="AE155" s="16"/>
      <c r="AF155" s="16"/>
      <c r="AG155" s="16"/>
      <c r="AH155" s="16"/>
      <c r="AI155" s="16"/>
      <c r="AJ155" s="8">
        <f t="shared" si="62"/>
        <v>0</v>
      </c>
      <c r="AK155" s="8"/>
      <c r="AL155" s="16"/>
      <c r="AM155" s="8"/>
      <c r="AN155" s="16"/>
      <c r="AO155" s="16"/>
      <c r="AP155" s="16"/>
      <c r="AQ155" s="16"/>
      <c r="AR155" s="16"/>
      <c r="AS155" s="16"/>
      <c r="AT155" s="8">
        <f t="shared" si="63"/>
        <v>0</v>
      </c>
      <c r="AU155" s="8"/>
      <c r="AV155" s="16">
        <v>0</v>
      </c>
      <c r="AW155" s="16"/>
      <c r="AX155" s="16">
        <v>0</v>
      </c>
      <c r="AY155" s="16"/>
      <c r="AZ155" s="16">
        <f t="shared" si="64"/>
        <v>0</v>
      </c>
      <c r="BB155" s="6" t="s">
        <v>164</v>
      </c>
      <c r="BC155" s="6"/>
      <c r="BD155" s="6" t="s">
        <v>90</v>
      </c>
      <c r="BE155" s="16"/>
      <c r="BF155" s="16"/>
      <c r="BG155" s="16"/>
      <c r="BH155" s="16"/>
      <c r="BI155" s="16"/>
      <c r="BJ155" s="16"/>
      <c r="BK155" s="16"/>
      <c r="BL155" s="16"/>
      <c r="BM155" s="16"/>
      <c r="BN155" s="16">
        <f t="shared" si="49"/>
        <v>0</v>
      </c>
      <c r="BO155" s="17"/>
      <c r="BP155" s="6"/>
      <c r="BQ155" s="6"/>
      <c r="BR155" s="6"/>
    </row>
    <row r="156" spans="1:70" ht="12.75" customHeight="1" x14ac:dyDescent="0.2">
      <c r="A156" s="6" t="s">
        <v>165</v>
      </c>
      <c r="C156" s="6" t="s">
        <v>64</v>
      </c>
      <c r="E156" s="16">
        <v>2494732</v>
      </c>
      <c r="F156" s="16"/>
      <c r="G156" s="16">
        <v>13249790</v>
      </c>
      <c r="H156" s="16"/>
      <c r="I156" s="16">
        <f t="shared" si="59"/>
        <v>15744522</v>
      </c>
      <c r="J156" s="16"/>
      <c r="K156" s="16">
        <v>1204614</v>
      </c>
      <c r="L156" s="16"/>
      <c r="M156" s="16">
        <v>1328200</v>
      </c>
      <c r="N156" s="16"/>
      <c r="O156" s="16">
        <f t="shared" si="60"/>
        <v>2532814</v>
      </c>
      <c r="P156" s="16"/>
      <c r="Q156" s="16">
        <v>10854790</v>
      </c>
      <c r="R156" s="16"/>
      <c r="S156" s="16">
        <v>149537</v>
      </c>
      <c r="T156" s="16"/>
      <c r="U156" s="16">
        <v>2207381</v>
      </c>
      <c r="V156" s="16"/>
      <c r="W156" s="16">
        <f t="shared" si="61"/>
        <v>13211708</v>
      </c>
      <c r="X156" s="6"/>
      <c r="Y156" s="6"/>
      <c r="Z156" s="6" t="s">
        <v>165</v>
      </c>
      <c r="AA156" s="16"/>
      <c r="AB156" s="6" t="s">
        <v>64</v>
      </c>
      <c r="AD156" s="16">
        <v>2709814</v>
      </c>
      <c r="AE156" s="16"/>
      <c r="AF156" s="16">
        <f>2763576-436054</f>
        <v>2327522</v>
      </c>
      <c r="AG156" s="16"/>
      <c r="AH156" s="16">
        <v>436054</v>
      </c>
      <c r="AI156" s="16"/>
      <c r="AJ156" s="8">
        <f t="shared" si="62"/>
        <v>-53762</v>
      </c>
      <c r="AK156" s="8"/>
      <c r="AL156" s="16">
        <v>631678</v>
      </c>
      <c r="AM156" s="8"/>
      <c r="AN156" s="16">
        <v>48992</v>
      </c>
      <c r="AO156" s="16"/>
      <c r="AP156" s="16">
        <v>0</v>
      </c>
      <c r="AQ156" s="16"/>
      <c r="AR156" s="16">
        <v>0</v>
      </c>
      <c r="AS156" s="16"/>
      <c r="AT156" s="8">
        <f t="shared" si="63"/>
        <v>626908</v>
      </c>
      <c r="AU156" s="8"/>
      <c r="AV156" s="16">
        <v>0</v>
      </c>
      <c r="AW156" s="16"/>
      <c r="AX156" s="16">
        <v>0</v>
      </c>
      <c r="AY156" s="16"/>
      <c r="AZ156" s="16">
        <f t="shared" si="64"/>
        <v>1290118</v>
      </c>
      <c r="BB156" s="6" t="s">
        <v>165</v>
      </c>
      <c r="BC156" s="6"/>
      <c r="BD156" s="6" t="s">
        <v>64</v>
      </c>
      <c r="BE156" s="16"/>
      <c r="BF156" s="16">
        <f>1325000+95000</f>
        <v>1420000</v>
      </c>
      <c r="BG156" s="16"/>
      <c r="BH156" s="16">
        <v>0</v>
      </c>
      <c r="BI156" s="16"/>
      <c r="BJ156" s="16">
        <v>0</v>
      </c>
      <c r="BK156" s="16"/>
      <c r="BL156" s="16">
        <f>3200+49060</f>
        <v>52260</v>
      </c>
      <c r="BM156" s="16"/>
      <c r="BN156" s="16">
        <f t="shared" si="49"/>
        <v>1472260</v>
      </c>
      <c r="BO156" s="17"/>
      <c r="BP156" s="6"/>
      <c r="BQ156" s="6"/>
      <c r="BR156" s="6"/>
    </row>
    <row r="157" spans="1:70" ht="12.75" hidden="1" customHeight="1" x14ac:dyDescent="0.2">
      <c r="A157" s="7" t="s">
        <v>166</v>
      </c>
      <c r="C157" s="7" t="s">
        <v>25</v>
      </c>
      <c r="E157" s="16">
        <v>0</v>
      </c>
      <c r="F157" s="16"/>
      <c r="G157" s="16"/>
      <c r="H157" s="16"/>
      <c r="I157" s="16">
        <f t="shared" si="59"/>
        <v>0</v>
      </c>
      <c r="J157" s="16"/>
      <c r="K157" s="16">
        <v>0</v>
      </c>
      <c r="L157" s="16"/>
      <c r="M157" s="16"/>
      <c r="N157" s="16"/>
      <c r="O157" s="16">
        <f t="shared" si="60"/>
        <v>0</v>
      </c>
      <c r="P157" s="16"/>
      <c r="Q157" s="16"/>
      <c r="R157" s="16"/>
      <c r="S157" s="16"/>
      <c r="T157" s="16"/>
      <c r="U157" s="16"/>
      <c r="V157" s="16"/>
      <c r="W157" s="16">
        <f t="shared" si="61"/>
        <v>0</v>
      </c>
      <c r="Z157" s="7" t="s">
        <v>166</v>
      </c>
      <c r="AA157" s="16"/>
      <c r="AB157" s="7" t="s">
        <v>25</v>
      </c>
      <c r="AD157" s="16"/>
      <c r="AE157" s="16"/>
      <c r="AF157" s="16"/>
      <c r="AG157" s="16"/>
      <c r="AH157" s="16"/>
      <c r="AI157" s="16"/>
      <c r="AJ157" s="8">
        <f t="shared" ref="AJ157:AJ180" si="65">+AD157-AF157-AH157</f>
        <v>0</v>
      </c>
      <c r="AK157" s="8"/>
      <c r="AL157" s="16"/>
      <c r="AM157" s="8"/>
      <c r="AN157" s="16"/>
      <c r="AO157" s="16"/>
      <c r="AP157" s="16"/>
      <c r="AQ157" s="16"/>
      <c r="AR157" s="16"/>
      <c r="AS157" s="16"/>
      <c r="AT157" s="8">
        <f t="shared" si="63"/>
        <v>0</v>
      </c>
      <c r="AU157" s="8"/>
      <c r="AV157" s="16">
        <v>0</v>
      </c>
      <c r="AW157" s="16"/>
      <c r="AX157" s="16">
        <v>0</v>
      </c>
      <c r="AY157" s="16"/>
      <c r="AZ157" s="16">
        <f t="shared" si="64"/>
        <v>0</v>
      </c>
      <c r="BB157" s="7" t="s">
        <v>166</v>
      </c>
      <c r="BC157" s="6"/>
      <c r="BD157" s="7" t="s">
        <v>25</v>
      </c>
      <c r="BE157" s="16"/>
      <c r="BF157" s="16"/>
      <c r="BG157" s="16"/>
      <c r="BH157" s="16"/>
      <c r="BI157" s="16"/>
      <c r="BJ157" s="16"/>
      <c r="BK157" s="16"/>
      <c r="BL157" s="16"/>
      <c r="BM157" s="16"/>
      <c r="BN157" s="16">
        <f t="shared" si="49"/>
        <v>0</v>
      </c>
      <c r="BO157" s="17"/>
      <c r="BP157" s="6"/>
      <c r="BQ157" s="6"/>
      <c r="BR157" s="6"/>
    </row>
    <row r="158" spans="1:70" ht="12.75" customHeight="1" x14ac:dyDescent="0.2">
      <c r="A158" s="6" t="s">
        <v>167</v>
      </c>
      <c r="C158" s="6" t="s">
        <v>101</v>
      </c>
      <c r="E158" s="16">
        <v>7301694</v>
      </c>
      <c r="F158" s="16"/>
      <c r="G158" s="16">
        <v>22859076</v>
      </c>
      <c r="H158" s="16"/>
      <c r="I158" s="16">
        <f t="shared" si="59"/>
        <v>30160770</v>
      </c>
      <c r="J158" s="16"/>
      <c r="K158" s="16">
        <v>2199064</v>
      </c>
      <c r="L158" s="16"/>
      <c r="M158" s="16">
        <v>2714620</v>
      </c>
      <c r="N158" s="16"/>
      <c r="O158" s="16">
        <f t="shared" si="60"/>
        <v>4913684</v>
      </c>
      <c r="P158" s="16"/>
      <c r="Q158" s="16">
        <v>19433748</v>
      </c>
      <c r="R158" s="16"/>
      <c r="S158" s="16">
        <v>802218</v>
      </c>
      <c r="T158" s="16"/>
      <c r="U158" s="16">
        <v>5011120</v>
      </c>
      <c r="V158" s="16"/>
      <c r="W158" s="16">
        <f t="shared" si="61"/>
        <v>25247086</v>
      </c>
      <c r="X158" s="6"/>
      <c r="Y158" s="6"/>
      <c r="Z158" s="6" t="s">
        <v>167</v>
      </c>
      <c r="AA158" s="16"/>
      <c r="AB158" s="6" t="s">
        <v>101</v>
      </c>
      <c r="AD158" s="16">
        <v>7792297</v>
      </c>
      <c r="AE158" s="16"/>
      <c r="AF158" s="16">
        <f>6553564-1284496</f>
        <v>5269068</v>
      </c>
      <c r="AG158" s="16"/>
      <c r="AH158" s="16">
        <v>1284496</v>
      </c>
      <c r="AI158" s="16"/>
      <c r="AJ158" s="8">
        <f t="shared" si="65"/>
        <v>1238733</v>
      </c>
      <c r="AK158" s="8"/>
      <c r="AL158" s="16">
        <v>518781</v>
      </c>
      <c r="AM158" s="8"/>
      <c r="AN158" s="16">
        <v>0</v>
      </c>
      <c r="AO158" s="16"/>
      <c r="AP158" s="16">
        <v>31764</v>
      </c>
      <c r="AQ158" s="16"/>
      <c r="AR158" s="16">
        <v>20125</v>
      </c>
      <c r="AS158" s="16"/>
      <c r="AT158" s="8">
        <f t="shared" si="63"/>
        <v>1745875</v>
      </c>
      <c r="AU158" s="8"/>
      <c r="AV158" s="16">
        <v>0</v>
      </c>
      <c r="AW158" s="16"/>
      <c r="AX158" s="16">
        <v>0</v>
      </c>
      <c r="AY158" s="16"/>
      <c r="AZ158" s="16">
        <f t="shared" si="64"/>
        <v>5102630</v>
      </c>
      <c r="BB158" s="6" t="s">
        <v>167</v>
      </c>
      <c r="BC158" s="6"/>
      <c r="BD158" s="6" t="s">
        <v>101</v>
      </c>
      <c r="BE158" s="16"/>
      <c r="BF158" s="16">
        <f>1061423+383230</f>
        <v>1444653</v>
      </c>
      <c r="BG158" s="16"/>
      <c r="BH158" s="16">
        <v>0</v>
      </c>
      <c r="BI158" s="16"/>
      <c r="BJ158" s="16">
        <v>0</v>
      </c>
      <c r="BK158" s="16"/>
      <c r="BL158" s="16">
        <f>21485+1433075+118337+80300+418988+89053</f>
        <v>2161238</v>
      </c>
      <c r="BM158" s="16"/>
      <c r="BN158" s="16">
        <f t="shared" si="49"/>
        <v>3605891</v>
      </c>
      <c r="BO158" s="17"/>
      <c r="BP158" s="6"/>
      <c r="BQ158" s="6"/>
      <c r="BR158" s="6"/>
    </row>
    <row r="159" spans="1:70" ht="12.75" customHeight="1" x14ac:dyDescent="0.2">
      <c r="A159" s="6" t="s">
        <v>168</v>
      </c>
      <c r="C159" s="6" t="s">
        <v>169</v>
      </c>
      <c r="E159" s="16">
        <v>1569225</v>
      </c>
      <c r="F159" s="16"/>
      <c r="G159" s="16">
        <v>4622962</v>
      </c>
      <c r="H159" s="16"/>
      <c r="I159" s="16">
        <f t="shared" si="59"/>
        <v>6192187</v>
      </c>
      <c r="J159" s="16"/>
      <c r="K159" s="16">
        <v>196461</v>
      </c>
      <c r="L159" s="16"/>
      <c r="M159" s="16">
        <v>1340464</v>
      </c>
      <c r="N159" s="16"/>
      <c r="O159" s="16">
        <f t="shared" si="60"/>
        <v>1536925</v>
      </c>
      <c r="P159" s="16"/>
      <c r="Q159" s="16">
        <v>3174658</v>
      </c>
      <c r="R159" s="16"/>
      <c r="S159" s="16">
        <v>0</v>
      </c>
      <c r="T159" s="16"/>
      <c r="U159" s="16">
        <v>1480604</v>
      </c>
      <c r="V159" s="16"/>
      <c r="W159" s="16">
        <f t="shared" si="61"/>
        <v>4655262</v>
      </c>
      <c r="X159" s="6"/>
      <c r="Y159" s="6"/>
      <c r="Z159" s="6" t="s">
        <v>168</v>
      </c>
      <c r="AA159" s="16"/>
      <c r="AB159" s="6" t="s">
        <v>169</v>
      </c>
      <c r="AD159" s="16">
        <v>844160</v>
      </c>
      <c r="AE159" s="16"/>
      <c r="AF159" s="16">
        <f>1119835-180177</f>
        <v>939658</v>
      </c>
      <c r="AG159" s="16"/>
      <c r="AH159" s="16">
        <v>180177</v>
      </c>
      <c r="AI159" s="16"/>
      <c r="AJ159" s="8">
        <f t="shared" si="65"/>
        <v>-275675</v>
      </c>
      <c r="AK159" s="8"/>
      <c r="AL159" s="16">
        <v>-7109</v>
      </c>
      <c r="AM159" s="8"/>
      <c r="AN159" s="16">
        <v>0</v>
      </c>
      <c r="AO159" s="16"/>
      <c r="AP159" s="16">
        <v>0</v>
      </c>
      <c r="AQ159" s="16"/>
      <c r="AR159" s="16">
        <v>0</v>
      </c>
      <c r="AS159" s="16"/>
      <c r="AT159" s="8">
        <f t="shared" si="63"/>
        <v>-282784</v>
      </c>
      <c r="AU159" s="8"/>
      <c r="AV159" s="16">
        <v>0</v>
      </c>
      <c r="AW159" s="16"/>
      <c r="AX159" s="16">
        <v>0</v>
      </c>
      <c r="AY159" s="16"/>
      <c r="AZ159" s="16">
        <f t="shared" si="64"/>
        <v>1372764</v>
      </c>
      <c r="BB159" s="6" t="s">
        <v>168</v>
      </c>
      <c r="BC159" s="6"/>
      <c r="BD159" s="6" t="s">
        <v>169</v>
      </c>
      <c r="BE159" s="16"/>
      <c r="BF159" s="16">
        <v>0</v>
      </c>
      <c r="BG159" s="16"/>
      <c r="BH159" s="16">
        <v>0</v>
      </c>
      <c r="BI159" s="16"/>
      <c r="BJ159" s="16">
        <f>1139307+186443+100806+21748</f>
        <v>1448304</v>
      </c>
      <c r="BK159" s="16"/>
      <c r="BL159" s="16">
        <f>14714+22560</f>
        <v>37274</v>
      </c>
      <c r="BM159" s="16"/>
      <c r="BN159" s="16">
        <f t="shared" si="49"/>
        <v>1485578</v>
      </c>
      <c r="BO159" s="17"/>
      <c r="BP159" s="6"/>
      <c r="BQ159" s="6"/>
      <c r="BR159" s="6"/>
    </row>
    <row r="160" spans="1:70" ht="12.75" customHeight="1" x14ac:dyDescent="0.2">
      <c r="A160" s="6" t="s">
        <v>170</v>
      </c>
      <c r="C160" s="6" t="s">
        <v>101</v>
      </c>
      <c r="E160" s="16">
        <v>3810658</v>
      </c>
      <c r="F160" s="16"/>
      <c r="G160" s="16">
        <v>6749661</v>
      </c>
      <c r="H160" s="16"/>
      <c r="I160" s="16">
        <f t="shared" si="59"/>
        <v>10560319</v>
      </c>
      <c r="J160" s="16"/>
      <c r="K160" s="16">
        <v>746400</v>
      </c>
      <c r="L160" s="16"/>
      <c r="M160" s="16">
        <v>5589159</v>
      </c>
      <c r="N160" s="16"/>
      <c r="O160" s="16">
        <f t="shared" si="60"/>
        <v>6335559</v>
      </c>
      <c r="P160" s="16"/>
      <c r="Q160" s="16">
        <v>3163615</v>
      </c>
      <c r="R160" s="16"/>
      <c r="S160" s="16">
        <v>0</v>
      </c>
      <c r="T160" s="16"/>
      <c r="U160" s="16">
        <v>1061145</v>
      </c>
      <c r="V160" s="16"/>
      <c r="W160" s="16">
        <f t="shared" si="61"/>
        <v>4224760</v>
      </c>
      <c r="Z160" s="6" t="s">
        <v>170</v>
      </c>
      <c r="AA160" s="16"/>
      <c r="AB160" s="6" t="s">
        <v>101</v>
      </c>
      <c r="AD160" s="16">
        <v>2248759</v>
      </c>
      <c r="AE160" s="16"/>
      <c r="AF160" s="16">
        <f>2207492-408544</f>
        <v>1798948</v>
      </c>
      <c r="AG160" s="16"/>
      <c r="AH160" s="16">
        <v>408544</v>
      </c>
      <c r="AI160" s="16"/>
      <c r="AJ160" s="8">
        <f t="shared" si="65"/>
        <v>41267</v>
      </c>
      <c r="AK160" s="8"/>
      <c r="AL160" s="16">
        <v>301730</v>
      </c>
      <c r="AM160" s="8"/>
      <c r="AN160" s="16">
        <v>0</v>
      </c>
      <c r="AO160" s="16"/>
      <c r="AP160" s="16">
        <v>0</v>
      </c>
      <c r="AQ160" s="16"/>
      <c r="AR160" s="16">
        <v>0</v>
      </c>
      <c r="AS160" s="16"/>
      <c r="AT160" s="8">
        <f t="shared" si="63"/>
        <v>342997</v>
      </c>
      <c r="AU160" s="8"/>
      <c r="AV160" s="16">
        <v>0</v>
      </c>
      <c r="AW160" s="16"/>
      <c r="AX160" s="16">
        <v>0</v>
      </c>
      <c r="AY160" s="16"/>
      <c r="AZ160" s="16">
        <f t="shared" si="64"/>
        <v>3064258</v>
      </c>
      <c r="BB160" s="6" t="s">
        <v>170</v>
      </c>
      <c r="BC160" s="6"/>
      <c r="BD160" s="6" t="s">
        <v>101</v>
      </c>
      <c r="BE160" s="16"/>
      <c r="BF160" s="16">
        <v>0</v>
      </c>
      <c r="BG160" s="16"/>
      <c r="BH160" s="16">
        <f>5210000+210000</f>
        <v>5420000</v>
      </c>
      <c r="BI160" s="16"/>
      <c r="BJ160" s="16">
        <f>331629+35836</f>
        <v>367465</v>
      </c>
      <c r="BK160" s="16"/>
      <c r="BL160" s="16">
        <f>14024+33506</f>
        <v>47530</v>
      </c>
      <c r="BM160" s="16"/>
      <c r="BN160" s="16">
        <f t="shared" si="49"/>
        <v>5834995</v>
      </c>
      <c r="BO160" s="17"/>
      <c r="BP160" s="6"/>
      <c r="BQ160" s="6"/>
      <c r="BR160" s="6"/>
    </row>
    <row r="161" spans="1:70" ht="12.75" hidden="1" customHeight="1" x14ac:dyDescent="0.2">
      <c r="A161" s="6" t="s">
        <v>64</v>
      </c>
      <c r="C161" s="6" t="s">
        <v>43</v>
      </c>
      <c r="E161" s="16">
        <v>0</v>
      </c>
      <c r="F161" s="16"/>
      <c r="G161" s="16"/>
      <c r="H161" s="16"/>
      <c r="I161" s="16">
        <f t="shared" si="59"/>
        <v>0</v>
      </c>
      <c r="J161" s="16"/>
      <c r="K161" s="16">
        <v>0</v>
      </c>
      <c r="L161" s="16"/>
      <c r="M161" s="16"/>
      <c r="N161" s="16"/>
      <c r="O161" s="16">
        <f t="shared" si="60"/>
        <v>0</v>
      </c>
      <c r="P161" s="16"/>
      <c r="Q161" s="16"/>
      <c r="R161" s="16"/>
      <c r="S161" s="16"/>
      <c r="T161" s="16"/>
      <c r="U161" s="16"/>
      <c r="V161" s="16"/>
      <c r="W161" s="16">
        <f t="shared" si="61"/>
        <v>0</v>
      </c>
      <c r="Z161" s="6" t="s">
        <v>64</v>
      </c>
      <c r="AA161" s="16"/>
      <c r="AB161" s="6" t="s">
        <v>43</v>
      </c>
      <c r="AD161" s="16"/>
      <c r="AE161" s="16"/>
      <c r="AF161" s="16"/>
      <c r="AG161" s="16"/>
      <c r="AH161" s="16"/>
      <c r="AI161" s="16"/>
      <c r="AJ161" s="8">
        <f t="shared" si="65"/>
        <v>0</v>
      </c>
      <c r="AK161" s="8"/>
      <c r="AL161" s="16"/>
      <c r="AM161" s="8"/>
      <c r="AN161" s="16"/>
      <c r="AO161" s="16"/>
      <c r="AP161" s="16"/>
      <c r="AQ161" s="16"/>
      <c r="AR161" s="16"/>
      <c r="AS161" s="16"/>
      <c r="AT161" s="8">
        <f t="shared" ref="AT161:AT180" si="66">+AJ161+AL161+AN161-AP161+AR161</f>
        <v>0</v>
      </c>
      <c r="AU161" s="8"/>
      <c r="AV161" s="16">
        <v>0</v>
      </c>
      <c r="AW161" s="16"/>
      <c r="AX161" s="16">
        <v>0</v>
      </c>
      <c r="AY161" s="16"/>
      <c r="AZ161" s="16">
        <f t="shared" si="64"/>
        <v>0</v>
      </c>
      <c r="BB161" s="6" t="s">
        <v>64</v>
      </c>
      <c r="BC161" s="6"/>
      <c r="BD161" s="6" t="s">
        <v>43</v>
      </c>
      <c r="BE161" s="16"/>
      <c r="BF161" s="16"/>
      <c r="BG161" s="16"/>
      <c r="BH161" s="16"/>
      <c r="BI161" s="16"/>
      <c r="BJ161" s="16"/>
      <c r="BK161" s="16"/>
      <c r="BL161" s="16"/>
      <c r="BM161" s="16"/>
      <c r="BN161" s="16">
        <f t="shared" si="49"/>
        <v>0</v>
      </c>
      <c r="BO161" s="17"/>
      <c r="BP161" s="6"/>
      <c r="BQ161" s="6"/>
      <c r="BR161" s="6"/>
    </row>
    <row r="162" spans="1:70" ht="12.75" hidden="1" customHeight="1" x14ac:dyDescent="0.2">
      <c r="A162" s="6" t="s">
        <v>171</v>
      </c>
      <c r="C162" s="6" t="s">
        <v>64</v>
      </c>
      <c r="E162" s="16">
        <v>0</v>
      </c>
      <c r="F162" s="16"/>
      <c r="G162" s="16"/>
      <c r="H162" s="16"/>
      <c r="I162" s="16">
        <f t="shared" si="59"/>
        <v>0</v>
      </c>
      <c r="J162" s="16"/>
      <c r="K162" s="16">
        <v>0</v>
      </c>
      <c r="L162" s="16"/>
      <c r="M162" s="16"/>
      <c r="N162" s="16"/>
      <c r="O162" s="16">
        <f t="shared" si="60"/>
        <v>0</v>
      </c>
      <c r="P162" s="16"/>
      <c r="Q162" s="16"/>
      <c r="R162" s="16"/>
      <c r="S162" s="16"/>
      <c r="T162" s="16"/>
      <c r="U162" s="16"/>
      <c r="V162" s="16"/>
      <c r="W162" s="16">
        <f t="shared" si="61"/>
        <v>0</v>
      </c>
      <c r="Z162" s="6" t="s">
        <v>171</v>
      </c>
      <c r="AA162" s="16"/>
      <c r="AB162" s="6" t="s">
        <v>64</v>
      </c>
      <c r="AD162" s="16"/>
      <c r="AE162" s="16"/>
      <c r="AF162" s="16"/>
      <c r="AG162" s="16"/>
      <c r="AH162" s="16"/>
      <c r="AI162" s="16"/>
      <c r="AJ162" s="8">
        <f t="shared" si="65"/>
        <v>0</v>
      </c>
      <c r="AK162" s="8"/>
      <c r="AL162" s="16"/>
      <c r="AM162" s="8"/>
      <c r="AN162" s="16"/>
      <c r="AO162" s="16"/>
      <c r="AP162" s="16"/>
      <c r="AQ162" s="16"/>
      <c r="AR162" s="16"/>
      <c r="AS162" s="16"/>
      <c r="AT162" s="8">
        <f t="shared" si="66"/>
        <v>0</v>
      </c>
      <c r="AU162" s="8"/>
      <c r="AV162" s="16">
        <v>0</v>
      </c>
      <c r="AW162" s="16"/>
      <c r="AX162" s="16">
        <v>0</v>
      </c>
      <c r="AY162" s="16"/>
      <c r="AZ162" s="16">
        <f t="shared" si="64"/>
        <v>0</v>
      </c>
      <c r="BB162" s="6" t="s">
        <v>171</v>
      </c>
      <c r="BC162" s="6"/>
      <c r="BD162" s="6" t="s">
        <v>64</v>
      </c>
      <c r="BE162" s="16"/>
      <c r="BF162" s="16"/>
      <c r="BG162" s="16"/>
      <c r="BH162" s="16"/>
      <c r="BI162" s="16"/>
      <c r="BJ162" s="16"/>
      <c r="BK162" s="16"/>
      <c r="BL162" s="16"/>
      <c r="BM162" s="16"/>
      <c r="BN162" s="16">
        <f t="shared" ref="BN162:BN180" si="67">SUM(BF162:BL162)</f>
        <v>0</v>
      </c>
      <c r="BO162" s="17"/>
      <c r="BP162" s="6"/>
      <c r="BQ162" s="6"/>
      <c r="BR162" s="6"/>
    </row>
    <row r="163" spans="1:70" ht="12.75" hidden="1" customHeight="1" x14ac:dyDescent="0.2">
      <c r="A163" s="6" t="s">
        <v>363</v>
      </c>
      <c r="C163" s="6" t="s">
        <v>43</v>
      </c>
      <c r="E163" s="16">
        <v>0</v>
      </c>
      <c r="F163" s="16"/>
      <c r="G163" s="16"/>
      <c r="H163" s="16"/>
      <c r="I163" s="16">
        <f t="shared" si="59"/>
        <v>0</v>
      </c>
      <c r="J163" s="16"/>
      <c r="K163" s="16">
        <v>0</v>
      </c>
      <c r="L163" s="16"/>
      <c r="M163" s="16"/>
      <c r="N163" s="16"/>
      <c r="O163" s="16">
        <f t="shared" si="60"/>
        <v>0</v>
      </c>
      <c r="P163" s="16"/>
      <c r="Q163" s="16"/>
      <c r="R163" s="16"/>
      <c r="S163" s="16"/>
      <c r="T163" s="16"/>
      <c r="U163" s="16"/>
      <c r="V163" s="16"/>
      <c r="W163" s="16">
        <f t="shared" si="61"/>
        <v>0</v>
      </c>
      <c r="Z163" s="6" t="s">
        <v>363</v>
      </c>
      <c r="AA163" s="16"/>
      <c r="AB163" s="6" t="s">
        <v>43</v>
      </c>
      <c r="AD163" s="16"/>
      <c r="AE163" s="16"/>
      <c r="AF163" s="16"/>
      <c r="AG163" s="16"/>
      <c r="AH163" s="16"/>
      <c r="AI163" s="16"/>
      <c r="AJ163" s="8">
        <f t="shared" si="65"/>
        <v>0</v>
      </c>
      <c r="AK163" s="8"/>
      <c r="AL163" s="16"/>
      <c r="AM163" s="8"/>
      <c r="AN163" s="16"/>
      <c r="AO163" s="16"/>
      <c r="AP163" s="16"/>
      <c r="AQ163" s="16"/>
      <c r="AR163" s="16"/>
      <c r="AS163" s="16"/>
      <c r="AT163" s="8">
        <f t="shared" si="66"/>
        <v>0</v>
      </c>
      <c r="AU163" s="8"/>
      <c r="AV163" s="16">
        <v>0</v>
      </c>
      <c r="AW163" s="16"/>
      <c r="AX163" s="16">
        <v>0</v>
      </c>
      <c r="AY163" s="16"/>
      <c r="AZ163" s="16">
        <f t="shared" si="64"/>
        <v>0</v>
      </c>
      <c r="BB163" s="6" t="s">
        <v>363</v>
      </c>
      <c r="BC163" s="6"/>
      <c r="BD163" s="6" t="s">
        <v>43</v>
      </c>
      <c r="BE163" s="16"/>
      <c r="BF163" s="16"/>
      <c r="BG163" s="16"/>
      <c r="BH163" s="16"/>
      <c r="BI163" s="16"/>
      <c r="BJ163" s="16"/>
      <c r="BK163" s="16"/>
      <c r="BL163" s="16"/>
      <c r="BM163" s="16"/>
      <c r="BN163" s="16">
        <f t="shared" si="67"/>
        <v>0</v>
      </c>
      <c r="BO163" s="17"/>
      <c r="BP163" s="6"/>
      <c r="BQ163" s="6"/>
      <c r="BR163" s="6"/>
    </row>
    <row r="164" spans="1:70" ht="12.75" customHeight="1" x14ac:dyDescent="0.2">
      <c r="A164" s="6" t="s">
        <v>173</v>
      </c>
      <c r="C164" s="6" t="s">
        <v>174</v>
      </c>
      <c r="E164" s="16">
        <v>2745998</v>
      </c>
      <c r="F164" s="16"/>
      <c r="G164" s="16">
        <v>15561475</v>
      </c>
      <c r="H164" s="16"/>
      <c r="I164" s="16">
        <f t="shared" si="59"/>
        <v>18307473</v>
      </c>
      <c r="J164" s="16"/>
      <c r="K164" s="16">
        <v>1692126</v>
      </c>
      <c r="L164" s="16"/>
      <c r="M164" s="16">
        <v>6716708</v>
      </c>
      <c r="N164" s="16"/>
      <c r="O164" s="16">
        <f t="shared" si="60"/>
        <v>8408834</v>
      </c>
      <c r="P164" s="16"/>
      <c r="Q164" s="16">
        <v>6974437</v>
      </c>
      <c r="R164" s="16"/>
      <c r="S164" s="16">
        <f>475699+442250</f>
        <v>917949</v>
      </c>
      <c r="T164" s="16"/>
      <c r="U164" s="16">
        <v>2006253</v>
      </c>
      <c r="V164" s="16"/>
      <c r="W164" s="16">
        <f t="shared" si="61"/>
        <v>9898639</v>
      </c>
      <c r="Z164" s="6" t="s">
        <v>173</v>
      </c>
      <c r="AA164" s="16"/>
      <c r="AB164" s="6" t="s">
        <v>174</v>
      </c>
      <c r="AD164" s="16">
        <v>3559198</v>
      </c>
      <c r="AE164" s="16"/>
      <c r="AF164" s="16">
        <f>2694297-888312</f>
        <v>1805985</v>
      </c>
      <c r="AG164" s="16"/>
      <c r="AH164" s="16">
        <v>888312</v>
      </c>
      <c r="AI164" s="16"/>
      <c r="AJ164" s="8">
        <f t="shared" si="65"/>
        <v>864901</v>
      </c>
      <c r="AK164" s="8"/>
      <c r="AL164" s="16">
        <v>-336065</v>
      </c>
      <c r="AM164" s="8"/>
      <c r="AN164" s="16">
        <v>0</v>
      </c>
      <c r="AO164" s="16"/>
      <c r="AP164" s="16">
        <v>0</v>
      </c>
      <c r="AQ164" s="16"/>
      <c r="AR164" s="16">
        <v>0</v>
      </c>
      <c r="AS164" s="16"/>
      <c r="AT164" s="8">
        <f t="shared" si="66"/>
        <v>528836</v>
      </c>
      <c r="AU164" s="8"/>
      <c r="AV164" s="16">
        <v>0</v>
      </c>
      <c r="AW164" s="16"/>
      <c r="AX164" s="16">
        <v>0</v>
      </c>
      <c r="AY164" s="16"/>
      <c r="AZ164" s="16">
        <f t="shared" si="64"/>
        <v>1053872</v>
      </c>
      <c r="BB164" s="6" t="s">
        <v>173</v>
      </c>
      <c r="BC164" s="6"/>
      <c r="BD164" s="6" t="s">
        <v>174</v>
      </c>
      <c r="BE164" s="16"/>
      <c r="BF164" s="16">
        <f>3326525+564240</f>
        <v>3890765</v>
      </c>
      <c r="BG164" s="16"/>
      <c r="BH164" s="16">
        <f>2365000+840000</f>
        <v>3205000</v>
      </c>
      <c r="BI164" s="16"/>
      <c r="BJ164" s="16">
        <f>97156+12536</f>
        <v>109692</v>
      </c>
      <c r="BK164" s="16"/>
      <c r="BL164" s="16">
        <f>891550+36477+109372+48750</f>
        <v>1086149</v>
      </c>
      <c r="BM164" s="16"/>
      <c r="BN164" s="16">
        <f t="shared" si="67"/>
        <v>8291606</v>
      </c>
      <c r="BO164" s="17"/>
      <c r="BP164" s="6"/>
      <c r="BQ164" s="6"/>
      <c r="BR164" s="6"/>
    </row>
    <row r="165" spans="1:70" ht="12.75" customHeight="1" x14ac:dyDescent="0.2">
      <c r="A165" s="6" t="s">
        <v>175</v>
      </c>
      <c r="C165" s="6" t="s">
        <v>11</v>
      </c>
      <c r="E165" s="16">
        <v>2586691</v>
      </c>
      <c r="F165" s="16"/>
      <c r="G165" s="16">
        <v>2809502</v>
      </c>
      <c r="H165" s="16"/>
      <c r="I165" s="16">
        <f t="shared" si="59"/>
        <v>5396193</v>
      </c>
      <c r="J165" s="16"/>
      <c r="K165" s="16">
        <v>146148</v>
      </c>
      <c r="L165" s="16"/>
      <c r="M165" s="16">
        <v>511773</v>
      </c>
      <c r="N165" s="16"/>
      <c r="O165" s="16">
        <f t="shared" si="60"/>
        <v>657921</v>
      </c>
      <c r="P165" s="16"/>
      <c r="Q165" s="16">
        <v>2203707</v>
      </c>
      <c r="R165" s="16"/>
      <c r="S165" s="16">
        <v>0</v>
      </c>
      <c r="T165" s="16"/>
      <c r="U165" s="16">
        <v>2534565</v>
      </c>
      <c r="V165" s="16"/>
      <c r="W165" s="16">
        <f t="shared" si="61"/>
        <v>4738272</v>
      </c>
      <c r="Z165" s="6" t="s">
        <v>175</v>
      </c>
      <c r="AA165" s="16"/>
      <c r="AB165" s="6" t="s">
        <v>11</v>
      </c>
      <c r="AD165" s="16">
        <v>823594</v>
      </c>
      <c r="AE165" s="16"/>
      <c r="AF165" s="16">
        <f>858021-111918</f>
        <v>746103</v>
      </c>
      <c r="AG165" s="16"/>
      <c r="AH165" s="16">
        <v>111918</v>
      </c>
      <c r="AI165" s="16"/>
      <c r="AJ165" s="8">
        <f t="shared" si="65"/>
        <v>-34427</v>
      </c>
      <c r="AK165" s="8"/>
      <c r="AL165" s="16">
        <v>-64992</v>
      </c>
      <c r="AM165" s="8"/>
      <c r="AN165" s="16">
        <v>0</v>
      </c>
      <c r="AO165" s="16"/>
      <c r="AP165" s="16">
        <v>1531</v>
      </c>
      <c r="AQ165" s="16"/>
      <c r="AR165" s="16">
        <v>0</v>
      </c>
      <c r="AS165" s="16"/>
      <c r="AT165" s="8">
        <f t="shared" si="66"/>
        <v>-100950</v>
      </c>
      <c r="AU165" s="8"/>
      <c r="AV165" s="16">
        <v>0</v>
      </c>
      <c r="AW165" s="16"/>
      <c r="AX165" s="16">
        <v>0</v>
      </c>
      <c r="AY165" s="16"/>
      <c r="AZ165" s="16">
        <f t="shared" si="64"/>
        <v>2440543</v>
      </c>
      <c r="BB165" s="6" t="s">
        <v>175</v>
      </c>
      <c r="BC165" s="6"/>
      <c r="BD165" s="6" t="s">
        <v>11</v>
      </c>
      <c r="BE165" s="16"/>
      <c r="BF165" s="16">
        <f>511773+115000</f>
        <v>626773</v>
      </c>
      <c r="BG165" s="16"/>
      <c r="BH165" s="16">
        <v>0</v>
      </c>
      <c r="BI165" s="16"/>
      <c r="BJ165" s="16">
        <v>0</v>
      </c>
      <c r="BK165" s="16"/>
      <c r="BL165" s="16">
        <v>0</v>
      </c>
      <c r="BM165" s="16"/>
      <c r="BN165" s="16">
        <f t="shared" si="67"/>
        <v>626773</v>
      </c>
      <c r="BO165" s="17"/>
      <c r="BP165" s="6"/>
      <c r="BQ165" s="6"/>
      <c r="BR165" s="6"/>
    </row>
    <row r="166" spans="1:70" ht="12.75" customHeight="1" x14ac:dyDescent="0.2">
      <c r="A166" s="6" t="s">
        <v>176</v>
      </c>
      <c r="C166" s="6" t="s">
        <v>177</v>
      </c>
      <c r="E166" s="16">
        <v>3783970</v>
      </c>
      <c r="F166" s="16"/>
      <c r="G166" s="16">
        <v>8988264</v>
      </c>
      <c r="H166" s="16"/>
      <c r="I166" s="16">
        <f t="shared" ref="I166:I180" si="68">+E166+G166</f>
        <v>12772234</v>
      </c>
      <c r="J166" s="16"/>
      <c r="K166" s="16">
        <v>2261262</v>
      </c>
      <c r="L166" s="16"/>
      <c r="M166" s="16">
        <v>5588991</v>
      </c>
      <c r="N166" s="16"/>
      <c r="O166" s="16">
        <f t="shared" ref="O166:O180" si="69">+K166+M166</f>
        <v>7850253</v>
      </c>
      <c r="P166" s="16"/>
      <c r="Q166" s="16">
        <v>3866030</v>
      </c>
      <c r="R166" s="16"/>
      <c r="S166" s="16">
        <v>0</v>
      </c>
      <c r="T166" s="16"/>
      <c r="U166" s="16">
        <v>1055951</v>
      </c>
      <c r="V166" s="16"/>
      <c r="W166" s="16">
        <f t="shared" si="61"/>
        <v>4921981</v>
      </c>
      <c r="Z166" s="6" t="s">
        <v>176</v>
      </c>
      <c r="AA166" s="16"/>
      <c r="AB166" s="6" t="s">
        <v>177</v>
      </c>
      <c r="AD166" s="16">
        <v>3154088</v>
      </c>
      <c r="AE166" s="16"/>
      <c r="AF166" s="16">
        <f>2350352-281531</f>
        <v>2068821</v>
      </c>
      <c r="AG166" s="16"/>
      <c r="AH166" s="16">
        <v>281531</v>
      </c>
      <c r="AI166" s="16"/>
      <c r="AJ166" s="8">
        <f t="shared" si="65"/>
        <v>803736</v>
      </c>
      <c r="AK166" s="8"/>
      <c r="AL166" s="16">
        <v>-250060</v>
      </c>
      <c r="AM166" s="8"/>
      <c r="AN166" s="16">
        <v>1008</v>
      </c>
      <c r="AO166" s="16"/>
      <c r="AP166" s="16">
        <v>86577</v>
      </c>
      <c r="AQ166" s="16"/>
      <c r="AR166" s="16">
        <v>27365</v>
      </c>
      <c r="AS166" s="16"/>
      <c r="AT166" s="8">
        <f t="shared" si="66"/>
        <v>495472</v>
      </c>
      <c r="AU166" s="8"/>
      <c r="AV166" s="16">
        <v>0</v>
      </c>
      <c r="AW166" s="16"/>
      <c r="AX166" s="16">
        <v>0</v>
      </c>
      <c r="AY166" s="16"/>
      <c r="AZ166" s="16">
        <f t="shared" si="64"/>
        <v>1522708</v>
      </c>
      <c r="BB166" s="6" t="s">
        <v>176</v>
      </c>
      <c r="BC166" s="6"/>
      <c r="BD166" s="6" t="s">
        <v>177</v>
      </c>
      <c r="BE166" s="16"/>
      <c r="BF166" s="16">
        <f>1325000+145000</f>
        <v>1470000</v>
      </c>
      <c r="BG166" s="16"/>
      <c r="BH166" s="16">
        <f>3855400+151600</f>
        <v>4007000</v>
      </c>
      <c r="BI166" s="16"/>
      <c r="BJ166" s="16">
        <f>295416+68061+45595</f>
        <v>409072</v>
      </c>
      <c r="BK166" s="16"/>
      <c r="BL166" s="16">
        <f>45114+34576</f>
        <v>79690</v>
      </c>
      <c r="BM166" s="16"/>
      <c r="BN166" s="16">
        <f t="shared" si="67"/>
        <v>5965762</v>
      </c>
      <c r="BO166" s="17"/>
      <c r="BP166" s="6"/>
      <c r="BQ166" s="6"/>
      <c r="BR166" s="6"/>
    </row>
    <row r="167" spans="1:70" ht="12.75" customHeight="1" x14ac:dyDescent="0.2">
      <c r="A167" s="6" t="s">
        <v>178</v>
      </c>
      <c r="C167" s="6" t="s">
        <v>18</v>
      </c>
      <c r="E167" s="16">
        <v>820563</v>
      </c>
      <c r="F167" s="16"/>
      <c r="G167" s="16">
        <v>3259543</v>
      </c>
      <c r="H167" s="16"/>
      <c r="I167" s="16">
        <f t="shared" si="68"/>
        <v>4080106</v>
      </c>
      <c r="J167" s="16"/>
      <c r="K167" s="16">
        <v>396855</v>
      </c>
      <c r="L167" s="16"/>
      <c r="M167" s="16">
        <v>752763</v>
      </c>
      <c r="N167" s="16"/>
      <c r="O167" s="16">
        <f t="shared" si="69"/>
        <v>1149618</v>
      </c>
      <c r="P167" s="16"/>
      <c r="Q167" s="16">
        <v>2441516</v>
      </c>
      <c r="R167" s="16"/>
      <c r="S167" s="16">
        <v>0</v>
      </c>
      <c r="T167" s="16"/>
      <c r="U167" s="16">
        <v>488972</v>
      </c>
      <c r="V167" s="16"/>
      <c r="W167" s="16">
        <f t="shared" si="61"/>
        <v>2930488</v>
      </c>
      <c r="Z167" s="6" t="s">
        <v>178</v>
      </c>
      <c r="AA167" s="16"/>
      <c r="AB167" s="6" t="s">
        <v>18</v>
      </c>
      <c r="AD167" s="16">
        <v>1039304</v>
      </c>
      <c r="AE167" s="16"/>
      <c r="AF167" s="16">
        <f>1129788-135576</f>
        <v>994212</v>
      </c>
      <c r="AG167" s="16"/>
      <c r="AH167" s="16">
        <v>135576</v>
      </c>
      <c r="AI167" s="16"/>
      <c r="AJ167" s="8">
        <f t="shared" si="65"/>
        <v>-90484</v>
      </c>
      <c r="AK167" s="8"/>
      <c r="AL167" s="16">
        <v>-4597</v>
      </c>
      <c r="AM167" s="8"/>
      <c r="AN167" s="16">
        <v>0</v>
      </c>
      <c r="AO167" s="16"/>
      <c r="AP167" s="16">
        <v>0</v>
      </c>
      <c r="AQ167" s="16"/>
      <c r="AR167" s="16">
        <v>4197</v>
      </c>
      <c r="AS167" s="16"/>
      <c r="AT167" s="8">
        <f t="shared" si="66"/>
        <v>-90884</v>
      </c>
      <c r="AU167" s="8"/>
      <c r="AV167" s="16">
        <v>0</v>
      </c>
      <c r="AW167" s="16"/>
      <c r="AX167" s="16">
        <v>0</v>
      </c>
      <c r="AY167" s="16"/>
      <c r="AZ167" s="16">
        <f t="shared" si="64"/>
        <v>423708</v>
      </c>
      <c r="BB167" s="6" t="s">
        <v>178</v>
      </c>
      <c r="BC167" s="6"/>
      <c r="BD167" s="6" t="s">
        <v>18</v>
      </c>
      <c r="BE167" s="16"/>
      <c r="BF167" s="16">
        <v>0</v>
      </c>
      <c r="BG167" s="16"/>
      <c r="BH167" s="16">
        <v>0</v>
      </c>
      <c r="BI167" s="16"/>
      <c r="BJ167" s="16">
        <f>520328+209525+13146+9918</f>
        <v>752917</v>
      </c>
      <c r="BK167" s="16"/>
      <c r="BL167" s="16">
        <f>11145+22910</f>
        <v>34055</v>
      </c>
      <c r="BM167" s="16"/>
      <c r="BN167" s="16">
        <f t="shared" si="67"/>
        <v>786972</v>
      </c>
      <c r="BO167" s="17"/>
      <c r="BP167" s="6"/>
      <c r="BQ167" s="6"/>
      <c r="BR167" s="6"/>
    </row>
    <row r="168" spans="1:70" ht="12.75" hidden="1" customHeight="1" x14ac:dyDescent="0.2">
      <c r="A168" s="7" t="s">
        <v>495</v>
      </c>
      <c r="B168" s="10"/>
      <c r="C168" s="7" t="s">
        <v>41</v>
      </c>
      <c r="E168" s="16">
        <v>0</v>
      </c>
      <c r="F168" s="16"/>
      <c r="G168" s="16"/>
      <c r="H168" s="16"/>
      <c r="I168" s="16">
        <f t="shared" si="68"/>
        <v>0</v>
      </c>
      <c r="J168" s="16"/>
      <c r="K168" s="16">
        <v>0</v>
      </c>
      <c r="L168" s="16"/>
      <c r="M168" s="16"/>
      <c r="N168" s="16"/>
      <c r="O168" s="16">
        <f t="shared" si="69"/>
        <v>0</v>
      </c>
      <c r="P168" s="16"/>
      <c r="Q168" s="16"/>
      <c r="R168" s="16"/>
      <c r="S168" s="16"/>
      <c r="T168" s="16"/>
      <c r="U168" s="16"/>
      <c r="V168" s="16"/>
      <c r="W168" s="16">
        <f t="shared" si="61"/>
        <v>0</v>
      </c>
      <c r="Z168" s="7" t="s">
        <v>495</v>
      </c>
      <c r="AB168" s="7" t="s">
        <v>41</v>
      </c>
      <c r="AD168" s="16"/>
      <c r="AE168" s="16"/>
      <c r="AF168" s="16"/>
      <c r="AG168" s="16"/>
      <c r="AH168" s="16"/>
      <c r="AI168" s="16"/>
      <c r="AJ168" s="8">
        <f t="shared" si="65"/>
        <v>0</v>
      </c>
      <c r="AK168" s="8"/>
      <c r="AL168" s="16"/>
      <c r="AM168" s="8"/>
      <c r="AN168" s="16"/>
      <c r="AO168" s="16"/>
      <c r="AP168" s="16"/>
      <c r="AQ168" s="16"/>
      <c r="AR168" s="16"/>
      <c r="AS168" s="16"/>
      <c r="AT168" s="8">
        <f t="shared" si="66"/>
        <v>0</v>
      </c>
      <c r="AU168" s="8"/>
      <c r="AV168" s="16"/>
      <c r="AW168" s="16"/>
      <c r="AX168" s="16"/>
      <c r="AY168" s="16"/>
      <c r="AZ168" s="16">
        <f t="shared" si="64"/>
        <v>0</v>
      </c>
      <c r="BB168" s="7" t="s">
        <v>495</v>
      </c>
      <c r="BC168" s="10"/>
      <c r="BD168" s="7" t="s">
        <v>41</v>
      </c>
      <c r="BE168" s="16"/>
      <c r="BF168" s="16"/>
      <c r="BG168" s="16"/>
      <c r="BH168" s="16"/>
      <c r="BI168" s="16"/>
      <c r="BJ168" s="16"/>
      <c r="BK168" s="16"/>
      <c r="BL168" s="16"/>
      <c r="BM168" s="16"/>
      <c r="BN168" s="16">
        <f t="shared" si="67"/>
        <v>0</v>
      </c>
      <c r="BO168" s="17"/>
      <c r="BP168" s="6"/>
      <c r="BQ168" s="6"/>
      <c r="BR168" s="6"/>
    </row>
    <row r="169" spans="1:70" ht="12.75" customHeight="1" x14ac:dyDescent="0.2">
      <c r="A169" s="6" t="s">
        <v>180</v>
      </c>
      <c r="B169" s="6"/>
      <c r="C169" s="6" t="s">
        <v>181</v>
      </c>
      <c r="E169" s="16">
        <v>146837</v>
      </c>
      <c r="F169" s="16"/>
      <c r="G169" s="16">
        <v>1995263</v>
      </c>
      <c r="H169" s="16"/>
      <c r="I169" s="16">
        <f t="shared" si="68"/>
        <v>2142100</v>
      </c>
      <c r="J169" s="16"/>
      <c r="K169" s="16">
        <v>195326</v>
      </c>
      <c r="L169" s="16"/>
      <c r="M169" s="16">
        <v>2369352</v>
      </c>
      <c r="N169" s="16"/>
      <c r="O169" s="16">
        <f t="shared" si="69"/>
        <v>2564678</v>
      </c>
      <c r="P169" s="16"/>
      <c r="Q169" s="16">
        <v>0</v>
      </c>
      <c r="R169" s="16"/>
      <c r="S169" s="16">
        <v>0</v>
      </c>
      <c r="T169" s="16"/>
      <c r="U169" s="16">
        <v>-422578</v>
      </c>
      <c r="V169" s="16"/>
      <c r="W169" s="16">
        <f t="shared" si="61"/>
        <v>-422578</v>
      </c>
      <c r="Z169" s="6" t="s">
        <v>180</v>
      </c>
      <c r="AA169" s="16"/>
      <c r="AB169" s="6" t="s">
        <v>181</v>
      </c>
      <c r="AD169" s="16">
        <v>668486</v>
      </c>
      <c r="AE169" s="16"/>
      <c r="AF169" s="16">
        <f>909925-414662</f>
        <v>495263</v>
      </c>
      <c r="AG169" s="16"/>
      <c r="AH169" s="16">
        <v>414662</v>
      </c>
      <c r="AI169" s="16"/>
      <c r="AJ169" s="8">
        <f t="shared" si="65"/>
        <v>-241439</v>
      </c>
      <c r="AK169" s="8"/>
      <c r="AL169" s="16">
        <v>-72178</v>
      </c>
      <c r="AM169" s="8"/>
      <c r="AN169" s="16">
        <v>0</v>
      </c>
      <c r="AO169" s="16"/>
      <c r="AP169" s="16">
        <v>0</v>
      </c>
      <c r="AQ169" s="16"/>
      <c r="AR169" s="16">
        <v>0</v>
      </c>
      <c r="AS169" s="16"/>
      <c r="AT169" s="8">
        <f t="shared" si="66"/>
        <v>-313617</v>
      </c>
      <c r="AU169" s="8"/>
      <c r="AV169" s="16">
        <v>0</v>
      </c>
      <c r="AW169" s="16"/>
      <c r="AX169" s="16">
        <v>0</v>
      </c>
      <c r="AY169" s="16"/>
      <c r="AZ169" s="16">
        <f t="shared" si="64"/>
        <v>-48489</v>
      </c>
      <c r="BB169" s="6" t="s">
        <v>180</v>
      </c>
      <c r="BC169" s="6"/>
      <c r="BD169" s="6" t="s">
        <v>181</v>
      </c>
      <c r="BE169" s="16"/>
      <c r="BF169" s="16">
        <v>0</v>
      </c>
      <c r="BG169" s="16"/>
      <c r="BH169" s="16">
        <v>0</v>
      </c>
      <c r="BI169" s="16"/>
      <c r="BJ169" s="16">
        <f>2351154+172769</f>
        <v>2523923</v>
      </c>
      <c r="BK169" s="16"/>
      <c r="BL169" s="16">
        <f>18198+3514</f>
        <v>21712</v>
      </c>
      <c r="BM169" s="16"/>
      <c r="BN169" s="16">
        <f t="shared" si="67"/>
        <v>2545635</v>
      </c>
      <c r="BO169" s="17"/>
      <c r="BP169" s="6"/>
      <c r="BQ169" s="6"/>
      <c r="BR169" s="6"/>
    </row>
    <row r="170" spans="1:70" ht="12.75" customHeight="1" x14ac:dyDescent="0.2">
      <c r="A170" s="6" t="s">
        <v>182</v>
      </c>
      <c r="C170" s="6" t="s">
        <v>87</v>
      </c>
      <c r="E170" s="16">
        <v>2257548</v>
      </c>
      <c r="F170" s="16"/>
      <c r="G170" s="16">
        <v>9653559</v>
      </c>
      <c r="H170" s="16"/>
      <c r="I170" s="16">
        <f t="shared" si="68"/>
        <v>11911107</v>
      </c>
      <c r="J170" s="16"/>
      <c r="K170" s="16">
        <v>197137</v>
      </c>
      <c r="L170" s="16"/>
      <c r="M170" s="16">
        <v>144105</v>
      </c>
      <c r="N170" s="16"/>
      <c r="O170" s="16">
        <f t="shared" si="69"/>
        <v>341242</v>
      </c>
      <c r="P170" s="16"/>
      <c r="Q170" s="16">
        <v>9588559</v>
      </c>
      <c r="R170" s="16"/>
      <c r="S170" s="16">
        <v>0</v>
      </c>
      <c r="T170" s="16"/>
      <c r="U170" s="16">
        <v>1981306</v>
      </c>
      <c r="V170" s="16"/>
      <c r="W170" s="16">
        <f t="shared" si="61"/>
        <v>11569865</v>
      </c>
      <c r="Z170" s="6" t="s">
        <v>182</v>
      </c>
      <c r="AA170" s="16"/>
      <c r="AB170" s="6" t="s">
        <v>87</v>
      </c>
      <c r="AD170" s="16">
        <v>2455294</v>
      </c>
      <c r="AE170" s="16"/>
      <c r="AF170" s="16">
        <f>2540351-449905</f>
        <v>2090446</v>
      </c>
      <c r="AG170" s="16"/>
      <c r="AH170" s="16">
        <v>449905</v>
      </c>
      <c r="AI170" s="16"/>
      <c r="AJ170" s="8">
        <f t="shared" si="65"/>
        <v>-85057</v>
      </c>
      <c r="AK170" s="8"/>
      <c r="AL170" s="16">
        <v>61</v>
      </c>
      <c r="AM170" s="8"/>
      <c r="AN170" s="16">
        <v>0</v>
      </c>
      <c r="AO170" s="16"/>
      <c r="AP170" s="16">
        <v>0</v>
      </c>
      <c r="AQ170" s="16"/>
      <c r="AR170" s="16">
        <v>0</v>
      </c>
      <c r="AS170" s="16"/>
      <c r="AT170" s="8">
        <f t="shared" si="66"/>
        <v>-84996</v>
      </c>
      <c r="AU170" s="8"/>
      <c r="AV170" s="16">
        <v>0</v>
      </c>
      <c r="AW170" s="16"/>
      <c r="AX170" s="16">
        <v>0</v>
      </c>
      <c r="AY170" s="16"/>
      <c r="AZ170" s="16">
        <f t="shared" ref="AZ170:AZ180" si="70">E170-K170</f>
        <v>2060411</v>
      </c>
      <c r="BB170" s="6" t="s">
        <v>182</v>
      </c>
      <c r="BC170" s="6"/>
      <c r="BD170" s="6" t="s">
        <v>87</v>
      </c>
      <c r="BE170" s="16"/>
      <c r="BF170" s="16">
        <v>0</v>
      </c>
      <c r="BG170" s="16"/>
      <c r="BH170" s="16">
        <v>0</v>
      </c>
      <c r="BI170" s="16"/>
      <c r="BJ170" s="16">
        <f>60000+5000</f>
        <v>65000</v>
      </c>
      <c r="BK170" s="16"/>
      <c r="BL170" s="16">
        <f>84105+15499</f>
        <v>99604</v>
      </c>
      <c r="BM170" s="16"/>
      <c r="BN170" s="16">
        <f>SUM(BF170:BL170)</f>
        <v>164604</v>
      </c>
      <c r="BO170" s="17"/>
      <c r="BP170" s="6"/>
      <c r="BQ170" s="6"/>
      <c r="BR170" s="6"/>
    </row>
    <row r="171" spans="1:70" ht="12.75" customHeight="1" x14ac:dyDescent="0.2">
      <c r="A171" s="6" t="s">
        <v>179</v>
      </c>
      <c r="C171" s="6" t="s">
        <v>123</v>
      </c>
      <c r="E171" s="16">
        <v>4970149</v>
      </c>
      <c r="F171" s="16"/>
      <c r="G171" s="16">
        <v>19168376</v>
      </c>
      <c r="H171" s="16"/>
      <c r="I171" s="16">
        <f t="shared" si="68"/>
        <v>24138525</v>
      </c>
      <c r="J171" s="16"/>
      <c r="K171" s="16">
        <v>1279245</v>
      </c>
      <c r="L171" s="16"/>
      <c r="M171" s="16">
        <v>12331752</v>
      </c>
      <c r="N171" s="16"/>
      <c r="O171" s="16">
        <f t="shared" si="69"/>
        <v>13610997</v>
      </c>
      <c r="P171" s="16"/>
      <c r="Q171" s="16">
        <v>11545839</v>
      </c>
      <c r="R171" s="16"/>
      <c r="S171" s="16">
        <v>0</v>
      </c>
      <c r="T171" s="16"/>
      <c r="U171" s="16">
        <v>-758265</v>
      </c>
      <c r="V171" s="16"/>
      <c r="W171" s="16">
        <f t="shared" si="61"/>
        <v>10787574</v>
      </c>
      <c r="Z171" s="6" t="s">
        <v>179</v>
      </c>
      <c r="AA171" s="16"/>
      <c r="AB171" s="6" t="s">
        <v>123</v>
      </c>
      <c r="AD171" s="16">
        <v>6217554</v>
      </c>
      <c r="AE171" s="16"/>
      <c r="AF171" s="16">
        <f>5985069-813356</f>
        <v>5171713</v>
      </c>
      <c r="AG171" s="16"/>
      <c r="AH171" s="16">
        <v>813356</v>
      </c>
      <c r="AI171" s="16"/>
      <c r="AJ171" s="8">
        <f t="shared" si="65"/>
        <v>232485</v>
      </c>
      <c r="AK171" s="8"/>
      <c r="AL171" s="16">
        <v>-611764</v>
      </c>
      <c r="AM171" s="8"/>
      <c r="AN171" s="16">
        <v>300000</v>
      </c>
      <c r="AO171" s="16"/>
      <c r="AP171" s="16">
        <v>0</v>
      </c>
      <c r="AQ171" s="16"/>
      <c r="AR171" s="16">
        <v>0</v>
      </c>
      <c r="AS171" s="16"/>
      <c r="AT171" s="8">
        <f t="shared" si="66"/>
        <v>-79279</v>
      </c>
      <c r="AU171" s="8"/>
      <c r="AV171" s="16">
        <v>0</v>
      </c>
      <c r="AW171" s="16"/>
      <c r="AX171" s="16">
        <v>0</v>
      </c>
      <c r="AY171" s="16"/>
      <c r="AZ171" s="16">
        <f t="shared" si="70"/>
        <v>3690904</v>
      </c>
      <c r="BB171" s="6" t="s">
        <v>179</v>
      </c>
      <c r="BC171" s="6"/>
      <c r="BD171" s="6" t="s">
        <v>123</v>
      </c>
      <c r="BE171" s="16"/>
      <c r="BF171" s="16">
        <f>8836390+772420</f>
        <v>9608810</v>
      </c>
      <c r="BG171" s="16"/>
      <c r="BH171" s="16">
        <v>0</v>
      </c>
      <c r="BI171" s="16"/>
      <c r="BJ171" s="16">
        <v>3103896</v>
      </c>
      <c r="BK171" s="16"/>
      <c r="BL171" s="16">
        <f>352+182369+208745+47680+163218</f>
        <v>602364</v>
      </c>
      <c r="BM171" s="16"/>
      <c r="BN171" s="16">
        <f>SUM(BF171:BL171)</f>
        <v>13315070</v>
      </c>
      <c r="BO171" s="17"/>
      <c r="BQ171" s="6"/>
      <c r="BR171" s="6"/>
    </row>
    <row r="172" spans="1:70" ht="12.75" customHeight="1" x14ac:dyDescent="0.2">
      <c r="A172" s="6" t="s">
        <v>183</v>
      </c>
      <c r="B172" s="6"/>
      <c r="C172" s="6" t="s">
        <v>78</v>
      </c>
      <c r="E172" s="16">
        <v>720908</v>
      </c>
      <c r="F172" s="16"/>
      <c r="G172" s="16">
        <v>2478860</v>
      </c>
      <c r="H172" s="16"/>
      <c r="I172" s="16">
        <f t="shared" si="68"/>
        <v>3199768</v>
      </c>
      <c r="J172" s="16"/>
      <c r="K172" s="16">
        <v>3008002</v>
      </c>
      <c r="L172" s="16"/>
      <c r="M172" s="16">
        <v>1933395</v>
      </c>
      <c r="N172" s="16"/>
      <c r="O172" s="16">
        <f t="shared" si="69"/>
        <v>4941397</v>
      </c>
      <c r="P172" s="16"/>
      <c r="Q172" s="16">
        <v>1232788</v>
      </c>
      <c r="R172" s="16"/>
      <c r="S172" s="16">
        <v>0</v>
      </c>
      <c r="T172" s="16"/>
      <c r="U172" s="16">
        <v>-2974417</v>
      </c>
      <c r="V172" s="16"/>
      <c r="W172" s="16">
        <f t="shared" si="61"/>
        <v>-1741629</v>
      </c>
      <c r="X172" s="6"/>
      <c r="Y172" s="6"/>
      <c r="Z172" s="6" t="s">
        <v>183</v>
      </c>
      <c r="AA172" s="16"/>
      <c r="AB172" s="6" t="s">
        <v>78</v>
      </c>
      <c r="AC172" s="6"/>
      <c r="AD172" s="16">
        <v>5474093</v>
      </c>
      <c r="AE172" s="16"/>
      <c r="AF172" s="16">
        <f>5304973-127534</f>
        <v>5177439</v>
      </c>
      <c r="AG172" s="16"/>
      <c r="AH172" s="16">
        <v>127534</v>
      </c>
      <c r="AI172" s="16"/>
      <c r="AJ172" s="8">
        <f t="shared" si="65"/>
        <v>169120</v>
      </c>
      <c r="AK172" s="8"/>
      <c r="AL172" s="16">
        <v>-38759</v>
      </c>
      <c r="AM172" s="8"/>
      <c r="AN172" s="16">
        <v>0</v>
      </c>
      <c r="AO172" s="16"/>
      <c r="AP172" s="16">
        <v>0</v>
      </c>
      <c r="AQ172" s="16"/>
      <c r="AR172" s="16">
        <v>0</v>
      </c>
      <c r="AS172" s="16"/>
      <c r="AT172" s="8">
        <f t="shared" si="66"/>
        <v>130361</v>
      </c>
      <c r="AU172" s="8"/>
      <c r="AV172" s="16">
        <v>0</v>
      </c>
      <c r="AW172" s="16"/>
      <c r="AX172" s="16">
        <v>0</v>
      </c>
      <c r="AY172" s="16"/>
      <c r="AZ172" s="16">
        <f t="shared" si="70"/>
        <v>-2287094</v>
      </c>
      <c r="BB172" s="6" t="s">
        <v>183</v>
      </c>
      <c r="BC172" s="6"/>
      <c r="BD172" s="6" t="s">
        <v>78</v>
      </c>
      <c r="BE172" s="16"/>
      <c r="BF172" s="16">
        <f>1030000+45000</f>
        <v>1075000</v>
      </c>
      <c r="BG172" s="16"/>
      <c r="BH172" s="16">
        <v>0</v>
      </c>
      <c r="BI172" s="16"/>
      <c r="BJ172" s="16">
        <f>799813+159962</f>
        <v>959775</v>
      </c>
      <c r="BK172" s="16"/>
      <c r="BL172" s="16">
        <f>95464+8118+6477+453</f>
        <v>110512</v>
      </c>
      <c r="BM172" s="16"/>
      <c r="BN172" s="16">
        <f t="shared" si="67"/>
        <v>2145287</v>
      </c>
      <c r="BO172" s="17"/>
      <c r="BQ172" s="6"/>
      <c r="BR172" s="6"/>
    </row>
    <row r="173" spans="1:70" ht="12.75" customHeight="1" x14ac:dyDescent="0.2">
      <c r="A173" s="6" t="s">
        <v>184</v>
      </c>
      <c r="C173" s="6" t="s">
        <v>13</v>
      </c>
      <c r="E173" s="16">
        <v>5019503</v>
      </c>
      <c r="F173" s="16"/>
      <c r="G173" s="16">
        <v>34126668</v>
      </c>
      <c r="H173" s="16"/>
      <c r="I173" s="16">
        <f t="shared" si="68"/>
        <v>39146171</v>
      </c>
      <c r="J173" s="16"/>
      <c r="K173" s="16">
        <v>1174769</v>
      </c>
      <c r="L173" s="16"/>
      <c r="M173" s="16">
        <v>13745582</v>
      </c>
      <c r="N173" s="16"/>
      <c r="O173" s="16">
        <f t="shared" si="69"/>
        <v>14920351</v>
      </c>
      <c r="P173" s="16"/>
      <c r="Q173" s="16">
        <v>19709687</v>
      </c>
      <c r="R173" s="16"/>
      <c r="S173" s="16">
        <v>0</v>
      </c>
      <c r="T173" s="16"/>
      <c r="U173" s="16">
        <v>4516133</v>
      </c>
      <c r="V173" s="16"/>
      <c r="W173" s="16">
        <f t="shared" si="61"/>
        <v>24225820</v>
      </c>
      <c r="Z173" s="6" t="s">
        <v>184</v>
      </c>
      <c r="AA173" s="16"/>
      <c r="AB173" s="6" t="s">
        <v>13</v>
      </c>
      <c r="AD173" s="16">
        <v>6097862</v>
      </c>
      <c r="AE173" s="16"/>
      <c r="AF173" s="16">
        <f>4874939-1494566</f>
        <v>3380373</v>
      </c>
      <c r="AG173" s="16"/>
      <c r="AH173" s="16">
        <v>1494566</v>
      </c>
      <c r="AI173" s="16"/>
      <c r="AJ173" s="8">
        <f t="shared" si="65"/>
        <v>1222923</v>
      </c>
      <c r="AK173" s="8"/>
      <c r="AL173" s="16">
        <v>-500305</v>
      </c>
      <c r="AM173" s="8"/>
      <c r="AN173" s="16">
        <v>0</v>
      </c>
      <c r="AO173" s="16"/>
      <c r="AP173" s="16">
        <v>50000</v>
      </c>
      <c r="AQ173" s="16"/>
      <c r="AR173" s="16">
        <v>0</v>
      </c>
      <c r="AS173" s="16"/>
      <c r="AT173" s="8">
        <f t="shared" si="66"/>
        <v>672618</v>
      </c>
      <c r="AU173" s="8"/>
      <c r="AV173" s="16">
        <v>0</v>
      </c>
      <c r="AW173" s="16"/>
      <c r="AX173" s="16">
        <v>0</v>
      </c>
      <c r="AY173" s="16"/>
      <c r="AZ173" s="16">
        <f t="shared" si="70"/>
        <v>3844734</v>
      </c>
      <c r="BB173" s="6" t="s">
        <v>184</v>
      </c>
      <c r="BC173" s="6"/>
      <c r="BD173" s="6" t="s">
        <v>13</v>
      </c>
      <c r="BE173" s="16"/>
      <c r="BF173" s="16">
        <f>4585000+260000+53880</f>
        <v>4898880</v>
      </c>
      <c r="BG173" s="16"/>
      <c r="BH173" s="16">
        <v>0</v>
      </c>
      <c r="BI173" s="16"/>
      <c r="BJ173" s="16">
        <f>7569108+1537594+523796+81032</f>
        <v>9711530</v>
      </c>
      <c r="BK173" s="16"/>
      <c r="BL173" s="16">
        <v>0</v>
      </c>
      <c r="BM173" s="16"/>
      <c r="BN173" s="16">
        <f t="shared" si="67"/>
        <v>14610410</v>
      </c>
      <c r="BO173" s="17"/>
      <c r="BP173" s="6"/>
      <c r="BQ173" s="6"/>
      <c r="BR173" s="6"/>
    </row>
    <row r="174" spans="1:70" ht="12.75" hidden="1" customHeight="1" x14ac:dyDescent="0.2">
      <c r="A174" s="6" t="s">
        <v>185</v>
      </c>
      <c r="C174" s="6" t="s">
        <v>25</v>
      </c>
      <c r="E174" s="16">
        <v>0</v>
      </c>
      <c r="F174" s="16"/>
      <c r="G174" s="16"/>
      <c r="H174" s="16"/>
      <c r="I174" s="16">
        <f t="shared" si="68"/>
        <v>0</v>
      </c>
      <c r="J174" s="16"/>
      <c r="K174" s="16">
        <v>0</v>
      </c>
      <c r="L174" s="16"/>
      <c r="M174" s="16"/>
      <c r="N174" s="16"/>
      <c r="O174" s="16">
        <f t="shared" si="69"/>
        <v>0</v>
      </c>
      <c r="P174" s="16"/>
      <c r="Q174" s="16"/>
      <c r="R174" s="16"/>
      <c r="S174" s="16"/>
      <c r="T174" s="16"/>
      <c r="U174" s="16"/>
      <c r="V174" s="16"/>
      <c r="W174" s="16">
        <f t="shared" si="61"/>
        <v>0</v>
      </c>
      <c r="Z174" s="6" t="s">
        <v>185</v>
      </c>
      <c r="AA174" s="16"/>
      <c r="AB174" s="6" t="s">
        <v>25</v>
      </c>
      <c r="AD174" s="16"/>
      <c r="AE174" s="16"/>
      <c r="AF174" s="16"/>
      <c r="AG174" s="16"/>
      <c r="AH174" s="16"/>
      <c r="AI174" s="16"/>
      <c r="AJ174" s="8">
        <f t="shared" si="65"/>
        <v>0</v>
      </c>
      <c r="AK174" s="8"/>
      <c r="AL174" s="16"/>
      <c r="AM174" s="8"/>
      <c r="AN174" s="16"/>
      <c r="AO174" s="16"/>
      <c r="AP174" s="16"/>
      <c r="AQ174" s="16"/>
      <c r="AR174" s="16"/>
      <c r="AS174" s="16"/>
      <c r="AT174" s="8">
        <f t="shared" si="66"/>
        <v>0</v>
      </c>
      <c r="AU174" s="8"/>
      <c r="AV174" s="16">
        <v>0</v>
      </c>
      <c r="AW174" s="16"/>
      <c r="AX174" s="16">
        <v>0</v>
      </c>
      <c r="AY174" s="16"/>
      <c r="AZ174" s="16">
        <f t="shared" si="70"/>
        <v>0</v>
      </c>
      <c r="BB174" s="6" t="s">
        <v>185</v>
      </c>
      <c r="BC174" s="6"/>
      <c r="BD174" s="6" t="s">
        <v>25</v>
      </c>
      <c r="BE174" s="16"/>
      <c r="BF174" s="16"/>
      <c r="BG174" s="16"/>
      <c r="BH174" s="16"/>
      <c r="BI174" s="16"/>
      <c r="BJ174" s="16"/>
      <c r="BK174" s="16"/>
      <c r="BL174" s="16"/>
      <c r="BM174" s="28"/>
      <c r="BN174" s="28">
        <f t="shared" si="67"/>
        <v>0</v>
      </c>
      <c r="BO174" s="17"/>
      <c r="BP174" s="6"/>
      <c r="BQ174" s="6"/>
      <c r="BR174" s="6"/>
    </row>
    <row r="175" spans="1:70" ht="12.75" customHeight="1" x14ac:dyDescent="0.2">
      <c r="A175" s="7" t="s">
        <v>187</v>
      </c>
      <c r="C175" s="7" t="s">
        <v>15</v>
      </c>
      <c r="E175" s="16">
        <v>5464889</v>
      </c>
      <c r="F175" s="16"/>
      <c r="G175" s="16">
        <v>21726062</v>
      </c>
      <c r="H175" s="16"/>
      <c r="I175" s="16">
        <f t="shared" si="68"/>
        <v>27190951</v>
      </c>
      <c r="J175" s="16"/>
      <c r="K175" s="16">
        <v>1118188</v>
      </c>
      <c r="L175" s="16"/>
      <c r="M175" s="16">
        <v>5292442</v>
      </c>
      <c r="N175" s="16"/>
      <c r="O175" s="16">
        <f t="shared" si="69"/>
        <v>6410630</v>
      </c>
      <c r="P175" s="16"/>
      <c r="Q175" s="16">
        <v>15717887</v>
      </c>
      <c r="R175" s="16"/>
      <c r="S175" s="16">
        <v>0</v>
      </c>
      <c r="T175" s="16"/>
      <c r="U175" s="16">
        <v>5062434</v>
      </c>
      <c r="V175" s="16"/>
      <c r="W175" s="16">
        <f t="shared" si="61"/>
        <v>20780321</v>
      </c>
      <c r="Z175" s="7" t="s">
        <v>187</v>
      </c>
      <c r="AA175" s="16"/>
      <c r="AB175" s="7" t="s">
        <v>15</v>
      </c>
      <c r="AD175" s="16">
        <v>4390975</v>
      </c>
      <c r="AE175" s="16"/>
      <c r="AF175" s="16">
        <f>3657314-753888</f>
        <v>2903426</v>
      </c>
      <c r="AG175" s="16"/>
      <c r="AH175" s="16">
        <v>753888</v>
      </c>
      <c r="AI175" s="16"/>
      <c r="AJ175" s="8">
        <f t="shared" si="65"/>
        <v>733661</v>
      </c>
      <c r="AK175" s="8"/>
      <c r="AL175" s="16">
        <v>-265538</v>
      </c>
      <c r="AM175" s="8"/>
      <c r="AN175" s="16">
        <v>0</v>
      </c>
      <c r="AO175" s="16"/>
      <c r="AP175" s="16">
        <v>0</v>
      </c>
      <c r="AQ175" s="16"/>
      <c r="AR175" s="16">
        <v>418768</v>
      </c>
      <c r="AS175" s="16"/>
      <c r="AT175" s="8">
        <f t="shared" si="66"/>
        <v>886891</v>
      </c>
      <c r="AU175" s="8"/>
      <c r="AV175" s="16">
        <v>0</v>
      </c>
      <c r="AW175" s="16"/>
      <c r="AX175" s="16">
        <v>0</v>
      </c>
      <c r="AY175" s="16"/>
      <c r="AZ175" s="16">
        <f t="shared" si="70"/>
        <v>4346701</v>
      </c>
      <c r="BB175" s="7" t="s">
        <v>187</v>
      </c>
      <c r="BC175" s="6"/>
      <c r="BD175" s="7" t="s">
        <v>15</v>
      </c>
      <c r="BE175" s="16"/>
      <c r="BF175" s="16">
        <f>2950000+515000</f>
        <v>3465000</v>
      </c>
      <c r="BG175" s="16"/>
      <c r="BH175" s="16">
        <v>0</v>
      </c>
      <c r="BI175" s="16"/>
      <c r="BJ175" s="16">
        <f>2145852+178241</f>
        <v>2324093</v>
      </c>
      <c r="BK175" s="16"/>
      <c r="BL175" s="16">
        <f>565+196025+517</f>
        <v>197107</v>
      </c>
      <c r="BM175" s="16"/>
      <c r="BN175" s="16">
        <f t="shared" si="67"/>
        <v>5986200</v>
      </c>
      <c r="BO175" s="17"/>
      <c r="BP175" s="6"/>
      <c r="BQ175" s="6"/>
      <c r="BR175" s="6"/>
    </row>
    <row r="176" spans="1:70" ht="12.75" hidden="1" customHeight="1" x14ac:dyDescent="0.2">
      <c r="A176" s="6" t="s">
        <v>186</v>
      </c>
      <c r="C176" s="6" t="s">
        <v>25</v>
      </c>
      <c r="E176" s="16">
        <v>0</v>
      </c>
      <c r="F176" s="16"/>
      <c r="G176" s="16"/>
      <c r="H176" s="16"/>
      <c r="I176" s="16">
        <f t="shared" si="68"/>
        <v>0</v>
      </c>
      <c r="J176" s="16"/>
      <c r="K176" s="16">
        <v>0</v>
      </c>
      <c r="L176" s="16"/>
      <c r="M176" s="16"/>
      <c r="N176" s="16"/>
      <c r="O176" s="16">
        <f t="shared" si="69"/>
        <v>0</v>
      </c>
      <c r="P176" s="16"/>
      <c r="Q176" s="16"/>
      <c r="R176" s="16"/>
      <c r="S176" s="16"/>
      <c r="T176" s="16"/>
      <c r="U176" s="16"/>
      <c r="V176" s="16"/>
      <c r="W176" s="16">
        <f t="shared" si="61"/>
        <v>0</v>
      </c>
      <c r="Z176" s="6" t="s">
        <v>186</v>
      </c>
      <c r="AA176" s="16"/>
      <c r="AB176" s="6" t="s">
        <v>25</v>
      </c>
      <c r="AD176" s="16"/>
      <c r="AE176" s="16"/>
      <c r="AF176" s="16"/>
      <c r="AG176" s="16"/>
      <c r="AH176" s="16"/>
      <c r="AI176" s="16"/>
      <c r="AJ176" s="8">
        <f t="shared" si="65"/>
        <v>0</v>
      </c>
      <c r="AK176" s="8"/>
      <c r="AL176" s="16"/>
      <c r="AM176" s="8"/>
      <c r="AN176" s="16"/>
      <c r="AO176" s="16"/>
      <c r="AP176" s="16"/>
      <c r="AQ176" s="16"/>
      <c r="AR176" s="16"/>
      <c r="AS176" s="16"/>
      <c r="AT176" s="8">
        <f t="shared" si="66"/>
        <v>0</v>
      </c>
      <c r="AU176" s="8"/>
      <c r="AV176" s="16">
        <v>0</v>
      </c>
      <c r="AW176" s="16"/>
      <c r="AX176" s="16">
        <v>0</v>
      </c>
      <c r="AY176" s="16"/>
      <c r="AZ176" s="16">
        <f t="shared" si="70"/>
        <v>0</v>
      </c>
      <c r="BB176" s="6" t="s">
        <v>186</v>
      </c>
      <c r="BC176" s="6"/>
      <c r="BD176" s="6" t="s">
        <v>25</v>
      </c>
      <c r="BE176" s="16"/>
      <c r="BF176" s="16"/>
      <c r="BG176" s="16"/>
      <c r="BH176" s="16"/>
      <c r="BI176" s="16"/>
      <c r="BJ176" s="16"/>
      <c r="BK176" s="16"/>
      <c r="BL176" s="16"/>
      <c r="BM176" s="16"/>
      <c r="BN176" s="16">
        <f t="shared" si="67"/>
        <v>0</v>
      </c>
      <c r="BO176" s="17"/>
      <c r="BP176" s="6"/>
      <c r="BQ176" s="6"/>
      <c r="BR176" s="6"/>
    </row>
    <row r="177" spans="1:95" ht="12.75" hidden="1" customHeight="1" x14ac:dyDescent="0.2">
      <c r="A177" s="6" t="s">
        <v>188</v>
      </c>
      <c r="C177" s="6" t="s">
        <v>45</v>
      </c>
      <c r="E177" s="16">
        <v>0</v>
      </c>
      <c r="F177" s="16"/>
      <c r="G177" s="16"/>
      <c r="H177" s="16"/>
      <c r="I177" s="16">
        <f t="shared" si="68"/>
        <v>0</v>
      </c>
      <c r="J177" s="16"/>
      <c r="K177" s="16">
        <v>0</v>
      </c>
      <c r="L177" s="16"/>
      <c r="M177" s="16"/>
      <c r="N177" s="16"/>
      <c r="O177" s="16">
        <f t="shared" si="69"/>
        <v>0</v>
      </c>
      <c r="P177" s="16"/>
      <c r="Q177" s="16"/>
      <c r="R177" s="16"/>
      <c r="S177" s="16"/>
      <c r="T177" s="16"/>
      <c r="U177" s="16"/>
      <c r="V177" s="16"/>
      <c r="W177" s="16">
        <f t="shared" si="61"/>
        <v>0</v>
      </c>
      <c r="Z177" s="6" t="s">
        <v>188</v>
      </c>
      <c r="AA177" s="16"/>
      <c r="AB177" s="6" t="s">
        <v>45</v>
      </c>
      <c r="AD177" s="16"/>
      <c r="AE177" s="16"/>
      <c r="AF177" s="16"/>
      <c r="AG177" s="16"/>
      <c r="AH177" s="16"/>
      <c r="AI177" s="16"/>
      <c r="AJ177" s="8">
        <f t="shared" si="65"/>
        <v>0</v>
      </c>
      <c r="AK177" s="8"/>
      <c r="AL177" s="16"/>
      <c r="AM177" s="8"/>
      <c r="AN177" s="16"/>
      <c r="AO177" s="16"/>
      <c r="AP177" s="16"/>
      <c r="AQ177" s="16"/>
      <c r="AR177" s="16"/>
      <c r="AS177" s="16"/>
      <c r="AT177" s="8">
        <f t="shared" si="66"/>
        <v>0</v>
      </c>
      <c r="AU177" s="8"/>
      <c r="AV177" s="16">
        <v>0</v>
      </c>
      <c r="AW177" s="16"/>
      <c r="AX177" s="16">
        <v>0</v>
      </c>
      <c r="AY177" s="16"/>
      <c r="AZ177" s="16">
        <f t="shared" si="70"/>
        <v>0</v>
      </c>
      <c r="BB177" s="6" t="s">
        <v>188</v>
      </c>
      <c r="BC177" s="6"/>
      <c r="BD177" s="6" t="s">
        <v>45</v>
      </c>
      <c r="BE177" s="16"/>
      <c r="BF177" s="16"/>
      <c r="BG177" s="16"/>
      <c r="BH177" s="16"/>
      <c r="BI177" s="16"/>
      <c r="BJ177" s="16"/>
      <c r="BK177" s="16"/>
      <c r="BL177" s="16"/>
      <c r="BM177" s="16"/>
      <c r="BN177" s="16">
        <f t="shared" si="67"/>
        <v>0</v>
      </c>
      <c r="BO177" s="17"/>
      <c r="BP177" s="6"/>
      <c r="BQ177" s="6"/>
      <c r="BR177" s="6"/>
    </row>
    <row r="178" spans="1:95" ht="12.75" hidden="1" customHeight="1" x14ac:dyDescent="0.2">
      <c r="A178" s="6" t="s">
        <v>189</v>
      </c>
      <c r="C178" s="6" t="s">
        <v>11</v>
      </c>
      <c r="E178" s="16">
        <v>0</v>
      </c>
      <c r="F178" s="16"/>
      <c r="G178" s="16"/>
      <c r="H178" s="16"/>
      <c r="I178" s="16">
        <f t="shared" si="68"/>
        <v>0</v>
      </c>
      <c r="J178" s="16"/>
      <c r="K178" s="16">
        <v>0</v>
      </c>
      <c r="L178" s="16"/>
      <c r="M178" s="16"/>
      <c r="N178" s="16"/>
      <c r="O178" s="16">
        <f t="shared" si="69"/>
        <v>0</v>
      </c>
      <c r="P178" s="16"/>
      <c r="Q178" s="16"/>
      <c r="R178" s="16"/>
      <c r="S178" s="16"/>
      <c r="T178" s="16"/>
      <c r="U178" s="16"/>
      <c r="V178" s="16"/>
      <c r="W178" s="16">
        <f t="shared" ref="W178:W180" si="71">SUM(Q178:U178)</f>
        <v>0</v>
      </c>
      <c r="Z178" s="6" t="s">
        <v>189</v>
      </c>
      <c r="AA178" s="16"/>
      <c r="AB178" s="6" t="s">
        <v>11</v>
      </c>
      <c r="AD178" s="16"/>
      <c r="AE178" s="16"/>
      <c r="AF178" s="16"/>
      <c r="AG178" s="16"/>
      <c r="AH178" s="16"/>
      <c r="AI178" s="16"/>
      <c r="AJ178" s="8">
        <f t="shared" si="65"/>
        <v>0</v>
      </c>
      <c r="AK178" s="8"/>
      <c r="AL178" s="16"/>
      <c r="AM178" s="8"/>
      <c r="AN178" s="16"/>
      <c r="AO178" s="16"/>
      <c r="AP178" s="16"/>
      <c r="AQ178" s="16"/>
      <c r="AR178" s="16"/>
      <c r="AS178" s="16"/>
      <c r="AT178" s="8">
        <f t="shared" si="66"/>
        <v>0</v>
      </c>
      <c r="AU178" s="8"/>
      <c r="AV178" s="16">
        <v>0</v>
      </c>
      <c r="AW178" s="16"/>
      <c r="AX178" s="16">
        <v>0</v>
      </c>
      <c r="AY178" s="16"/>
      <c r="AZ178" s="16">
        <f t="shared" si="70"/>
        <v>0</v>
      </c>
      <c r="BB178" s="6" t="s">
        <v>189</v>
      </c>
      <c r="BC178" s="6"/>
      <c r="BD178" s="6" t="s">
        <v>11</v>
      </c>
      <c r="BE178" s="16"/>
      <c r="BF178" s="16"/>
      <c r="BG178" s="16"/>
      <c r="BH178" s="16"/>
      <c r="BI178" s="16"/>
      <c r="BJ178" s="16"/>
      <c r="BK178" s="16"/>
      <c r="BL178" s="16"/>
      <c r="BM178" s="16"/>
      <c r="BN178" s="16">
        <f t="shared" si="67"/>
        <v>0</v>
      </c>
      <c r="BO178" s="17"/>
      <c r="BP178" s="6"/>
      <c r="BQ178" s="6"/>
      <c r="BR178" s="6"/>
    </row>
    <row r="179" spans="1:95" ht="12.75" customHeight="1" x14ac:dyDescent="0.2">
      <c r="A179" s="6" t="s">
        <v>190</v>
      </c>
      <c r="C179" s="6" t="s">
        <v>36</v>
      </c>
      <c r="E179" s="16">
        <v>1109472</v>
      </c>
      <c r="F179" s="16"/>
      <c r="G179" s="16">
        <v>9489333</v>
      </c>
      <c r="H179" s="16"/>
      <c r="I179" s="16">
        <f t="shared" si="68"/>
        <v>10598805</v>
      </c>
      <c r="J179" s="16"/>
      <c r="K179" s="16">
        <v>594335</v>
      </c>
      <c r="L179" s="16"/>
      <c r="M179" s="16">
        <v>2339468</v>
      </c>
      <c r="N179" s="16"/>
      <c r="O179" s="16">
        <f t="shared" si="69"/>
        <v>2933803</v>
      </c>
      <c r="P179" s="16"/>
      <c r="Q179" s="16">
        <v>6949594</v>
      </c>
      <c r="R179" s="16"/>
      <c r="S179" s="16">
        <v>0</v>
      </c>
      <c r="T179" s="16"/>
      <c r="U179" s="16">
        <v>715408</v>
      </c>
      <c r="V179" s="16"/>
      <c r="W179" s="16">
        <f t="shared" si="71"/>
        <v>7665002</v>
      </c>
      <c r="Z179" s="6" t="s">
        <v>190</v>
      </c>
      <c r="AA179" s="16"/>
      <c r="AB179" s="6" t="s">
        <v>36</v>
      </c>
      <c r="AD179" s="16">
        <v>2645847</v>
      </c>
      <c r="AE179" s="16"/>
      <c r="AF179" s="16">
        <f>2667987-530175</f>
        <v>2137812</v>
      </c>
      <c r="AG179" s="16"/>
      <c r="AH179" s="16">
        <v>530175</v>
      </c>
      <c r="AI179" s="16"/>
      <c r="AJ179" s="8">
        <f t="shared" si="65"/>
        <v>-22140</v>
      </c>
      <c r="AK179" s="8"/>
      <c r="AL179" s="16">
        <v>-189236</v>
      </c>
      <c r="AM179" s="8"/>
      <c r="AN179" s="16">
        <v>0</v>
      </c>
      <c r="AO179" s="16"/>
      <c r="AP179" s="16">
        <v>0</v>
      </c>
      <c r="AQ179" s="16"/>
      <c r="AR179" s="16">
        <v>0</v>
      </c>
      <c r="AS179" s="16"/>
      <c r="AT179" s="8">
        <f t="shared" si="66"/>
        <v>-211376</v>
      </c>
      <c r="AU179" s="8"/>
      <c r="AV179" s="16">
        <v>0</v>
      </c>
      <c r="AW179" s="16"/>
      <c r="AX179" s="16">
        <v>0</v>
      </c>
      <c r="AY179" s="16"/>
      <c r="AZ179" s="16">
        <f t="shared" si="70"/>
        <v>515137</v>
      </c>
      <c r="BB179" s="6" t="s">
        <v>190</v>
      </c>
      <c r="BC179" s="6"/>
      <c r="BD179" s="6" t="s">
        <v>36</v>
      </c>
      <c r="BE179" s="16"/>
      <c r="BF179" s="16">
        <f>640000+305000</f>
        <v>945000</v>
      </c>
      <c r="BG179" s="16"/>
      <c r="BH179" s="16">
        <v>0</v>
      </c>
      <c r="BI179" s="16"/>
      <c r="BJ179" s="16">
        <f>1534953+59786</f>
        <v>1594739</v>
      </c>
      <c r="BK179" s="16"/>
      <c r="BL179" s="16">
        <f>164515+65944</f>
        <v>230459</v>
      </c>
      <c r="BM179" s="16"/>
      <c r="BN179" s="16">
        <f t="shared" si="67"/>
        <v>2770198</v>
      </c>
      <c r="BO179" s="17"/>
      <c r="BP179" s="6"/>
      <c r="BQ179" s="6"/>
      <c r="BR179" s="6"/>
    </row>
    <row r="180" spans="1:95" ht="12.75" customHeight="1" x14ac:dyDescent="0.2">
      <c r="A180" s="6" t="s">
        <v>191</v>
      </c>
      <c r="C180" s="6" t="s">
        <v>43</v>
      </c>
      <c r="E180" s="16">
        <v>1120146</v>
      </c>
      <c r="F180" s="16"/>
      <c r="G180" s="16">
        <v>2105505</v>
      </c>
      <c r="H180" s="16"/>
      <c r="I180" s="16">
        <f t="shared" si="68"/>
        <v>3225651</v>
      </c>
      <c r="J180" s="16"/>
      <c r="K180" s="16">
        <v>384574</v>
      </c>
      <c r="L180" s="16"/>
      <c r="M180" s="16">
        <v>512108</v>
      </c>
      <c r="N180" s="16"/>
      <c r="O180" s="16">
        <f t="shared" si="69"/>
        <v>896682</v>
      </c>
      <c r="P180" s="16"/>
      <c r="Q180" s="16">
        <v>1479233</v>
      </c>
      <c r="R180" s="16"/>
      <c r="S180" s="16">
        <v>0</v>
      </c>
      <c r="T180" s="16"/>
      <c r="U180" s="16">
        <v>773957</v>
      </c>
      <c r="V180" s="16"/>
      <c r="W180" s="16">
        <f t="shared" si="71"/>
        <v>2253190</v>
      </c>
      <c r="Z180" s="6" t="s">
        <v>191</v>
      </c>
      <c r="AA180" s="16"/>
      <c r="AB180" s="6" t="s">
        <v>43</v>
      </c>
      <c r="AD180" s="16">
        <v>3642067</v>
      </c>
      <c r="AE180" s="16"/>
      <c r="AF180" s="16">
        <f>4030668-60489</f>
        <v>3970179</v>
      </c>
      <c r="AG180" s="16"/>
      <c r="AH180" s="16">
        <v>60489</v>
      </c>
      <c r="AI180" s="16"/>
      <c r="AJ180" s="8">
        <f t="shared" si="65"/>
        <v>-388601</v>
      </c>
      <c r="AK180" s="8"/>
      <c r="AL180" s="16">
        <v>0</v>
      </c>
      <c r="AM180" s="8"/>
      <c r="AN180" s="16">
        <v>0</v>
      </c>
      <c r="AO180" s="16"/>
      <c r="AP180" s="16">
        <v>0</v>
      </c>
      <c r="AQ180" s="16"/>
      <c r="AR180" s="16">
        <v>0</v>
      </c>
      <c r="AS180" s="16"/>
      <c r="AT180" s="8">
        <f t="shared" si="66"/>
        <v>-388601</v>
      </c>
      <c r="AU180" s="8"/>
      <c r="AV180" s="16">
        <v>0</v>
      </c>
      <c r="AW180" s="16"/>
      <c r="AX180" s="16">
        <v>0</v>
      </c>
      <c r="AY180" s="16"/>
      <c r="AZ180" s="16">
        <f t="shared" si="70"/>
        <v>735572</v>
      </c>
      <c r="BB180" s="6" t="s">
        <v>191</v>
      </c>
      <c r="BC180" s="6"/>
      <c r="BD180" s="6" t="s">
        <v>43</v>
      </c>
      <c r="BE180" s="16"/>
      <c r="BF180" s="16">
        <v>0</v>
      </c>
      <c r="BG180" s="16"/>
      <c r="BH180" s="16">
        <v>0</v>
      </c>
      <c r="BI180" s="16"/>
      <c r="BJ180" s="16">
        <f>485733+27474</f>
        <v>513207</v>
      </c>
      <c r="BK180" s="16"/>
      <c r="BL180" s="16">
        <f>75779+26375+22327</f>
        <v>124481</v>
      </c>
      <c r="BM180" s="16"/>
      <c r="BN180" s="16">
        <f t="shared" si="67"/>
        <v>637688</v>
      </c>
      <c r="BO180" s="17"/>
      <c r="BP180" s="6"/>
      <c r="BQ180" s="6"/>
      <c r="BR180" s="6"/>
    </row>
    <row r="181" spans="1:95" s="19" customFormat="1" ht="12.75" customHeight="1" x14ac:dyDescent="0.2">
      <c r="A181" s="19" t="s">
        <v>192</v>
      </c>
      <c r="C181" s="19" t="s">
        <v>64</v>
      </c>
      <c r="D181" s="9"/>
      <c r="E181" s="16">
        <v>1808167</v>
      </c>
      <c r="F181" s="16"/>
      <c r="G181" s="16">
        <v>1356886</v>
      </c>
      <c r="H181" s="16"/>
      <c r="I181" s="16">
        <f t="shared" ref="I181:I205" si="72">+E181+G181</f>
        <v>3165053</v>
      </c>
      <c r="J181" s="16"/>
      <c r="K181" s="16">
        <v>66691</v>
      </c>
      <c r="L181" s="16"/>
      <c r="M181" s="16">
        <v>65078</v>
      </c>
      <c r="N181" s="16"/>
      <c r="O181" s="16">
        <f t="shared" ref="O181:O205" si="73">+K181+M181</f>
        <v>131769</v>
      </c>
      <c r="P181" s="16"/>
      <c r="Q181" s="16">
        <v>1356886</v>
      </c>
      <c r="R181" s="16"/>
      <c r="S181" s="16">
        <v>0</v>
      </c>
      <c r="T181" s="16"/>
      <c r="U181" s="16">
        <v>1676398</v>
      </c>
      <c r="V181" s="16"/>
      <c r="W181" s="16">
        <f t="shared" ref="W181:W199" si="74">SUM(Q181:U181)</f>
        <v>3033284</v>
      </c>
      <c r="X181" s="21"/>
      <c r="Y181" s="21"/>
      <c r="Z181" s="19" t="s">
        <v>192</v>
      </c>
      <c r="AA181" s="28"/>
      <c r="AB181" s="19" t="s">
        <v>64</v>
      </c>
      <c r="AD181" s="16">
        <v>1024962</v>
      </c>
      <c r="AE181" s="16"/>
      <c r="AF181" s="16">
        <f>975140-64856</f>
        <v>910284</v>
      </c>
      <c r="AG181" s="16"/>
      <c r="AH181" s="16">
        <v>64856</v>
      </c>
      <c r="AI181" s="16"/>
      <c r="AJ181" s="8">
        <f t="shared" ref="AJ181:AJ205" si="75">+AD181-AF181-AH181</f>
        <v>49822</v>
      </c>
      <c r="AK181" s="8"/>
      <c r="AL181" s="16">
        <v>8221</v>
      </c>
      <c r="AM181" s="8"/>
      <c r="AN181" s="16">
        <v>0</v>
      </c>
      <c r="AO181" s="16"/>
      <c r="AP181" s="16">
        <v>0</v>
      </c>
      <c r="AQ181" s="16"/>
      <c r="AR181" s="16">
        <v>0</v>
      </c>
      <c r="AS181" s="16"/>
      <c r="AT181" s="8">
        <f t="shared" ref="AT181:AT194" si="76">+AJ181+AL181+AN181-AP181+AR181</f>
        <v>58043</v>
      </c>
      <c r="AU181" s="8"/>
      <c r="AV181" s="16">
        <v>0</v>
      </c>
      <c r="AW181" s="16"/>
      <c r="AX181" s="16">
        <v>0</v>
      </c>
      <c r="AY181" s="16"/>
      <c r="AZ181" s="16">
        <f t="shared" ref="AZ181:AZ199" si="77">E181-K181</f>
        <v>1741476</v>
      </c>
      <c r="BA181" s="21"/>
      <c r="BB181" s="19" t="s">
        <v>192</v>
      </c>
      <c r="BD181" s="19" t="s">
        <v>64</v>
      </c>
      <c r="BE181" s="28"/>
      <c r="BF181" s="16">
        <v>0</v>
      </c>
      <c r="BG181" s="16"/>
      <c r="BH181" s="16">
        <v>0</v>
      </c>
      <c r="BI181" s="16"/>
      <c r="BJ181" s="16">
        <v>0</v>
      </c>
      <c r="BK181" s="16"/>
      <c r="BL181" s="16">
        <f>65078+16270</f>
        <v>81348</v>
      </c>
      <c r="BM181" s="16"/>
      <c r="BN181" s="16">
        <f t="shared" ref="BN181:BN205" si="78">SUM(BF181:BL181)</f>
        <v>81348</v>
      </c>
      <c r="BO181" s="37"/>
      <c r="BS181" s="36"/>
      <c r="BT181" s="36"/>
      <c r="BU181" s="41"/>
      <c r="BV181" s="36"/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36"/>
      <c r="CH181" s="36"/>
      <c r="CI181" s="36"/>
      <c r="CJ181" s="36"/>
      <c r="CK181" s="36"/>
      <c r="CL181" s="36"/>
      <c r="CM181" s="36"/>
      <c r="CN181" s="36"/>
      <c r="CO181" s="36"/>
      <c r="CP181" s="36"/>
      <c r="CQ181" s="36"/>
    </row>
    <row r="182" spans="1:95" ht="12.75" customHeight="1" x14ac:dyDescent="0.2">
      <c r="A182" s="6" t="s">
        <v>193</v>
      </c>
      <c r="C182" s="6" t="s">
        <v>15</v>
      </c>
      <c r="E182" s="16">
        <v>3177036</v>
      </c>
      <c r="F182" s="16"/>
      <c r="G182" s="16">
        <v>11437492</v>
      </c>
      <c r="H182" s="16"/>
      <c r="I182" s="16">
        <f t="shared" si="72"/>
        <v>14614528</v>
      </c>
      <c r="J182" s="16"/>
      <c r="K182" s="16">
        <v>69812</v>
      </c>
      <c r="L182" s="16"/>
      <c r="M182" s="16">
        <f>41621+4223090</f>
        <v>4264711</v>
      </c>
      <c r="N182" s="16"/>
      <c r="O182" s="16">
        <f t="shared" si="73"/>
        <v>4334523</v>
      </c>
      <c r="P182" s="16"/>
      <c r="Q182" s="16">
        <v>7214402</v>
      </c>
      <c r="R182" s="16"/>
      <c r="S182" s="16">
        <v>0</v>
      </c>
      <c r="T182" s="16"/>
      <c r="U182" s="16">
        <v>3065603</v>
      </c>
      <c r="V182" s="16"/>
      <c r="W182" s="16">
        <f t="shared" si="74"/>
        <v>10280005</v>
      </c>
      <c r="Z182" s="6" t="s">
        <v>193</v>
      </c>
      <c r="AA182" s="16"/>
      <c r="AB182" s="6" t="s">
        <v>15</v>
      </c>
      <c r="AD182" s="16">
        <v>1977455</v>
      </c>
      <c r="AE182" s="16"/>
      <c r="AF182" s="16">
        <f>1731432-571170</f>
        <v>1160262</v>
      </c>
      <c r="AG182" s="16"/>
      <c r="AH182" s="16">
        <v>571170</v>
      </c>
      <c r="AI182" s="16"/>
      <c r="AJ182" s="8">
        <f t="shared" si="75"/>
        <v>246023</v>
      </c>
      <c r="AK182" s="8"/>
      <c r="AL182" s="16">
        <v>-119794</v>
      </c>
      <c r="AM182" s="8"/>
      <c r="AN182" s="16">
        <v>0</v>
      </c>
      <c r="AO182" s="16"/>
      <c r="AP182" s="16">
        <v>0</v>
      </c>
      <c r="AQ182" s="16"/>
      <c r="AR182" s="16">
        <v>59621</v>
      </c>
      <c r="AS182" s="16"/>
      <c r="AT182" s="8">
        <f t="shared" si="76"/>
        <v>185850</v>
      </c>
      <c r="AU182" s="8"/>
      <c r="AV182" s="16">
        <v>0</v>
      </c>
      <c r="AW182" s="16"/>
      <c r="AX182" s="16">
        <v>0</v>
      </c>
      <c r="AY182" s="16"/>
      <c r="AZ182" s="16">
        <f t="shared" si="77"/>
        <v>3107224</v>
      </c>
      <c r="BB182" s="6" t="s">
        <v>193</v>
      </c>
      <c r="BC182" s="6"/>
      <c r="BD182" s="6" t="s">
        <v>15</v>
      </c>
      <c r="BE182" s="16"/>
      <c r="BF182" s="16">
        <v>0</v>
      </c>
      <c r="BG182" s="16"/>
      <c r="BH182" s="16">
        <v>0</v>
      </c>
      <c r="BI182" s="16"/>
      <c r="BJ182" s="16">
        <v>4223090</v>
      </c>
      <c r="BK182" s="16"/>
      <c r="BL182" s="16">
        <f>41621+17661</f>
        <v>59282</v>
      </c>
      <c r="BM182" s="16"/>
      <c r="BN182" s="16">
        <f t="shared" si="78"/>
        <v>4282372</v>
      </c>
      <c r="BO182" s="17"/>
      <c r="BP182" s="6"/>
      <c r="BQ182" s="6"/>
      <c r="BR182" s="6"/>
    </row>
    <row r="183" spans="1:95" ht="12.75" hidden="1" customHeight="1" x14ac:dyDescent="0.2">
      <c r="A183" s="6" t="s">
        <v>194</v>
      </c>
      <c r="C183" s="6" t="s">
        <v>25</v>
      </c>
      <c r="E183" s="16">
        <v>0</v>
      </c>
      <c r="F183" s="16"/>
      <c r="G183" s="16"/>
      <c r="H183" s="16"/>
      <c r="I183" s="16">
        <f t="shared" si="72"/>
        <v>0</v>
      </c>
      <c r="J183" s="16"/>
      <c r="K183" s="16">
        <v>0</v>
      </c>
      <c r="L183" s="16"/>
      <c r="M183" s="16"/>
      <c r="N183" s="16"/>
      <c r="O183" s="16">
        <f t="shared" si="73"/>
        <v>0</v>
      </c>
      <c r="P183" s="16"/>
      <c r="Q183" s="16"/>
      <c r="R183" s="16"/>
      <c r="S183" s="16"/>
      <c r="T183" s="16"/>
      <c r="U183" s="16"/>
      <c r="V183" s="16"/>
      <c r="W183" s="16">
        <f t="shared" si="74"/>
        <v>0</v>
      </c>
      <c r="Z183" s="6" t="s">
        <v>194</v>
      </c>
      <c r="AA183" s="16"/>
      <c r="AB183" s="6" t="s">
        <v>25</v>
      </c>
      <c r="AD183" s="16"/>
      <c r="AE183" s="16"/>
      <c r="AF183" s="16"/>
      <c r="AG183" s="16"/>
      <c r="AH183" s="16"/>
      <c r="AI183" s="16"/>
      <c r="AJ183" s="8">
        <f t="shared" si="75"/>
        <v>0</v>
      </c>
      <c r="AK183" s="8"/>
      <c r="AL183" s="16"/>
      <c r="AM183" s="8"/>
      <c r="AN183" s="16"/>
      <c r="AO183" s="16"/>
      <c r="AP183" s="16"/>
      <c r="AQ183" s="16"/>
      <c r="AR183" s="16"/>
      <c r="AS183" s="16"/>
      <c r="AT183" s="8">
        <f t="shared" si="76"/>
        <v>0</v>
      </c>
      <c r="AU183" s="8"/>
      <c r="AV183" s="16">
        <v>0</v>
      </c>
      <c r="AW183" s="16"/>
      <c r="AX183" s="16">
        <v>0</v>
      </c>
      <c r="AY183" s="16"/>
      <c r="AZ183" s="16">
        <f t="shared" si="77"/>
        <v>0</v>
      </c>
      <c r="BB183" s="6" t="s">
        <v>194</v>
      </c>
      <c r="BC183" s="6"/>
      <c r="BD183" s="6" t="s">
        <v>25</v>
      </c>
      <c r="BE183" s="16"/>
      <c r="BF183" s="16"/>
      <c r="BG183" s="16"/>
      <c r="BH183" s="16"/>
      <c r="BI183" s="16"/>
      <c r="BJ183" s="16"/>
      <c r="BK183" s="16"/>
      <c r="BL183" s="16"/>
      <c r="BM183" s="16"/>
      <c r="BN183" s="16">
        <f t="shared" si="78"/>
        <v>0</v>
      </c>
      <c r="BO183" s="17"/>
      <c r="BP183" s="6"/>
      <c r="BQ183" s="6"/>
      <c r="BR183" s="6"/>
    </row>
    <row r="184" spans="1:95" ht="12.75" customHeight="1" x14ac:dyDescent="0.2">
      <c r="A184" s="6" t="s">
        <v>400</v>
      </c>
      <c r="C184" s="6" t="s">
        <v>151</v>
      </c>
      <c r="E184" s="16">
        <v>2617242</v>
      </c>
      <c r="F184" s="16"/>
      <c r="G184" s="16">
        <v>4594387</v>
      </c>
      <c r="H184" s="16"/>
      <c r="I184" s="16">
        <f t="shared" si="72"/>
        <v>7211629</v>
      </c>
      <c r="J184" s="16"/>
      <c r="K184" s="16">
        <v>28036</v>
      </c>
      <c r="L184" s="16"/>
      <c r="M184" s="16">
        <v>55118</v>
      </c>
      <c r="N184" s="16"/>
      <c r="O184" s="16">
        <f t="shared" si="73"/>
        <v>83154</v>
      </c>
      <c r="P184" s="16"/>
      <c r="Q184" s="16">
        <v>4580603</v>
      </c>
      <c r="R184" s="16"/>
      <c r="S184" s="16">
        <v>0</v>
      </c>
      <c r="T184" s="16"/>
      <c r="U184" s="16">
        <v>2547872</v>
      </c>
      <c r="V184" s="16"/>
      <c r="W184" s="16">
        <f t="shared" si="74"/>
        <v>7128475</v>
      </c>
      <c r="Z184" s="6" t="s">
        <v>400</v>
      </c>
      <c r="AA184" s="16"/>
      <c r="AB184" s="6" t="s">
        <v>151</v>
      </c>
      <c r="AD184" s="16">
        <v>898181</v>
      </c>
      <c r="AE184" s="16"/>
      <c r="AF184" s="16">
        <f>866848-297098</f>
        <v>569750</v>
      </c>
      <c r="AG184" s="16"/>
      <c r="AH184" s="16">
        <v>297098</v>
      </c>
      <c r="AI184" s="16"/>
      <c r="AJ184" s="8">
        <f t="shared" si="75"/>
        <v>31333</v>
      </c>
      <c r="AK184" s="8"/>
      <c r="AL184" s="16">
        <v>0</v>
      </c>
      <c r="AM184" s="8"/>
      <c r="AN184" s="16">
        <v>0</v>
      </c>
      <c r="AO184" s="16"/>
      <c r="AP184" s="16">
        <v>15021</v>
      </c>
      <c r="AQ184" s="16"/>
      <c r="AR184" s="16">
        <v>0</v>
      </c>
      <c r="AS184" s="16"/>
      <c r="AT184" s="8">
        <f t="shared" si="76"/>
        <v>16312</v>
      </c>
      <c r="AU184" s="8"/>
      <c r="AV184" s="16">
        <v>0</v>
      </c>
      <c r="AW184" s="16"/>
      <c r="AX184" s="16">
        <v>0</v>
      </c>
      <c r="AY184" s="16"/>
      <c r="AZ184" s="16">
        <f t="shared" si="77"/>
        <v>2589206</v>
      </c>
      <c r="BB184" s="6" t="s">
        <v>400</v>
      </c>
      <c r="BC184" s="6"/>
      <c r="BD184" s="6" t="s">
        <v>151</v>
      </c>
      <c r="BE184" s="16"/>
      <c r="BF184" s="16">
        <v>0</v>
      </c>
      <c r="BG184" s="16"/>
      <c r="BH184" s="16">
        <v>0</v>
      </c>
      <c r="BI184" s="16"/>
      <c r="BJ184" s="16">
        <f>11947+1837</f>
        <v>13784</v>
      </c>
      <c r="BK184" s="16"/>
      <c r="BL184" s="16">
        <f>43171+2201</f>
        <v>45372</v>
      </c>
      <c r="BM184" s="16"/>
      <c r="BN184" s="16">
        <f t="shared" si="78"/>
        <v>59156</v>
      </c>
      <c r="BO184" s="17"/>
      <c r="BP184" s="6"/>
      <c r="BQ184" s="6"/>
      <c r="BR184" s="6"/>
    </row>
    <row r="185" spans="1:95" ht="12.75" customHeight="1" x14ac:dyDescent="0.2">
      <c r="A185" s="6" t="s">
        <v>195</v>
      </c>
      <c r="C185" s="6" t="s">
        <v>161</v>
      </c>
      <c r="E185" s="16">
        <v>5613062</v>
      </c>
      <c r="F185" s="16"/>
      <c r="G185" s="16">
        <v>19277343</v>
      </c>
      <c r="H185" s="16"/>
      <c r="I185" s="16">
        <f t="shared" si="72"/>
        <v>24890405</v>
      </c>
      <c r="J185" s="16"/>
      <c r="K185" s="16">
        <v>311381</v>
      </c>
      <c r="L185" s="16"/>
      <c r="M185" s="16">
        <v>234353</v>
      </c>
      <c r="N185" s="16"/>
      <c r="O185" s="16">
        <f t="shared" si="73"/>
        <v>545734</v>
      </c>
      <c r="P185" s="16"/>
      <c r="Q185" s="16">
        <v>19277343</v>
      </c>
      <c r="R185" s="16"/>
      <c r="S185" s="16">
        <v>0</v>
      </c>
      <c r="T185" s="16"/>
      <c r="U185" s="16">
        <v>5067328</v>
      </c>
      <c r="V185" s="16"/>
      <c r="W185" s="16">
        <f t="shared" si="74"/>
        <v>24344671</v>
      </c>
      <c r="X185" s="6"/>
      <c r="Y185" s="6"/>
      <c r="Z185" s="6" t="s">
        <v>195</v>
      </c>
      <c r="AA185" s="16"/>
      <c r="AB185" s="6" t="s">
        <v>161</v>
      </c>
      <c r="AD185" s="16">
        <v>4770732</v>
      </c>
      <c r="AE185" s="16"/>
      <c r="AF185" s="16">
        <f>4015660-903469</f>
        <v>3112191</v>
      </c>
      <c r="AG185" s="16"/>
      <c r="AH185" s="16">
        <v>903469</v>
      </c>
      <c r="AI185" s="16"/>
      <c r="AJ185" s="8">
        <f t="shared" si="75"/>
        <v>755072</v>
      </c>
      <c r="AK185" s="8"/>
      <c r="AL185" s="16">
        <v>0</v>
      </c>
      <c r="AM185" s="8"/>
      <c r="AN185" s="16">
        <v>0</v>
      </c>
      <c r="AO185" s="16"/>
      <c r="AP185" s="16">
        <v>6118822</v>
      </c>
      <c r="AQ185" s="16"/>
      <c r="AR185" s="16">
        <v>0</v>
      </c>
      <c r="AS185" s="16"/>
      <c r="AT185" s="8">
        <f t="shared" si="76"/>
        <v>-5363750</v>
      </c>
      <c r="AU185" s="8"/>
      <c r="AV185" s="16">
        <v>0</v>
      </c>
      <c r="AW185" s="16"/>
      <c r="AX185" s="16">
        <v>0</v>
      </c>
      <c r="AY185" s="16"/>
      <c r="AZ185" s="16">
        <f t="shared" si="77"/>
        <v>5301681</v>
      </c>
      <c r="BB185" s="6" t="s">
        <v>195</v>
      </c>
      <c r="BC185" s="6"/>
      <c r="BD185" s="6" t="s">
        <v>161</v>
      </c>
      <c r="BE185" s="16"/>
      <c r="BF185" s="16">
        <v>0</v>
      </c>
      <c r="BG185" s="16"/>
      <c r="BH185" s="16">
        <v>0</v>
      </c>
      <c r="BI185" s="16"/>
      <c r="BJ185" s="16">
        <v>0</v>
      </c>
      <c r="BK185" s="16"/>
      <c r="BL185" s="16">
        <f>234353+147318</f>
        <v>381671</v>
      </c>
      <c r="BM185" s="16"/>
      <c r="BN185" s="16">
        <f t="shared" si="78"/>
        <v>381671</v>
      </c>
      <c r="BO185" s="17"/>
      <c r="BP185" s="6"/>
      <c r="BQ185" s="6"/>
      <c r="BR185" s="6"/>
    </row>
    <row r="186" spans="1:95" ht="12.75" customHeight="1" x14ac:dyDescent="0.2">
      <c r="A186" s="6" t="s">
        <v>196</v>
      </c>
      <c r="C186" s="6" t="s">
        <v>197</v>
      </c>
      <c r="E186" s="16">
        <v>2262115</v>
      </c>
      <c r="F186" s="16"/>
      <c r="G186" s="16">
        <v>15975839</v>
      </c>
      <c r="H186" s="16"/>
      <c r="I186" s="16">
        <f t="shared" si="72"/>
        <v>18237954</v>
      </c>
      <c r="J186" s="16"/>
      <c r="K186" s="16">
        <v>816539</v>
      </c>
      <c r="L186" s="16"/>
      <c r="M186" s="16">
        <v>5181973</v>
      </c>
      <c r="N186" s="16"/>
      <c r="O186" s="16">
        <f t="shared" si="73"/>
        <v>5998512</v>
      </c>
      <c r="P186" s="16"/>
      <c r="Q186" s="16">
        <v>9464028</v>
      </c>
      <c r="R186" s="16"/>
      <c r="S186" s="16">
        <f>800000+760679</f>
        <v>1560679</v>
      </c>
      <c r="T186" s="16"/>
      <c r="U186" s="16">
        <v>1461745</v>
      </c>
      <c r="V186" s="16"/>
      <c r="W186" s="16">
        <f t="shared" si="74"/>
        <v>12486452</v>
      </c>
      <c r="Z186" s="6" t="s">
        <v>196</v>
      </c>
      <c r="AA186" s="16"/>
      <c r="AB186" s="6" t="s">
        <v>197</v>
      </c>
      <c r="AD186" s="16">
        <v>2898119</v>
      </c>
      <c r="AE186" s="16"/>
      <c r="AF186" s="16">
        <f>2826480-860000</f>
        <v>1966480</v>
      </c>
      <c r="AG186" s="16"/>
      <c r="AH186" s="16">
        <v>860000</v>
      </c>
      <c r="AI186" s="16"/>
      <c r="AJ186" s="8">
        <f t="shared" si="75"/>
        <v>71639</v>
      </c>
      <c r="AK186" s="8"/>
      <c r="AL186" s="16">
        <v>-267039</v>
      </c>
      <c r="AM186" s="8"/>
      <c r="AN186" s="16">
        <v>0</v>
      </c>
      <c r="AO186" s="16"/>
      <c r="AP186" s="16">
        <v>0</v>
      </c>
      <c r="AQ186" s="16"/>
      <c r="AR186" s="16">
        <v>0</v>
      </c>
      <c r="AS186" s="16"/>
      <c r="AT186" s="8">
        <f t="shared" si="76"/>
        <v>-195400</v>
      </c>
      <c r="AU186" s="8"/>
      <c r="AV186" s="16">
        <v>0</v>
      </c>
      <c r="AW186" s="16"/>
      <c r="AX186" s="16">
        <v>0</v>
      </c>
      <c r="AY186" s="16"/>
      <c r="AZ186" s="16">
        <f t="shared" si="77"/>
        <v>1445576</v>
      </c>
      <c r="BB186" s="6" t="s">
        <v>196</v>
      </c>
      <c r="BC186" s="6"/>
      <c r="BD186" s="6" t="s">
        <v>197</v>
      </c>
      <c r="BE186" s="16"/>
      <c r="BF186" s="16">
        <v>0</v>
      </c>
      <c r="BG186" s="16"/>
      <c r="BH186" s="16">
        <f>3045000+535000</f>
        <v>3580000</v>
      </c>
      <c r="BI186" s="16"/>
      <c r="BJ186" s="16">
        <f>783042+82110</f>
        <v>865152</v>
      </c>
      <c r="BK186" s="16"/>
      <c r="BL186" s="16">
        <f>1300000+59931+13094</f>
        <v>1373025</v>
      </c>
      <c r="BM186" s="16"/>
      <c r="BN186" s="16">
        <f t="shared" si="78"/>
        <v>5818177</v>
      </c>
      <c r="BO186" s="17"/>
      <c r="BP186" s="6"/>
      <c r="BQ186" s="6"/>
      <c r="BR186" s="6"/>
    </row>
    <row r="187" spans="1:95" ht="12.75" customHeight="1" x14ac:dyDescent="0.2">
      <c r="A187" s="6" t="s">
        <v>198</v>
      </c>
      <c r="C187" s="6" t="s">
        <v>101</v>
      </c>
      <c r="E187" s="16">
        <v>5596648</v>
      </c>
      <c r="F187" s="16"/>
      <c r="G187" s="16">
        <v>11742467</v>
      </c>
      <c r="H187" s="16"/>
      <c r="I187" s="16">
        <f t="shared" si="72"/>
        <v>17339115</v>
      </c>
      <c r="J187" s="16"/>
      <c r="K187" s="16">
        <v>1017435</v>
      </c>
      <c r="L187" s="16"/>
      <c r="M187" s="16">
        <v>976655</v>
      </c>
      <c r="N187" s="16"/>
      <c r="O187" s="16">
        <f t="shared" si="73"/>
        <v>1994090</v>
      </c>
      <c r="P187" s="16"/>
      <c r="Q187" s="16">
        <v>10043068</v>
      </c>
      <c r="R187" s="16"/>
      <c r="S187" s="16">
        <v>781418</v>
      </c>
      <c r="T187" s="16"/>
      <c r="U187" s="16">
        <v>4520539</v>
      </c>
      <c r="V187" s="16"/>
      <c r="W187" s="16">
        <f t="shared" si="74"/>
        <v>15345025</v>
      </c>
      <c r="Z187" s="6" t="s">
        <v>198</v>
      </c>
      <c r="AA187" s="16"/>
      <c r="AB187" s="6" t="s">
        <v>101</v>
      </c>
      <c r="AD187" s="16">
        <v>2688333</v>
      </c>
      <c r="AE187" s="16"/>
      <c r="AF187" s="16">
        <f>1897455-467121</f>
        <v>1430334</v>
      </c>
      <c r="AG187" s="16"/>
      <c r="AH187" s="16">
        <v>467121</v>
      </c>
      <c r="AI187" s="16"/>
      <c r="AJ187" s="8">
        <f t="shared" si="75"/>
        <v>790878</v>
      </c>
      <c r="AK187" s="8"/>
      <c r="AL187" s="16">
        <v>-59619</v>
      </c>
      <c r="AM187" s="8"/>
      <c r="AN187" s="16">
        <v>0</v>
      </c>
      <c r="AO187" s="16"/>
      <c r="AP187" s="16">
        <v>0</v>
      </c>
      <c r="AQ187" s="16"/>
      <c r="AR187" s="16">
        <v>481985</v>
      </c>
      <c r="AS187" s="16"/>
      <c r="AT187" s="8">
        <f t="shared" si="76"/>
        <v>1213244</v>
      </c>
      <c r="AU187" s="8"/>
      <c r="AV187" s="16">
        <v>0</v>
      </c>
      <c r="AW187" s="16"/>
      <c r="AX187" s="16">
        <v>0</v>
      </c>
      <c r="AY187" s="16"/>
      <c r="AZ187" s="16">
        <f t="shared" si="77"/>
        <v>4579213</v>
      </c>
      <c r="BB187" s="6" t="s">
        <v>198</v>
      </c>
      <c r="BC187" s="6"/>
      <c r="BD187" s="6" t="s">
        <v>101</v>
      </c>
      <c r="BE187" s="16"/>
      <c r="BF187" s="16">
        <f>827945+855000</f>
        <v>1682945</v>
      </c>
      <c r="BG187" s="16"/>
      <c r="BH187" s="16">
        <v>0</v>
      </c>
      <c r="BI187" s="16"/>
      <c r="BJ187" s="16">
        <v>0</v>
      </c>
      <c r="BK187" s="16"/>
      <c r="BL187" s="16">
        <f>148710+43930</f>
        <v>192640</v>
      </c>
      <c r="BM187" s="16"/>
      <c r="BN187" s="16">
        <f t="shared" si="78"/>
        <v>1875585</v>
      </c>
      <c r="BO187" s="17"/>
      <c r="BP187" s="6"/>
      <c r="BQ187" s="6"/>
      <c r="BR187" s="6"/>
    </row>
    <row r="188" spans="1:95" ht="12.75" customHeight="1" x14ac:dyDescent="0.2">
      <c r="A188" s="6" t="s">
        <v>199</v>
      </c>
      <c r="B188" s="6"/>
      <c r="C188" s="6" t="s">
        <v>90</v>
      </c>
      <c r="E188" s="16">
        <v>3434448</v>
      </c>
      <c r="F188" s="16"/>
      <c r="G188" s="16">
        <v>22379355</v>
      </c>
      <c r="H188" s="16"/>
      <c r="I188" s="16">
        <f t="shared" si="72"/>
        <v>25813803</v>
      </c>
      <c r="J188" s="16"/>
      <c r="K188" s="16">
        <v>1568760</v>
      </c>
      <c r="L188" s="16"/>
      <c r="M188" s="16">
        <v>5785115</v>
      </c>
      <c r="N188" s="16"/>
      <c r="O188" s="16">
        <f t="shared" si="73"/>
        <v>7353875</v>
      </c>
      <c r="P188" s="16"/>
      <c r="Q188" s="16">
        <v>15789226</v>
      </c>
      <c r="R188" s="16"/>
      <c r="S188" s="16">
        <v>0</v>
      </c>
      <c r="T188" s="16"/>
      <c r="U188" s="16">
        <v>2670702</v>
      </c>
      <c r="V188" s="16"/>
      <c r="W188" s="16">
        <f t="shared" si="74"/>
        <v>18459928</v>
      </c>
      <c r="X188" s="6"/>
      <c r="Y188" s="6"/>
      <c r="Z188" s="6" t="s">
        <v>199</v>
      </c>
      <c r="AA188" s="16"/>
      <c r="AB188" s="6" t="s">
        <v>90</v>
      </c>
      <c r="AC188" s="6"/>
      <c r="AD188" s="16">
        <v>5355380</v>
      </c>
      <c r="AE188" s="16"/>
      <c r="AF188" s="16">
        <f>4817006-942449</f>
        <v>3874557</v>
      </c>
      <c r="AG188" s="16"/>
      <c r="AH188" s="16">
        <v>942449</v>
      </c>
      <c r="AI188" s="16"/>
      <c r="AJ188" s="8">
        <f t="shared" si="75"/>
        <v>538374</v>
      </c>
      <c r="AK188" s="8"/>
      <c r="AL188" s="16">
        <v>882915</v>
      </c>
      <c r="AM188" s="8"/>
      <c r="AN188" s="16">
        <v>0</v>
      </c>
      <c r="AO188" s="16"/>
      <c r="AP188" s="16">
        <v>60000</v>
      </c>
      <c r="AQ188" s="16"/>
      <c r="AR188" s="16">
        <v>0</v>
      </c>
      <c r="AS188" s="16"/>
      <c r="AT188" s="8">
        <f t="shared" si="76"/>
        <v>1361289</v>
      </c>
      <c r="AU188" s="8"/>
      <c r="AV188" s="16">
        <v>0</v>
      </c>
      <c r="AW188" s="16"/>
      <c r="AX188" s="16">
        <v>0</v>
      </c>
      <c r="AY188" s="16"/>
      <c r="AZ188" s="16">
        <f t="shared" si="77"/>
        <v>1865688</v>
      </c>
      <c r="BA188" s="20"/>
      <c r="BB188" s="6" t="s">
        <v>199</v>
      </c>
      <c r="BC188" s="6"/>
      <c r="BD188" s="6" t="s">
        <v>90</v>
      </c>
      <c r="BE188" s="16"/>
      <c r="BF188" s="16">
        <f>1250000+250000+160040</f>
        <v>1660040</v>
      </c>
      <c r="BG188" s="16"/>
      <c r="BH188" s="16">
        <v>0</v>
      </c>
      <c r="BI188" s="16"/>
      <c r="BJ188" s="16">
        <f>616050+82618+87184+41357</f>
        <v>827209</v>
      </c>
      <c r="BK188" s="16"/>
      <c r="BL188" s="16">
        <f>2870788+658194+307465+74091+72250+153501</f>
        <v>4136289</v>
      </c>
      <c r="BM188" s="16"/>
      <c r="BN188" s="16">
        <f t="shared" si="78"/>
        <v>6623538</v>
      </c>
      <c r="BO188" s="17"/>
      <c r="BP188" s="6"/>
      <c r="BQ188" s="6"/>
      <c r="BR188" s="6"/>
    </row>
    <row r="189" spans="1:95" ht="12" hidden="1" customHeight="1" x14ac:dyDescent="0.2">
      <c r="A189" s="6" t="s">
        <v>200</v>
      </c>
      <c r="C189" s="6" t="s">
        <v>25</v>
      </c>
      <c r="E189" s="16">
        <v>0</v>
      </c>
      <c r="F189" s="16"/>
      <c r="G189" s="16"/>
      <c r="H189" s="16"/>
      <c r="I189" s="16">
        <f t="shared" si="72"/>
        <v>0</v>
      </c>
      <c r="J189" s="16"/>
      <c r="K189" s="16">
        <v>0</v>
      </c>
      <c r="L189" s="16"/>
      <c r="M189" s="16"/>
      <c r="N189" s="16"/>
      <c r="O189" s="16">
        <f t="shared" si="73"/>
        <v>0</v>
      </c>
      <c r="P189" s="16"/>
      <c r="Q189" s="16"/>
      <c r="R189" s="16"/>
      <c r="S189" s="16"/>
      <c r="T189" s="16"/>
      <c r="U189" s="16"/>
      <c r="V189" s="16"/>
      <c r="W189" s="16">
        <f t="shared" si="74"/>
        <v>0</v>
      </c>
      <c r="Z189" s="6" t="s">
        <v>200</v>
      </c>
      <c r="AA189" s="16"/>
      <c r="AB189" s="6" t="s">
        <v>25</v>
      </c>
      <c r="AD189" s="16"/>
      <c r="AE189" s="16"/>
      <c r="AF189" s="16"/>
      <c r="AG189" s="16"/>
      <c r="AH189" s="16"/>
      <c r="AI189" s="16"/>
      <c r="AJ189" s="8">
        <f t="shared" si="75"/>
        <v>0</v>
      </c>
      <c r="AK189" s="8"/>
      <c r="AL189" s="16"/>
      <c r="AM189" s="8"/>
      <c r="AN189" s="16"/>
      <c r="AO189" s="16"/>
      <c r="AP189" s="16"/>
      <c r="AQ189" s="16"/>
      <c r="AR189" s="16"/>
      <c r="AS189" s="16"/>
      <c r="AT189" s="8">
        <f t="shared" si="76"/>
        <v>0</v>
      </c>
      <c r="AU189" s="8"/>
      <c r="AV189" s="16">
        <v>0</v>
      </c>
      <c r="AW189" s="16"/>
      <c r="AX189" s="16">
        <v>0</v>
      </c>
      <c r="AY189" s="16"/>
      <c r="AZ189" s="16">
        <f t="shared" si="77"/>
        <v>0</v>
      </c>
      <c r="BB189" s="6" t="s">
        <v>200</v>
      </c>
      <c r="BC189" s="6"/>
      <c r="BD189" s="6" t="s">
        <v>25</v>
      </c>
      <c r="BE189" s="16"/>
      <c r="BF189" s="16"/>
      <c r="BG189" s="16"/>
      <c r="BH189" s="16"/>
      <c r="BI189" s="16"/>
      <c r="BJ189" s="16"/>
      <c r="BK189" s="16"/>
      <c r="BL189" s="16"/>
      <c r="BM189" s="16"/>
      <c r="BN189" s="16">
        <f t="shared" si="78"/>
        <v>0</v>
      </c>
      <c r="BO189" s="17"/>
      <c r="BP189" s="6"/>
      <c r="BQ189" s="6"/>
      <c r="BR189" s="6"/>
    </row>
    <row r="190" spans="1:95" ht="12.75" hidden="1" customHeight="1" x14ac:dyDescent="0.2">
      <c r="A190" s="6" t="s">
        <v>201</v>
      </c>
      <c r="C190" s="6" t="s">
        <v>25</v>
      </c>
      <c r="E190" s="16">
        <v>0</v>
      </c>
      <c r="F190" s="16"/>
      <c r="G190" s="16"/>
      <c r="H190" s="16"/>
      <c r="I190" s="16">
        <f t="shared" si="72"/>
        <v>0</v>
      </c>
      <c r="J190" s="16"/>
      <c r="K190" s="16">
        <v>0</v>
      </c>
      <c r="L190" s="16"/>
      <c r="M190" s="16"/>
      <c r="N190" s="16"/>
      <c r="O190" s="16">
        <f t="shared" si="73"/>
        <v>0</v>
      </c>
      <c r="P190" s="16"/>
      <c r="Q190" s="16"/>
      <c r="R190" s="16"/>
      <c r="S190" s="16"/>
      <c r="T190" s="16"/>
      <c r="U190" s="16"/>
      <c r="V190" s="16"/>
      <c r="W190" s="16">
        <f t="shared" si="74"/>
        <v>0</v>
      </c>
      <c r="Z190" s="6" t="s">
        <v>201</v>
      </c>
      <c r="AA190" s="16"/>
      <c r="AB190" s="6" t="s">
        <v>25</v>
      </c>
      <c r="AD190" s="16"/>
      <c r="AE190" s="16"/>
      <c r="AF190" s="16"/>
      <c r="AG190" s="16"/>
      <c r="AH190" s="16"/>
      <c r="AI190" s="16"/>
      <c r="AJ190" s="8">
        <f t="shared" si="75"/>
        <v>0</v>
      </c>
      <c r="AK190" s="8"/>
      <c r="AL190" s="16"/>
      <c r="AM190" s="8"/>
      <c r="AN190" s="16"/>
      <c r="AO190" s="16"/>
      <c r="AP190" s="16"/>
      <c r="AQ190" s="16"/>
      <c r="AR190" s="16"/>
      <c r="AS190" s="16"/>
      <c r="AT190" s="8">
        <f t="shared" si="76"/>
        <v>0</v>
      </c>
      <c r="AU190" s="8"/>
      <c r="AV190" s="16">
        <v>0</v>
      </c>
      <c r="AW190" s="16"/>
      <c r="AX190" s="16">
        <v>0</v>
      </c>
      <c r="AY190" s="16"/>
      <c r="AZ190" s="16">
        <f t="shared" si="77"/>
        <v>0</v>
      </c>
      <c r="BB190" s="6" t="s">
        <v>201</v>
      </c>
      <c r="BC190" s="6"/>
      <c r="BD190" s="6" t="s">
        <v>25</v>
      </c>
      <c r="BE190" s="16"/>
      <c r="BF190" s="16"/>
      <c r="BG190" s="16"/>
      <c r="BH190" s="16"/>
      <c r="BI190" s="16"/>
      <c r="BJ190" s="16"/>
      <c r="BK190" s="16"/>
      <c r="BL190" s="16"/>
      <c r="BM190" s="16"/>
      <c r="BN190" s="16">
        <f t="shared" si="78"/>
        <v>0</v>
      </c>
      <c r="BO190" s="17"/>
      <c r="BP190" s="6"/>
      <c r="BQ190" s="6"/>
      <c r="BR190" s="6"/>
    </row>
    <row r="191" spans="1:95" ht="12.75" customHeight="1" x14ac:dyDescent="0.2">
      <c r="A191" s="6" t="s">
        <v>202</v>
      </c>
      <c r="C191" s="6" t="s">
        <v>123</v>
      </c>
      <c r="E191" s="16">
        <v>1551027</v>
      </c>
      <c r="F191" s="16"/>
      <c r="G191" s="16">
        <v>6483115</v>
      </c>
      <c r="H191" s="16"/>
      <c r="I191" s="16">
        <f t="shared" si="72"/>
        <v>8034142</v>
      </c>
      <c r="J191" s="16"/>
      <c r="K191" s="16">
        <v>1784948</v>
      </c>
      <c r="L191" s="16"/>
      <c r="M191" s="16">
        <v>6002686</v>
      </c>
      <c r="N191" s="16"/>
      <c r="O191" s="16">
        <f t="shared" si="73"/>
        <v>7787634</v>
      </c>
      <c r="P191" s="16"/>
      <c r="Q191" s="16">
        <v>-653427</v>
      </c>
      <c r="R191" s="16"/>
      <c r="S191" s="16">
        <v>0</v>
      </c>
      <c r="T191" s="16"/>
      <c r="U191" s="16">
        <v>899935</v>
      </c>
      <c r="V191" s="16"/>
      <c r="W191" s="16">
        <f t="shared" si="74"/>
        <v>246508</v>
      </c>
      <c r="Z191" s="6" t="s">
        <v>202</v>
      </c>
      <c r="AA191" s="16"/>
      <c r="AB191" s="6" t="s">
        <v>123</v>
      </c>
      <c r="AD191" s="16">
        <v>1459101</v>
      </c>
      <c r="AE191" s="16"/>
      <c r="AF191" s="16">
        <f>1237116-233614</f>
        <v>1003502</v>
      </c>
      <c r="AG191" s="16"/>
      <c r="AH191" s="16">
        <v>233614</v>
      </c>
      <c r="AI191" s="16"/>
      <c r="AJ191" s="8">
        <f t="shared" si="75"/>
        <v>221985</v>
      </c>
      <c r="AK191" s="8"/>
      <c r="AL191" s="16">
        <v>-299287</v>
      </c>
      <c r="AM191" s="8"/>
      <c r="AN191" s="16">
        <v>0</v>
      </c>
      <c r="AO191" s="16"/>
      <c r="AP191" s="16">
        <v>0</v>
      </c>
      <c r="AQ191" s="16"/>
      <c r="AR191" s="16">
        <v>0</v>
      </c>
      <c r="AS191" s="16"/>
      <c r="AT191" s="8">
        <f t="shared" si="76"/>
        <v>-77302</v>
      </c>
      <c r="AU191" s="8"/>
      <c r="AV191" s="16">
        <v>0</v>
      </c>
      <c r="AW191" s="16"/>
      <c r="AX191" s="16">
        <v>0</v>
      </c>
      <c r="AY191" s="16"/>
      <c r="AZ191" s="16">
        <f t="shared" si="77"/>
        <v>-233921</v>
      </c>
      <c r="BB191" s="6" t="s">
        <v>202</v>
      </c>
      <c r="BC191" s="6"/>
      <c r="BD191" s="6" t="s">
        <v>123</v>
      </c>
      <c r="BE191" s="16"/>
      <c r="BF191" s="16">
        <f>5920000+125000</f>
        <v>6045000</v>
      </c>
      <c r="BG191" s="16"/>
      <c r="BH191" s="16">
        <v>0</v>
      </c>
      <c r="BI191" s="16"/>
      <c r="BJ191" s="16">
        <v>0</v>
      </c>
      <c r="BK191" s="16"/>
      <c r="BL191" s="16">
        <v>8268</v>
      </c>
      <c r="BM191" s="16"/>
      <c r="BN191" s="16">
        <f t="shared" si="78"/>
        <v>6053268</v>
      </c>
      <c r="BO191" s="17"/>
      <c r="BP191" s="6"/>
      <c r="BQ191" s="6"/>
      <c r="BR191" s="6"/>
    </row>
    <row r="192" spans="1:95" ht="12.75" hidden="1" customHeight="1" x14ac:dyDescent="0.2">
      <c r="A192" s="6" t="s">
        <v>203</v>
      </c>
      <c r="C192" s="6" t="s">
        <v>25</v>
      </c>
      <c r="E192" s="16">
        <v>0</v>
      </c>
      <c r="F192" s="16"/>
      <c r="G192" s="16"/>
      <c r="H192" s="16"/>
      <c r="I192" s="16">
        <f t="shared" si="72"/>
        <v>0</v>
      </c>
      <c r="J192" s="16"/>
      <c r="K192" s="16">
        <v>0</v>
      </c>
      <c r="L192" s="16"/>
      <c r="M192" s="16"/>
      <c r="N192" s="16"/>
      <c r="O192" s="16">
        <f t="shared" si="73"/>
        <v>0</v>
      </c>
      <c r="P192" s="16"/>
      <c r="Q192" s="16"/>
      <c r="R192" s="16"/>
      <c r="S192" s="16"/>
      <c r="T192" s="16"/>
      <c r="U192" s="16"/>
      <c r="V192" s="16"/>
      <c r="W192" s="16">
        <f t="shared" si="74"/>
        <v>0</v>
      </c>
      <c r="Z192" s="6" t="s">
        <v>203</v>
      </c>
      <c r="AA192" s="16"/>
      <c r="AB192" s="6" t="s">
        <v>25</v>
      </c>
      <c r="AD192" s="16"/>
      <c r="AE192" s="16"/>
      <c r="AF192" s="16"/>
      <c r="AG192" s="16"/>
      <c r="AH192" s="16"/>
      <c r="AI192" s="16"/>
      <c r="AJ192" s="8">
        <f t="shared" si="75"/>
        <v>0</v>
      </c>
      <c r="AK192" s="8"/>
      <c r="AL192" s="16"/>
      <c r="AM192" s="8"/>
      <c r="AN192" s="16"/>
      <c r="AO192" s="16"/>
      <c r="AP192" s="16"/>
      <c r="AQ192" s="16"/>
      <c r="AR192" s="16"/>
      <c r="AS192" s="16"/>
      <c r="AT192" s="8">
        <f t="shared" si="76"/>
        <v>0</v>
      </c>
      <c r="AU192" s="8"/>
      <c r="AV192" s="16">
        <v>0</v>
      </c>
      <c r="AW192" s="16"/>
      <c r="AX192" s="16">
        <v>0</v>
      </c>
      <c r="AY192" s="16"/>
      <c r="AZ192" s="16">
        <f t="shared" si="77"/>
        <v>0</v>
      </c>
      <c r="BB192" s="6" t="s">
        <v>203</v>
      </c>
      <c r="BC192" s="6"/>
      <c r="BD192" s="6" t="s">
        <v>25</v>
      </c>
      <c r="BE192" s="16"/>
      <c r="BF192" s="16"/>
      <c r="BG192" s="16"/>
      <c r="BH192" s="16"/>
      <c r="BI192" s="16"/>
      <c r="BJ192" s="16"/>
      <c r="BK192" s="16"/>
      <c r="BL192" s="16"/>
      <c r="BM192" s="16"/>
      <c r="BN192" s="16">
        <f t="shared" si="78"/>
        <v>0</v>
      </c>
      <c r="BO192" s="17"/>
      <c r="BP192" s="6"/>
      <c r="BQ192" s="6"/>
      <c r="BR192" s="6"/>
    </row>
    <row r="193" spans="1:70" ht="12.75" customHeight="1" x14ac:dyDescent="0.2">
      <c r="A193" s="6" t="s">
        <v>204</v>
      </c>
      <c r="B193" s="6"/>
      <c r="C193" s="6" t="s">
        <v>45</v>
      </c>
      <c r="E193" s="16">
        <v>8210651</v>
      </c>
      <c r="F193" s="16"/>
      <c r="G193" s="16">
        <v>13632411</v>
      </c>
      <c r="H193" s="16"/>
      <c r="I193" s="16">
        <f t="shared" si="72"/>
        <v>21843062</v>
      </c>
      <c r="J193" s="16"/>
      <c r="K193" s="16">
        <v>4145359</v>
      </c>
      <c r="L193" s="16"/>
      <c r="M193" s="16">
        <f>92855+55034</f>
        <v>147889</v>
      </c>
      <c r="N193" s="16"/>
      <c r="O193" s="16">
        <f t="shared" si="73"/>
        <v>4293248</v>
      </c>
      <c r="P193" s="16"/>
      <c r="Q193" s="16">
        <v>9547411</v>
      </c>
      <c r="R193" s="16"/>
      <c r="S193" s="16">
        <v>0</v>
      </c>
      <c r="T193" s="16"/>
      <c r="U193" s="16">
        <v>8002403</v>
      </c>
      <c r="V193" s="16"/>
      <c r="W193" s="16">
        <f t="shared" si="74"/>
        <v>17549814</v>
      </c>
      <c r="Z193" s="6" t="s">
        <v>204</v>
      </c>
      <c r="AA193" s="16"/>
      <c r="AB193" s="6" t="s">
        <v>45</v>
      </c>
      <c r="AC193" s="6"/>
      <c r="AD193" s="16">
        <v>4771584</v>
      </c>
      <c r="AE193" s="16"/>
      <c r="AF193" s="16">
        <f>4731144-540109</f>
        <v>4191035</v>
      </c>
      <c r="AG193" s="16"/>
      <c r="AH193" s="16">
        <v>540109</v>
      </c>
      <c r="AI193" s="16"/>
      <c r="AJ193" s="8">
        <f t="shared" si="75"/>
        <v>40440</v>
      </c>
      <c r="AK193" s="8"/>
      <c r="AL193" s="16">
        <v>-98108</v>
      </c>
      <c r="AM193" s="8"/>
      <c r="AN193" s="16">
        <v>0</v>
      </c>
      <c r="AO193" s="16"/>
      <c r="AP193" s="16">
        <v>0</v>
      </c>
      <c r="AQ193" s="16"/>
      <c r="AR193" s="16">
        <v>140726</v>
      </c>
      <c r="AS193" s="16"/>
      <c r="AT193" s="8">
        <f t="shared" si="76"/>
        <v>83058</v>
      </c>
      <c r="AU193" s="8"/>
      <c r="AV193" s="16">
        <v>0</v>
      </c>
      <c r="AW193" s="16"/>
      <c r="AX193" s="16">
        <v>0</v>
      </c>
      <c r="AY193" s="16"/>
      <c r="AZ193" s="16">
        <f t="shared" si="77"/>
        <v>4065292</v>
      </c>
      <c r="BB193" s="6" t="s">
        <v>204</v>
      </c>
      <c r="BC193" s="6"/>
      <c r="BD193" s="6" t="s">
        <v>45</v>
      </c>
      <c r="BE193" s="16"/>
      <c r="BF193" s="16">
        <v>0</v>
      </c>
      <c r="BG193" s="16"/>
      <c r="BH193" s="16">
        <v>0</v>
      </c>
      <c r="BI193" s="16"/>
      <c r="BJ193" s="16">
        <v>0</v>
      </c>
      <c r="BK193" s="16"/>
      <c r="BL193" s="16">
        <f>92855+55034</f>
        <v>147889</v>
      </c>
      <c r="BM193" s="16"/>
      <c r="BN193" s="16">
        <f t="shared" si="78"/>
        <v>147889</v>
      </c>
      <c r="BO193" s="17"/>
      <c r="BP193" s="6"/>
      <c r="BQ193" s="6"/>
      <c r="BR193" s="6"/>
    </row>
    <row r="194" spans="1:70" ht="12.75" customHeight="1" x14ac:dyDescent="0.2">
      <c r="A194" s="6" t="s">
        <v>205</v>
      </c>
      <c r="C194" s="6" t="s">
        <v>100</v>
      </c>
      <c r="E194" s="16">
        <v>2947695</v>
      </c>
      <c r="F194" s="16"/>
      <c r="G194" s="16">
        <v>21655301</v>
      </c>
      <c r="H194" s="16"/>
      <c r="I194" s="16">
        <f t="shared" si="72"/>
        <v>24602996</v>
      </c>
      <c r="J194" s="16"/>
      <c r="K194" s="16">
        <v>485667</v>
      </c>
      <c r="L194" s="16"/>
      <c r="M194" s="16">
        <v>3889591</v>
      </c>
      <c r="N194" s="16"/>
      <c r="O194" s="16">
        <f t="shared" si="73"/>
        <v>4375258</v>
      </c>
      <c r="P194" s="16"/>
      <c r="Q194" s="16">
        <v>17565777</v>
      </c>
      <c r="R194" s="16"/>
      <c r="S194" s="16">
        <v>0</v>
      </c>
      <c r="T194" s="16"/>
      <c r="U194" s="16">
        <v>2685274</v>
      </c>
      <c r="V194" s="16"/>
      <c r="W194" s="16">
        <f t="shared" si="74"/>
        <v>20251051</v>
      </c>
      <c r="Z194" s="6" t="s">
        <v>205</v>
      </c>
      <c r="AA194" s="16"/>
      <c r="AB194" s="6" t="s">
        <v>100</v>
      </c>
      <c r="AD194" s="16">
        <v>2386759</v>
      </c>
      <c r="AE194" s="16"/>
      <c r="AF194" s="16">
        <f>2055087-506776</f>
        <v>1548311</v>
      </c>
      <c r="AG194" s="16"/>
      <c r="AH194" s="16">
        <v>506776</v>
      </c>
      <c r="AI194" s="16"/>
      <c r="AJ194" s="8">
        <f t="shared" si="75"/>
        <v>331672</v>
      </c>
      <c r="AK194" s="8"/>
      <c r="AL194" s="16">
        <v>-133080</v>
      </c>
      <c r="AM194" s="8"/>
      <c r="AN194" s="16">
        <v>0</v>
      </c>
      <c r="AO194" s="16"/>
      <c r="AP194" s="16">
        <v>0</v>
      </c>
      <c r="AQ194" s="16"/>
      <c r="AR194" s="16">
        <f>96100+422151</f>
        <v>518251</v>
      </c>
      <c r="AS194" s="16"/>
      <c r="AT194" s="8">
        <f t="shared" si="76"/>
        <v>716843</v>
      </c>
      <c r="AU194" s="8"/>
      <c r="AV194" s="16">
        <v>0</v>
      </c>
      <c r="AW194" s="16"/>
      <c r="AX194" s="16">
        <v>0</v>
      </c>
      <c r="AY194" s="16"/>
      <c r="AZ194" s="16">
        <f t="shared" si="77"/>
        <v>2462028</v>
      </c>
      <c r="BB194" s="6" t="s">
        <v>205</v>
      </c>
      <c r="BC194" s="6"/>
      <c r="BD194" s="6" t="s">
        <v>100</v>
      </c>
      <c r="BE194" s="16"/>
      <c r="BF194" s="16">
        <f>2505337+210000</f>
        <v>2715337</v>
      </c>
      <c r="BG194" s="16"/>
      <c r="BH194" s="16">
        <v>0</v>
      </c>
      <c r="BI194" s="16"/>
      <c r="BJ194" s="16">
        <f>1302791+137976</f>
        <v>1440767</v>
      </c>
      <c r="BK194" s="16"/>
      <c r="BL194" s="16">
        <f>19322+60759+1382+4704+42868</f>
        <v>129035</v>
      </c>
      <c r="BM194" s="16"/>
      <c r="BN194" s="16">
        <f t="shared" si="78"/>
        <v>4285139</v>
      </c>
      <c r="BO194" s="17"/>
      <c r="BP194" s="6"/>
      <c r="BQ194" s="6"/>
      <c r="BR194" s="6"/>
    </row>
    <row r="195" spans="1:70" ht="12.75" customHeight="1" x14ac:dyDescent="0.2">
      <c r="A195" s="6" t="s">
        <v>206</v>
      </c>
      <c r="B195" s="20"/>
      <c r="C195" s="6" t="s">
        <v>207</v>
      </c>
      <c r="E195" s="16">
        <v>3814029</v>
      </c>
      <c r="F195" s="16"/>
      <c r="G195" s="16">
        <v>10913887</v>
      </c>
      <c r="H195" s="16"/>
      <c r="I195" s="16">
        <f t="shared" si="72"/>
        <v>14727916</v>
      </c>
      <c r="J195" s="16"/>
      <c r="K195" s="16">
        <v>545176</v>
      </c>
      <c r="L195" s="16"/>
      <c r="M195" s="16">
        <v>425256</v>
      </c>
      <c r="N195" s="16"/>
      <c r="O195" s="16">
        <f t="shared" si="73"/>
        <v>970432</v>
      </c>
      <c r="P195" s="16"/>
      <c r="Q195" s="16">
        <v>10564387</v>
      </c>
      <c r="R195" s="16"/>
      <c r="S195" s="16">
        <v>0</v>
      </c>
      <c r="T195" s="16"/>
      <c r="U195" s="16">
        <v>3193097</v>
      </c>
      <c r="V195" s="16"/>
      <c r="W195" s="16">
        <f t="shared" si="74"/>
        <v>13757484</v>
      </c>
      <c r="X195" s="20"/>
      <c r="Y195" s="20"/>
      <c r="Z195" s="6" t="s">
        <v>206</v>
      </c>
      <c r="AA195" s="16"/>
      <c r="AB195" s="6" t="s">
        <v>207</v>
      </c>
      <c r="AC195" s="20"/>
      <c r="AD195" s="16">
        <v>3547496</v>
      </c>
      <c r="AE195" s="16"/>
      <c r="AF195" s="16">
        <f>3030424-378379</f>
        <v>2652045</v>
      </c>
      <c r="AG195" s="16"/>
      <c r="AH195" s="16">
        <v>378379</v>
      </c>
      <c r="AI195" s="16"/>
      <c r="AJ195" s="8">
        <f t="shared" si="75"/>
        <v>517072</v>
      </c>
      <c r="AK195" s="8"/>
      <c r="AL195" s="16">
        <v>706370</v>
      </c>
      <c r="AM195" s="8"/>
      <c r="AN195" s="16">
        <v>0</v>
      </c>
      <c r="AO195" s="16"/>
      <c r="AP195" s="16">
        <v>0</v>
      </c>
      <c r="AQ195" s="16"/>
      <c r="AR195" s="16">
        <v>0</v>
      </c>
      <c r="AS195" s="16"/>
      <c r="AT195" s="8">
        <f t="shared" ref="AT195:AT232" si="79">+AJ195+AL195+AN195-AP195+AR195</f>
        <v>1223442</v>
      </c>
      <c r="AU195" s="8"/>
      <c r="AV195" s="16">
        <v>0</v>
      </c>
      <c r="AW195" s="16"/>
      <c r="AX195" s="16">
        <v>0</v>
      </c>
      <c r="AY195" s="16"/>
      <c r="AZ195" s="16">
        <f t="shared" si="77"/>
        <v>3268853</v>
      </c>
      <c r="BA195" s="20"/>
      <c r="BB195" s="6" t="s">
        <v>206</v>
      </c>
      <c r="BC195" s="6"/>
      <c r="BD195" s="6" t="s">
        <v>207</v>
      </c>
      <c r="BE195" s="16"/>
      <c r="BF195" s="16">
        <f>213302+136198</f>
        <v>349500</v>
      </c>
      <c r="BG195" s="16"/>
      <c r="BH195" s="16">
        <v>0</v>
      </c>
      <c r="BI195" s="16"/>
      <c r="BJ195" s="16">
        <v>0</v>
      </c>
      <c r="BK195" s="16"/>
      <c r="BL195" s="16">
        <f>211954+91001</f>
        <v>302955</v>
      </c>
      <c r="BM195" s="16"/>
      <c r="BN195" s="16">
        <f t="shared" si="78"/>
        <v>652455</v>
      </c>
      <c r="BO195" s="17"/>
      <c r="BP195" s="6"/>
      <c r="BQ195" s="6"/>
      <c r="BR195" s="6"/>
    </row>
    <row r="196" spans="1:70" ht="12.75" customHeight="1" x14ac:dyDescent="0.2">
      <c r="A196" s="7" t="s">
        <v>208</v>
      </c>
      <c r="C196" s="7" t="s">
        <v>209</v>
      </c>
      <c r="E196" s="16">
        <v>1035497</v>
      </c>
      <c r="F196" s="16"/>
      <c r="G196" s="16">
        <v>3200470</v>
      </c>
      <c r="H196" s="16"/>
      <c r="I196" s="16">
        <f t="shared" si="72"/>
        <v>4235967</v>
      </c>
      <c r="J196" s="16"/>
      <c r="K196" s="16">
        <v>93846</v>
      </c>
      <c r="L196" s="16"/>
      <c r="M196" s="16">
        <v>1188826</v>
      </c>
      <c r="N196" s="16"/>
      <c r="O196" s="16">
        <f t="shared" si="73"/>
        <v>1282672</v>
      </c>
      <c r="P196" s="16"/>
      <c r="Q196" s="16">
        <v>1983438</v>
      </c>
      <c r="R196" s="16"/>
      <c r="S196" s="16">
        <v>0</v>
      </c>
      <c r="T196" s="16"/>
      <c r="U196" s="16">
        <v>969857</v>
      </c>
      <c r="V196" s="16"/>
      <c r="W196" s="16">
        <f t="shared" si="74"/>
        <v>2953295</v>
      </c>
      <c r="X196" s="21"/>
      <c r="Y196" s="19"/>
      <c r="Z196" s="7" t="s">
        <v>208</v>
      </c>
      <c r="AA196" s="16"/>
      <c r="AB196" s="7" t="s">
        <v>209</v>
      </c>
      <c r="AD196" s="16">
        <v>957459</v>
      </c>
      <c r="AE196" s="16"/>
      <c r="AF196" s="16">
        <f>1508900-87017</f>
        <v>1421883</v>
      </c>
      <c r="AG196" s="16"/>
      <c r="AH196" s="16">
        <v>87017</v>
      </c>
      <c r="AI196" s="16"/>
      <c r="AJ196" s="8">
        <f t="shared" si="75"/>
        <v>-551441</v>
      </c>
      <c r="AK196" s="8"/>
      <c r="AL196" s="16">
        <v>-50318</v>
      </c>
      <c r="AM196" s="8"/>
      <c r="AN196" s="16">
        <v>0</v>
      </c>
      <c r="AO196" s="16"/>
      <c r="AP196" s="16">
        <v>0</v>
      </c>
      <c r="AQ196" s="16"/>
      <c r="AR196" s="16">
        <v>0</v>
      </c>
      <c r="AS196" s="16"/>
      <c r="AT196" s="8">
        <f t="shared" si="79"/>
        <v>-601759</v>
      </c>
      <c r="AU196" s="8"/>
      <c r="AV196" s="16">
        <v>0</v>
      </c>
      <c r="AW196" s="16"/>
      <c r="AX196" s="16">
        <v>0</v>
      </c>
      <c r="AY196" s="16"/>
      <c r="AZ196" s="16">
        <f t="shared" si="77"/>
        <v>941651</v>
      </c>
      <c r="BA196" s="21"/>
      <c r="BB196" s="7" t="s">
        <v>208</v>
      </c>
      <c r="BC196" s="6"/>
      <c r="BD196" s="7" t="s">
        <v>209</v>
      </c>
      <c r="BE196" s="16"/>
      <c r="BF196" s="16">
        <v>0</v>
      </c>
      <c r="BG196" s="16"/>
      <c r="BH196" s="16">
        <v>0</v>
      </c>
      <c r="BI196" s="16"/>
      <c r="BJ196" s="16">
        <f>16760+1085676+1514+62786</f>
        <v>1166736</v>
      </c>
      <c r="BK196" s="16"/>
      <c r="BL196" s="16">
        <f>50296+36094+3785</f>
        <v>90175</v>
      </c>
      <c r="BM196" s="16"/>
      <c r="BN196" s="16">
        <f t="shared" si="78"/>
        <v>1256911</v>
      </c>
      <c r="BO196" s="17"/>
      <c r="BP196" s="6"/>
      <c r="BQ196" s="6"/>
      <c r="BR196" s="6"/>
    </row>
    <row r="197" spans="1:70" ht="12.75" customHeight="1" x14ac:dyDescent="0.2">
      <c r="A197" s="7" t="s">
        <v>210</v>
      </c>
      <c r="C197" s="7" t="s">
        <v>211</v>
      </c>
      <c r="E197" s="16">
        <v>2424546</v>
      </c>
      <c r="F197" s="16"/>
      <c r="G197" s="16">
        <v>19826393</v>
      </c>
      <c r="H197" s="16"/>
      <c r="I197" s="16">
        <f t="shared" si="72"/>
        <v>22250939</v>
      </c>
      <c r="J197" s="16"/>
      <c r="K197" s="16">
        <v>2684543</v>
      </c>
      <c r="L197" s="16"/>
      <c r="M197" s="16">
        <v>8446380</v>
      </c>
      <c r="N197" s="16"/>
      <c r="O197" s="16">
        <f t="shared" si="73"/>
        <v>11130923</v>
      </c>
      <c r="P197" s="16"/>
      <c r="Q197" s="16">
        <v>8816079</v>
      </c>
      <c r="R197" s="16"/>
      <c r="S197" s="16">
        <v>953034</v>
      </c>
      <c r="T197" s="16"/>
      <c r="U197" s="16">
        <v>1350903</v>
      </c>
      <c r="V197" s="16"/>
      <c r="W197" s="16">
        <f t="shared" si="74"/>
        <v>11120016</v>
      </c>
      <c r="Z197" s="7" t="s">
        <v>210</v>
      </c>
      <c r="AA197" s="16"/>
      <c r="AB197" s="7" t="s">
        <v>211</v>
      </c>
      <c r="AD197" s="16">
        <v>6332024</v>
      </c>
      <c r="AE197" s="16"/>
      <c r="AF197" s="16">
        <f>5684185-1112012</f>
        <v>4572173</v>
      </c>
      <c r="AG197" s="16"/>
      <c r="AH197" s="16">
        <v>1112012</v>
      </c>
      <c r="AI197" s="16"/>
      <c r="AJ197" s="8">
        <f t="shared" si="75"/>
        <v>647839</v>
      </c>
      <c r="AK197" s="8"/>
      <c r="AL197" s="16">
        <v>-436030</v>
      </c>
      <c r="AM197" s="8"/>
      <c r="AN197" s="16">
        <v>0</v>
      </c>
      <c r="AO197" s="16"/>
      <c r="AP197" s="16">
        <v>7960</v>
      </c>
      <c r="AQ197" s="16"/>
      <c r="AR197" s="16">
        <v>408230</v>
      </c>
      <c r="AS197" s="16"/>
      <c r="AT197" s="8">
        <f t="shared" si="79"/>
        <v>612079</v>
      </c>
      <c r="AU197" s="8"/>
      <c r="AV197" s="16">
        <v>0</v>
      </c>
      <c r="AW197" s="16"/>
      <c r="AX197" s="16">
        <v>0</v>
      </c>
      <c r="AY197" s="16"/>
      <c r="AZ197" s="16">
        <f t="shared" si="77"/>
        <v>-259997</v>
      </c>
      <c r="BB197" s="7" t="s">
        <v>210</v>
      </c>
      <c r="BC197" s="6"/>
      <c r="BD197" s="7" t="s">
        <v>211</v>
      </c>
      <c r="BE197" s="16"/>
      <c r="BF197" s="16">
        <v>0</v>
      </c>
      <c r="BG197" s="16"/>
      <c r="BH197" s="16">
        <f>1090000+515000</f>
        <v>1605000</v>
      </c>
      <c r="BI197" s="16"/>
      <c r="BJ197" s="16">
        <f>4409003+236865</f>
        <v>4645868</v>
      </c>
      <c r="BK197" s="16"/>
      <c r="BL197" s="16">
        <f>2897903+49474+587010+7331</f>
        <v>3541718</v>
      </c>
      <c r="BM197" s="16"/>
      <c r="BN197" s="16">
        <f t="shared" si="78"/>
        <v>9792586</v>
      </c>
      <c r="BO197" s="17"/>
      <c r="BQ197" s="6"/>
      <c r="BR197" s="6"/>
    </row>
    <row r="198" spans="1:70" ht="12.75" hidden="1" customHeight="1" x14ac:dyDescent="0.2">
      <c r="A198" s="7" t="s">
        <v>212</v>
      </c>
      <c r="C198" s="7" t="s">
        <v>84</v>
      </c>
      <c r="E198" s="16">
        <v>0</v>
      </c>
      <c r="F198" s="16"/>
      <c r="G198" s="16"/>
      <c r="H198" s="16"/>
      <c r="I198" s="16">
        <f t="shared" si="72"/>
        <v>0</v>
      </c>
      <c r="J198" s="16"/>
      <c r="K198" s="16">
        <v>0</v>
      </c>
      <c r="L198" s="16"/>
      <c r="M198" s="16"/>
      <c r="N198" s="16"/>
      <c r="O198" s="16">
        <f t="shared" si="73"/>
        <v>0</v>
      </c>
      <c r="P198" s="16"/>
      <c r="Q198" s="16"/>
      <c r="R198" s="16"/>
      <c r="S198" s="16"/>
      <c r="T198" s="16"/>
      <c r="U198" s="16"/>
      <c r="V198" s="16"/>
      <c r="W198" s="16">
        <f t="shared" si="74"/>
        <v>0</v>
      </c>
      <c r="Z198" s="7" t="s">
        <v>212</v>
      </c>
      <c r="AA198" s="16"/>
      <c r="AB198" s="7" t="s">
        <v>84</v>
      </c>
      <c r="AD198" s="16"/>
      <c r="AE198" s="16"/>
      <c r="AF198" s="16"/>
      <c r="AG198" s="16"/>
      <c r="AH198" s="16"/>
      <c r="AI198" s="16"/>
      <c r="AJ198" s="8">
        <f t="shared" si="75"/>
        <v>0</v>
      </c>
      <c r="AK198" s="8"/>
      <c r="AL198" s="16"/>
      <c r="AM198" s="8"/>
      <c r="AN198" s="16"/>
      <c r="AO198" s="16"/>
      <c r="AP198" s="16"/>
      <c r="AQ198" s="16"/>
      <c r="AR198" s="16"/>
      <c r="AS198" s="16"/>
      <c r="AT198" s="8">
        <f t="shared" si="79"/>
        <v>0</v>
      </c>
      <c r="AU198" s="8"/>
      <c r="AV198" s="16">
        <v>0</v>
      </c>
      <c r="AW198" s="16"/>
      <c r="AX198" s="16">
        <v>0</v>
      </c>
      <c r="AY198" s="16"/>
      <c r="AZ198" s="16">
        <f t="shared" si="77"/>
        <v>0</v>
      </c>
      <c r="BB198" s="7" t="s">
        <v>212</v>
      </c>
      <c r="BC198" s="6"/>
      <c r="BD198" s="7" t="s">
        <v>84</v>
      </c>
      <c r="BE198" s="16"/>
      <c r="BF198" s="16"/>
      <c r="BG198" s="16"/>
      <c r="BH198" s="16"/>
      <c r="BI198" s="16"/>
      <c r="BJ198" s="16"/>
      <c r="BK198" s="16"/>
      <c r="BL198" s="16"/>
      <c r="BM198" s="16"/>
      <c r="BN198" s="16">
        <f t="shared" si="78"/>
        <v>0</v>
      </c>
      <c r="BO198" s="17"/>
      <c r="BP198" s="6"/>
      <c r="BQ198" s="6"/>
      <c r="BR198" s="6"/>
    </row>
    <row r="199" spans="1:70" ht="12.75" customHeight="1" x14ac:dyDescent="0.2">
      <c r="A199" s="6" t="s">
        <v>213</v>
      </c>
      <c r="B199" s="6"/>
      <c r="C199" s="6" t="s">
        <v>20</v>
      </c>
      <c r="E199" s="16">
        <v>6020460</v>
      </c>
      <c r="F199" s="16"/>
      <c r="G199" s="16">
        <v>17601968</v>
      </c>
      <c r="H199" s="16"/>
      <c r="I199" s="16">
        <f t="shared" si="72"/>
        <v>23622428</v>
      </c>
      <c r="J199" s="16"/>
      <c r="K199" s="16">
        <v>35455</v>
      </c>
      <c r="L199" s="16"/>
      <c r="M199" s="16">
        <v>3135378</v>
      </c>
      <c r="N199" s="16"/>
      <c r="O199" s="16">
        <f t="shared" si="73"/>
        <v>3170833</v>
      </c>
      <c r="P199" s="16"/>
      <c r="Q199" s="16">
        <v>15324537</v>
      </c>
      <c r="R199" s="16"/>
      <c r="S199" s="16">
        <v>0</v>
      </c>
      <c r="T199" s="16"/>
      <c r="U199" s="16">
        <v>4804058</v>
      </c>
      <c r="V199" s="16"/>
      <c r="W199" s="16">
        <f t="shared" si="74"/>
        <v>20128595</v>
      </c>
      <c r="Z199" s="6" t="s">
        <v>213</v>
      </c>
      <c r="AA199" s="6"/>
      <c r="AB199" s="6" t="s">
        <v>20</v>
      </c>
      <c r="AD199" s="16">
        <v>2931458</v>
      </c>
      <c r="AE199" s="16"/>
      <c r="AF199" s="16">
        <f>3816153-383263</f>
        <v>3432890</v>
      </c>
      <c r="AG199" s="16"/>
      <c r="AH199" s="16">
        <v>383263</v>
      </c>
      <c r="AI199" s="16"/>
      <c r="AJ199" s="8">
        <f t="shared" si="75"/>
        <v>-884695</v>
      </c>
      <c r="AK199" s="8"/>
      <c r="AL199" s="16">
        <v>1112081</v>
      </c>
      <c r="AM199" s="8"/>
      <c r="AN199" s="16">
        <v>0</v>
      </c>
      <c r="AO199" s="16"/>
      <c r="AP199" s="16">
        <v>0</v>
      </c>
      <c r="AQ199" s="16"/>
      <c r="AR199" s="16">
        <v>0</v>
      </c>
      <c r="AS199" s="16"/>
      <c r="AT199" s="8">
        <f t="shared" si="79"/>
        <v>227386</v>
      </c>
      <c r="AU199" s="8"/>
      <c r="AV199" s="16">
        <v>0</v>
      </c>
      <c r="AW199" s="16"/>
      <c r="AX199" s="16">
        <v>0</v>
      </c>
      <c r="AY199" s="16"/>
      <c r="AZ199" s="16">
        <f t="shared" si="77"/>
        <v>5985005</v>
      </c>
      <c r="BB199" s="6" t="s">
        <v>213</v>
      </c>
      <c r="BC199" s="6"/>
      <c r="BD199" s="6" t="s">
        <v>20</v>
      </c>
      <c r="BE199" s="16"/>
      <c r="BF199" s="16">
        <f>1643792+63675</f>
        <v>1707467</v>
      </c>
      <c r="BG199" s="16"/>
      <c r="BH199" s="16">
        <v>0</v>
      </c>
      <c r="BI199" s="16"/>
      <c r="BJ199" s="16">
        <f>250018+1138513+32059+93805</f>
        <v>1514395</v>
      </c>
      <c r="BK199" s="16"/>
      <c r="BL199" s="16">
        <f>97717+5338+36744+5507</f>
        <v>145306</v>
      </c>
      <c r="BM199" s="16"/>
      <c r="BN199" s="16">
        <f t="shared" si="78"/>
        <v>3367168</v>
      </c>
      <c r="BO199" s="17"/>
      <c r="BP199" s="6"/>
      <c r="BQ199" s="6"/>
      <c r="BR199" s="6"/>
    </row>
    <row r="200" spans="1:70" ht="12.75" customHeight="1" x14ac:dyDescent="0.2">
      <c r="A200" s="6" t="s">
        <v>214</v>
      </c>
      <c r="C200" s="6" t="s">
        <v>43</v>
      </c>
      <c r="E200" s="16">
        <v>266650</v>
      </c>
      <c r="F200" s="16"/>
      <c r="G200" s="16">
        <f>6135+710384</f>
        <v>716519</v>
      </c>
      <c r="H200" s="16"/>
      <c r="I200" s="16">
        <f t="shared" si="72"/>
        <v>983169</v>
      </c>
      <c r="J200" s="16"/>
      <c r="K200" s="16">
        <v>61247</v>
      </c>
      <c r="L200" s="16"/>
      <c r="M200" s="16">
        <v>81401</v>
      </c>
      <c r="N200" s="16"/>
      <c r="O200" s="16">
        <f t="shared" si="73"/>
        <v>142648</v>
      </c>
      <c r="P200" s="16"/>
      <c r="Q200" s="16">
        <v>716519</v>
      </c>
      <c r="R200" s="16"/>
      <c r="S200" s="16">
        <v>0</v>
      </c>
      <c r="T200" s="16"/>
      <c r="U200" s="16">
        <v>124002</v>
      </c>
      <c r="V200" s="16"/>
      <c r="W200" s="16">
        <f t="shared" ref="W200:W205" si="80">SUM(Q200:U200)</f>
        <v>840521</v>
      </c>
      <c r="Z200" s="6" t="s">
        <v>214</v>
      </c>
      <c r="AA200" s="16"/>
      <c r="AB200" s="6" t="s">
        <v>43</v>
      </c>
      <c r="AD200" s="16">
        <v>1416692</v>
      </c>
      <c r="AE200" s="16"/>
      <c r="AF200" s="16">
        <f>1500073-59195</f>
        <v>1440878</v>
      </c>
      <c r="AG200" s="16"/>
      <c r="AH200" s="16">
        <v>59195</v>
      </c>
      <c r="AI200" s="16"/>
      <c r="AJ200" s="8">
        <f t="shared" si="75"/>
        <v>-83381</v>
      </c>
      <c r="AK200" s="8"/>
      <c r="AL200" s="16">
        <v>-723</v>
      </c>
      <c r="AM200" s="8"/>
      <c r="AN200" s="16">
        <v>11330</v>
      </c>
      <c r="AO200" s="16"/>
      <c r="AP200" s="16">
        <v>0</v>
      </c>
      <c r="AQ200" s="16"/>
      <c r="AR200" s="16">
        <v>0</v>
      </c>
      <c r="AS200" s="16"/>
      <c r="AT200" s="8">
        <f t="shared" si="79"/>
        <v>-72774</v>
      </c>
      <c r="AU200" s="8"/>
      <c r="AV200" s="16">
        <v>0</v>
      </c>
      <c r="AW200" s="16"/>
      <c r="AX200" s="16">
        <v>0</v>
      </c>
      <c r="AY200" s="16"/>
      <c r="AZ200" s="16">
        <f t="shared" ref="AZ200:AZ206" si="81">E200-K200</f>
        <v>205403</v>
      </c>
      <c r="BB200" s="6" t="s">
        <v>214</v>
      </c>
      <c r="BC200" s="6"/>
      <c r="BD200" s="6" t="s">
        <v>43</v>
      </c>
      <c r="BE200" s="16"/>
      <c r="BF200" s="16">
        <v>0</v>
      </c>
      <c r="BG200" s="16"/>
      <c r="BH200" s="16">
        <v>0</v>
      </c>
      <c r="BI200" s="16"/>
      <c r="BJ200" s="16">
        <v>0</v>
      </c>
      <c r="BK200" s="16"/>
      <c r="BL200" s="16">
        <f>81401+17984</f>
        <v>99385</v>
      </c>
      <c r="BM200" s="16"/>
      <c r="BN200" s="16">
        <f t="shared" si="78"/>
        <v>99385</v>
      </c>
      <c r="BO200" s="17"/>
      <c r="BP200" s="6"/>
      <c r="BQ200" s="6"/>
      <c r="BR200" s="6"/>
    </row>
    <row r="201" spans="1:70" ht="12.75" customHeight="1" x14ac:dyDescent="0.2">
      <c r="A201" s="6" t="s">
        <v>215</v>
      </c>
      <c r="B201" s="20"/>
      <c r="C201" s="6" t="s">
        <v>41</v>
      </c>
      <c r="E201" s="16">
        <v>2182429</v>
      </c>
      <c r="F201" s="16"/>
      <c r="G201" s="16">
        <v>23501192</v>
      </c>
      <c r="H201" s="16"/>
      <c r="I201" s="16">
        <f t="shared" si="72"/>
        <v>25683621</v>
      </c>
      <c r="J201" s="16"/>
      <c r="K201" s="16">
        <v>1613687</v>
      </c>
      <c r="L201" s="16"/>
      <c r="M201" s="16">
        <v>2028811</v>
      </c>
      <c r="N201" s="16"/>
      <c r="O201" s="16">
        <f t="shared" si="73"/>
        <v>3642498</v>
      </c>
      <c r="P201" s="16"/>
      <c r="Q201" s="16">
        <v>21528743</v>
      </c>
      <c r="R201" s="16"/>
      <c r="S201" s="16">
        <v>0</v>
      </c>
      <c r="T201" s="16"/>
      <c r="U201" s="16">
        <v>512380</v>
      </c>
      <c r="V201" s="16"/>
      <c r="W201" s="16">
        <f t="shared" si="80"/>
        <v>22041123</v>
      </c>
      <c r="X201" s="20"/>
      <c r="Y201" s="20"/>
      <c r="Z201" s="6" t="s">
        <v>215</v>
      </c>
      <c r="AA201" s="16"/>
      <c r="AB201" s="6" t="s">
        <v>41</v>
      </c>
      <c r="AC201" s="20"/>
      <c r="AD201" s="16">
        <v>5519628</v>
      </c>
      <c r="AE201" s="16"/>
      <c r="AF201" s="16">
        <f>5835444-665026</f>
        <v>5170418</v>
      </c>
      <c r="AG201" s="16"/>
      <c r="AH201" s="16">
        <v>665026</v>
      </c>
      <c r="AI201" s="16"/>
      <c r="AJ201" s="8">
        <f t="shared" si="75"/>
        <v>-315816</v>
      </c>
      <c r="AK201" s="8"/>
      <c r="AL201" s="16">
        <v>-76942</v>
      </c>
      <c r="AM201" s="8"/>
      <c r="AN201" s="16">
        <v>0</v>
      </c>
      <c r="AO201" s="16"/>
      <c r="AP201" s="16">
        <v>0</v>
      </c>
      <c r="AQ201" s="16"/>
      <c r="AR201" s="16">
        <f>51878+472663</f>
        <v>524541</v>
      </c>
      <c r="AS201" s="16"/>
      <c r="AT201" s="8">
        <f t="shared" si="79"/>
        <v>131783</v>
      </c>
      <c r="AU201" s="8"/>
      <c r="AV201" s="16">
        <v>0</v>
      </c>
      <c r="AW201" s="16"/>
      <c r="AX201" s="16">
        <v>0</v>
      </c>
      <c r="AY201" s="16"/>
      <c r="AZ201" s="16">
        <f t="shared" si="81"/>
        <v>568742</v>
      </c>
      <c r="BA201" s="20"/>
      <c r="BB201" s="6" t="s">
        <v>215</v>
      </c>
      <c r="BC201" s="6"/>
      <c r="BD201" s="6" t="s">
        <v>41</v>
      </c>
      <c r="BE201" s="16"/>
      <c r="BF201" s="16">
        <f>1153212+346588</f>
        <v>1499800</v>
      </c>
      <c r="BG201" s="16"/>
      <c r="BH201" s="16">
        <v>0</v>
      </c>
      <c r="BI201" s="16"/>
      <c r="BJ201" s="16">
        <f>749030+63356</f>
        <v>812386</v>
      </c>
      <c r="BK201" s="16"/>
      <c r="BL201" s="16">
        <f>79263+47306+19622</f>
        <v>146191</v>
      </c>
      <c r="BM201" s="16"/>
      <c r="BN201" s="16">
        <f t="shared" si="78"/>
        <v>2458377</v>
      </c>
      <c r="BO201" s="17"/>
      <c r="BP201" s="6"/>
      <c r="BQ201" s="6"/>
      <c r="BR201" s="6"/>
    </row>
    <row r="202" spans="1:70" ht="12.75" hidden="1" customHeight="1" x14ac:dyDescent="0.2">
      <c r="A202" s="6" t="s">
        <v>216</v>
      </c>
      <c r="C202" s="6" t="s">
        <v>25</v>
      </c>
      <c r="E202" s="16">
        <v>0</v>
      </c>
      <c r="F202" s="16"/>
      <c r="G202" s="16"/>
      <c r="H202" s="16"/>
      <c r="I202" s="16">
        <f t="shared" si="72"/>
        <v>0</v>
      </c>
      <c r="J202" s="16"/>
      <c r="K202" s="16">
        <v>0</v>
      </c>
      <c r="L202" s="16"/>
      <c r="M202" s="16"/>
      <c r="N202" s="16"/>
      <c r="O202" s="16">
        <f t="shared" si="73"/>
        <v>0</v>
      </c>
      <c r="P202" s="16"/>
      <c r="Q202" s="16"/>
      <c r="R202" s="16"/>
      <c r="S202" s="16"/>
      <c r="T202" s="16"/>
      <c r="U202" s="16"/>
      <c r="V202" s="16"/>
      <c r="W202" s="16">
        <f t="shared" si="80"/>
        <v>0</v>
      </c>
      <c r="Z202" s="6" t="s">
        <v>216</v>
      </c>
      <c r="AA202" s="16"/>
      <c r="AB202" s="6" t="s">
        <v>25</v>
      </c>
      <c r="AD202" s="16"/>
      <c r="AE202" s="16"/>
      <c r="AF202" s="16"/>
      <c r="AG202" s="16"/>
      <c r="AH202" s="16"/>
      <c r="AI202" s="16"/>
      <c r="AJ202" s="8">
        <f t="shared" si="75"/>
        <v>0</v>
      </c>
      <c r="AK202" s="8"/>
      <c r="AL202" s="16"/>
      <c r="AM202" s="8"/>
      <c r="AN202" s="16"/>
      <c r="AO202" s="16"/>
      <c r="AP202" s="16"/>
      <c r="AQ202" s="16"/>
      <c r="AR202" s="16"/>
      <c r="AS202" s="16"/>
      <c r="AT202" s="8">
        <f t="shared" si="79"/>
        <v>0</v>
      </c>
      <c r="AU202" s="8"/>
      <c r="AV202" s="16">
        <v>0</v>
      </c>
      <c r="AW202" s="16"/>
      <c r="AX202" s="16">
        <v>0</v>
      </c>
      <c r="AY202" s="16"/>
      <c r="AZ202" s="16">
        <f t="shared" si="81"/>
        <v>0</v>
      </c>
      <c r="BB202" s="6" t="s">
        <v>216</v>
      </c>
      <c r="BC202" s="6"/>
      <c r="BD202" s="6" t="s">
        <v>25</v>
      </c>
      <c r="BE202" s="16"/>
      <c r="BF202" s="16"/>
      <c r="BG202" s="16"/>
      <c r="BH202" s="16"/>
      <c r="BI202" s="16"/>
      <c r="BJ202" s="16"/>
      <c r="BK202" s="16"/>
      <c r="BL202" s="16"/>
      <c r="BM202" s="16"/>
      <c r="BN202" s="16">
        <f t="shared" si="78"/>
        <v>0</v>
      </c>
      <c r="BO202" s="17"/>
      <c r="BP202" s="6"/>
      <c r="BQ202" s="6"/>
      <c r="BR202" s="6"/>
    </row>
    <row r="203" spans="1:70" ht="12.75" customHeight="1" x14ac:dyDescent="0.2">
      <c r="A203" s="6" t="s">
        <v>217</v>
      </c>
      <c r="C203" s="6" t="s">
        <v>197</v>
      </c>
      <c r="E203" s="16">
        <v>909574</v>
      </c>
      <c r="F203" s="16"/>
      <c r="G203" s="16">
        <v>5341058</v>
      </c>
      <c r="H203" s="16"/>
      <c r="I203" s="16">
        <f t="shared" si="72"/>
        <v>6250632</v>
      </c>
      <c r="J203" s="16"/>
      <c r="K203" s="16">
        <v>214849</v>
      </c>
      <c r="L203" s="16"/>
      <c r="M203" s="16">
        <v>1287241</v>
      </c>
      <c r="N203" s="16"/>
      <c r="O203" s="16">
        <f t="shared" si="73"/>
        <v>1502090</v>
      </c>
      <c r="P203" s="16"/>
      <c r="Q203" s="16">
        <v>3979819</v>
      </c>
      <c r="R203" s="16"/>
      <c r="S203" s="16">
        <v>0</v>
      </c>
      <c r="T203" s="16"/>
      <c r="U203" s="16">
        <v>768723</v>
      </c>
      <c r="V203" s="16"/>
      <c r="W203" s="16">
        <f t="shared" si="80"/>
        <v>4748542</v>
      </c>
      <c r="Z203" s="6" t="s">
        <v>217</v>
      </c>
      <c r="AA203" s="16"/>
      <c r="AB203" s="6" t="s">
        <v>197</v>
      </c>
      <c r="AD203" s="16">
        <v>566033</v>
      </c>
      <c r="AE203" s="16"/>
      <c r="AF203" s="16">
        <f>827696-208118</f>
        <v>619578</v>
      </c>
      <c r="AG203" s="16"/>
      <c r="AH203" s="16">
        <v>208118</v>
      </c>
      <c r="AI203" s="16"/>
      <c r="AJ203" s="8">
        <f t="shared" si="75"/>
        <v>-261663</v>
      </c>
      <c r="AK203" s="8"/>
      <c r="AL203" s="16">
        <v>357469</v>
      </c>
      <c r="AM203" s="8"/>
      <c r="AN203" s="16">
        <v>0</v>
      </c>
      <c r="AO203" s="16"/>
      <c r="AP203" s="16">
        <v>0</v>
      </c>
      <c r="AQ203" s="16"/>
      <c r="AR203" s="16">
        <v>52905</v>
      </c>
      <c r="AS203" s="16"/>
      <c r="AT203" s="8">
        <f t="shared" si="79"/>
        <v>148711</v>
      </c>
      <c r="AU203" s="8"/>
      <c r="AV203" s="16">
        <v>0</v>
      </c>
      <c r="AW203" s="16"/>
      <c r="AX203" s="16">
        <v>0</v>
      </c>
      <c r="AY203" s="16"/>
      <c r="AZ203" s="16">
        <f t="shared" si="81"/>
        <v>694725</v>
      </c>
      <c r="BB203" s="6" t="s">
        <v>217</v>
      </c>
      <c r="BC203" s="6"/>
      <c r="BD203" s="6" t="s">
        <v>197</v>
      </c>
      <c r="BE203" s="16"/>
      <c r="BF203" s="16">
        <f>990000+70000</f>
        <v>1060000</v>
      </c>
      <c r="BG203" s="16"/>
      <c r="BH203" s="16">
        <v>0</v>
      </c>
      <c r="BI203" s="16"/>
      <c r="BJ203" s="16">
        <f>284248+16991</f>
        <v>301239</v>
      </c>
      <c r="BK203" s="16"/>
      <c r="BL203" s="16">
        <f>12993+16395</f>
        <v>29388</v>
      </c>
      <c r="BM203" s="16"/>
      <c r="BN203" s="16">
        <f t="shared" si="78"/>
        <v>1390627</v>
      </c>
      <c r="BO203" s="17"/>
      <c r="BP203" s="6"/>
      <c r="BQ203" s="6"/>
      <c r="BR203" s="6"/>
    </row>
    <row r="204" spans="1:70" ht="12.75" hidden="1" customHeight="1" x14ac:dyDescent="0.2">
      <c r="A204" s="6" t="s">
        <v>218</v>
      </c>
      <c r="C204" s="6" t="s">
        <v>64</v>
      </c>
      <c r="E204" s="16">
        <v>0</v>
      </c>
      <c r="F204" s="16"/>
      <c r="G204" s="16"/>
      <c r="H204" s="16"/>
      <c r="I204" s="16">
        <f t="shared" si="72"/>
        <v>0</v>
      </c>
      <c r="J204" s="16"/>
      <c r="K204" s="16">
        <v>0</v>
      </c>
      <c r="L204" s="16"/>
      <c r="M204" s="16"/>
      <c r="N204" s="16"/>
      <c r="O204" s="16">
        <f t="shared" si="73"/>
        <v>0</v>
      </c>
      <c r="P204" s="16"/>
      <c r="Q204" s="16"/>
      <c r="R204" s="16"/>
      <c r="S204" s="16"/>
      <c r="T204" s="16"/>
      <c r="U204" s="16"/>
      <c r="V204" s="16"/>
      <c r="W204" s="16">
        <f t="shared" si="80"/>
        <v>0</v>
      </c>
      <c r="Z204" s="6" t="s">
        <v>218</v>
      </c>
      <c r="AA204" s="16"/>
      <c r="AB204" s="6" t="s">
        <v>64</v>
      </c>
      <c r="AD204" s="16"/>
      <c r="AE204" s="16"/>
      <c r="AF204" s="16"/>
      <c r="AG204" s="16"/>
      <c r="AH204" s="16"/>
      <c r="AI204" s="16"/>
      <c r="AJ204" s="8">
        <f t="shared" si="75"/>
        <v>0</v>
      </c>
      <c r="AK204" s="8"/>
      <c r="AL204" s="16"/>
      <c r="AM204" s="8"/>
      <c r="AN204" s="16"/>
      <c r="AO204" s="16"/>
      <c r="AP204" s="16"/>
      <c r="AQ204" s="16"/>
      <c r="AR204" s="16"/>
      <c r="AS204" s="16"/>
      <c r="AT204" s="8">
        <f t="shared" si="79"/>
        <v>0</v>
      </c>
      <c r="AU204" s="8"/>
      <c r="AV204" s="16">
        <v>0</v>
      </c>
      <c r="AW204" s="16"/>
      <c r="AX204" s="16">
        <v>0</v>
      </c>
      <c r="AY204" s="16"/>
      <c r="AZ204" s="16">
        <f t="shared" si="81"/>
        <v>0</v>
      </c>
      <c r="BB204" s="6" t="s">
        <v>218</v>
      </c>
      <c r="BC204" s="6"/>
      <c r="BD204" s="6" t="s">
        <v>64</v>
      </c>
      <c r="BE204" s="16"/>
      <c r="BF204" s="16"/>
      <c r="BG204" s="16"/>
      <c r="BH204" s="16"/>
      <c r="BI204" s="16"/>
      <c r="BJ204" s="16"/>
      <c r="BK204" s="16"/>
      <c r="BL204" s="16"/>
      <c r="BM204" s="16"/>
      <c r="BN204" s="16">
        <f t="shared" si="78"/>
        <v>0</v>
      </c>
      <c r="BO204" s="17"/>
      <c r="BP204" s="6"/>
      <c r="BQ204" s="6"/>
      <c r="BR204" s="6"/>
    </row>
    <row r="205" spans="1:70" ht="12.75" hidden="1" customHeight="1" x14ac:dyDescent="0.2">
      <c r="A205" s="6" t="s">
        <v>219</v>
      </c>
      <c r="C205" s="6" t="s">
        <v>25</v>
      </c>
      <c r="E205" s="16">
        <v>0</v>
      </c>
      <c r="F205" s="16"/>
      <c r="G205" s="16"/>
      <c r="H205" s="16"/>
      <c r="I205" s="16">
        <f t="shared" si="72"/>
        <v>0</v>
      </c>
      <c r="J205" s="16"/>
      <c r="K205" s="16">
        <v>0</v>
      </c>
      <c r="L205" s="16"/>
      <c r="M205" s="16"/>
      <c r="N205" s="16"/>
      <c r="O205" s="16">
        <f t="shared" si="73"/>
        <v>0</v>
      </c>
      <c r="P205" s="16"/>
      <c r="Q205" s="16"/>
      <c r="R205" s="16"/>
      <c r="S205" s="16"/>
      <c r="T205" s="16"/>
      <c r="U205" s="16"/>
      <c r="V205" s="16"/>
      <c r="W205" s="16">
        <f t="shared" si="80"/>
        <v>0</v>
      </c>
      <c r="Z205" s="6" t="s">
        <v>219</v>
      </c>
      <c r="AA205" s="16"/>
      <c r="AB205" s="6" t="s">
        <v>25</v>
      </c>
      <c r="AD205" s="16"/>
      <c r="AE205" s="16"/>
      <c r="AF205" s="16"/>
      <c r="AG205" s="16"/>
      <c r="AH205" s="16"/>
      <c r="AI205" s="16"/>
      <c r="AJ205" s="8">
        <f t="shared" si="75"/>
        <v>0</v>
      </c>
      <c r="AK205" s="8"/>
      <c r="AL205" s="16"/>
      <c r="AM205" s="8"/>
      <c r="AN205" s="16"/>
      <c r="AO205" s="16"/>
      <c r="AP205" s="16"/>
      <c r="AQ205" s="16"/>
      <c r="AR205" s="16"/>
      <c r="AS205" s="16"/>
      <c r="AT205" s="8">
        <f t="shared" si="79"/>
        <v>0</v>
      </c>
      <c r="AU205" s="8"/>
      <c r="AV205" s="16">
        <v>0</v>
      </c>
      <c r="AW205" s="16"/>
      <c r="AX205" s="16">
        <v>0</v>
      </c>
      <c r="AY205" s="16"/>
      <c r="AZ205" s="16">
        <f t="shared" si="81"/>
        <v>0</v>
      </c>
      <c r="BB205" s="6" t="s">
        <v>219</v>
      </c>
      <c r="BC205" s="6"/>
      <c r="BD205" s="6" t="s">
        <v>25</v>
      </c>
      <c r="BE205" s="16"/>
      <c r="BF205" s="16"/>
      <c r="BG205" s="16"/>
      <c r="BH205" s="16"/>
      <c r="BI205" s="16"/>
      <c r="BJ205" s="16"/>
      <c r="BK205" s="16"/>
      <c r="BL205" s="16"/>
      <c r="BM205" s="16"/>
      <c r="BN205" s="16">
        <f t="shared" si="78"/>
        <v>0</v>
      </c>
      <c r="BO205" s="17"/>
      <c r="BP205" s="6"/>
      <c r="BQ205" s="6"/>
      <c r="BR205" s="6"/>
    </row>
    <row r="206" spans="1:70" ht="12.75" hidden="1" customHeight="1" x14ac:dyDescent="0.2">
      <c r="A206" s="6" t="s">
        <v>220</v>
      </c>
      <c r="C206" s="6" t="s">
        <v>45</v>
      </c>
      <c r="E206" s="16">
        <v>0</v>
      </c>
      <c r="F206" s="16"/>
      <c r="G206" s="16"/>
      <c r="H206" s="16"/>
      <c r="I206" s="16">
        <f t="shared" ref="I206" si="82">+E206+G206</f>
        <v>0</v>
      </c>
      <c r="J206" s="16"/>
      <c r="K206" s="16">
        <v>0</v>
      </c>
      <c r="L206" s="16"/>
      <c r="M206" s="16"/>
      <c r="N206" s="16"/>
      <c r="O206" s="16">
        <f t="shared" ref="O206" si="83">+K206+M206</f>
        <v>0</v>
      </c>
      <c r="P206" s="16"/>
      <c r="Q206" s="16"/>
      <c r="R206" s="16"/>
      <c r="S206" s="16"/>
      <c r="T206" s="16"/>
      <c r="U206" s="16"/>
      <c r="V206" s="16"/>
      <c r="W206" s="16">
        <f t="shared" ref="W206" si="84">SUM(Q206:U206)</f>
        <v>0</v>
      </c>
      <c r="Z206" s="6" t="s">
        <v>220</v>
      </c>
      <c r="AA206" s="16"/>
      <c r="AB206" s="6" t="s">
        <v>45</v>
      </c>
      <c r="AD206" s="16"/>
      <c r="AE206" s="16"/>
      <c r="AF206" s="16"/>
      <c r="AG206" s="16"/>
      <c r="AH206" s="16"/>
      <c r="AI206" s="16"/>
      <c r="AJ206" s="8">
        <f t="shared" ref="AJ206" si="85">+AD206-AF206-AH206</f>
        <v>0</v>
      </c>
      <c r="AK206" s="8"/>
      <c r="AL206" s="16"/>
      <c r="AM206" s="8"/>
      <c r="AN206" s="16"/>
      <c r="AO206" s="16"/>
      <c r="AP206" s="16"/>
      <c r="AQ206" s="16"/>
      <c r="AR206" s="16"/>
      <c r="AS206" s="16"/>
      <c r="AT206" s="8">
        <f t="shared" ref="AT206" si="86">+AJ206+AL206+AN206-AP206+AR206</f>
        <v>0</v>
      </c>
      <c r="AU206" s="8"/>
      <c r="AV206" s="16">
        <v>0</v>
      </c>
      <c r="AW206" s="16"/>
      <c r="AX206" s="16">
        <v>0</v>
      </c>
      <c r="AY206" s="16"/>
      <c r="AZ206" s="16">
        <f t="shared" si="81"/>
        <v>0</v>
      </c>
      <c r="BB206" s="6" t="s">
        <v>220</v>
      </c>
      <c r="BC206" s="6"/>
      <c r="BD206" s="6" t="s">
        <v>45</v>
      </c>
      <c r="BE206" s="16"/>
      <c r="BF206" s="16"/>
      <c r="BG206" s="16"/>
      <c r="BH206" s="16"/>
      <c r="BI206" s="16"/>
      <c r="BJ206" s="16"/>
      <c r="BK206" s="16"/>
      <c r="BL206" s="16"/>
      <c r="BM206" s="16"/>
      <c r="BN206" s="16">
        <f t="shared" ref="BN206" si="87">SUM(BF206:BL206)</f>
        <v>0</v>
      </c>
      <c r="BO206" s="17"/>
      <c r="BP206" s="6"/>
      <c r="BQ206" s="6"/>
      <c r="BR206" s="6"/>
    </row>
    <row r="207" spans="1:70" ht="12.75" customHeight="1" x14ac:dyDescent="0.2">
      <c r="A207" s="6" t="s">
        <v>221</v>
      </c>
      <c r="C207" s="6" t="s">
        <v>92</v>
      </c>
      <c r="E207" s="16">
        <v>4124093</v>
      </c>
      <c r="F207" s="16"/>
      <c r="G207" s="16">
        <v>8580954</v>
      </c>
      <c r="H207" s="16"/>
      <c r="I207" s="16">
        <f t="shared" ref="I207:I234" si="88">+E207+G207</f>
        <v>12705047</v>
      </c>
      <c r="J207" s="16"/>
      <c r="K207" s="16">
        <v>119088</v>
      </c>
      <c r="L207" s="16"/>
      <c r="M207" s="16">
        <v>800823</v>
      </c>
      <c r="N207" s="16"/>
      <c r="O207" s="16">
        <f t="shared" ref="O207:O234" si="89">+K207+M207</f>
        <v>919911</v>
      </c>
      <c r="P207" s="16"/>
      <c r="Q207" s="16">
        <v>7810429</v>
      </c>
      <c r="R207" s="16"/>
      <c r="S207" s="16">
        <v>0</v>
      </c>
      <c r="T207" s="16"/>
      <c r="U207" s="16">
        <v>3974707</v>
      </c>
      <c r="V207" s="16"/>
      <c r="W207" s="16">
        <f t="shared" ref="W207:W234" si="90">SUM(Q207:U207)</f>
        <v>11785136</v>
      </c>
      <c r="Z207" s="6" t="s">
        <v>221</v>
      </c>
      <c r="AA207" s="16"/>
      <c r="AB207" s="6" t="s">
        <v>92</v>
      </c>
      <c r="AD207" s="16">
        <v>1645028</v>
      </c>
      <c r="AE207" s="16"/>
      <c r="AF207" s="16">
        <f>1759997-397744</f>
        <v>1362253</v>
      </c>
      <c r="AG207" s="16"/>
      <c r="AH207" s="16">
        <v>397744</v>
      </c>
      <c r="AI207" s="16"/>
      <c r="AJ207" s="8">
        <f t="shared" ref="AJ207:AJ234" si="91">+AD207-AF207-AH207</f>
        <v>-114969</v>
      </c>
      <c r="AK207" s="8"/>
      <c r="AL207" s="16">
        <v>0</v>
      </c>
      <c r="AM207" s="8"/>
      <c r="AN207" s="16">
        <v>0</v>
      </c>
      <c r="AO207" s="16"/>
      <c r="AP207" s="16">
        <v>0</v>
      </c>
      <c r="AQ207" s="16"/>
      <c r="AR207" s="16">
        <v>0</v>
      </c>
      <c r="AS207" s="16"/>
      <c r="AT207" s="8">
        <f t="shared" si="79"/>
        <v>-114969</v>
      </c>
      <c r="AU207" s="8"/>
      <c r="AV207" s="16">
        <v>0</v>
      </c>
      <c r="AW207" s="16"/>
      <c r="AX207" s="16">
        <v>0</v>
      </c>
      <c r="AY207" s="16"/>
      <c r="AZ207" s="16">
        <f t="shared" ref="AZ207:AZ234" si="92">E207-K207</f>
        <v>4005005</v>
      </c>
      <c r="BB207" s="6" t="s">
        <v>221</v>
      </c>
      <c r="BC207" s="6"/>
      <c r="BD207" s="6" t="s">
        <v>92</v>
      </c>
      <c r="BE207" s="16"/>
      <c r="BF207" s="16">
        <v>0</v>
      </c>
      <c r="BG207" s="16"/>
      <c r="BH207" s="16">
        <v>0</v>
      </c>
      <c r="BI207" s="16"/>
      <c r="BJ207" s="16">
        <f>716329+54196</f>
        <v>770525</v>
      </c>
      <c r="BK207" s="16"/>
      <c r="BL207" s="16">
        <f>84494+2985</f>
        <v>87479</v>
      </c>
      <c r="BM207" s="16"/>
      <c r="BN207" s="16">
        <f t="shared" ref="BN207:BN227" si="93">SUM(BF207:BL207)</f>
        <v>858004</v>
      </c>
      <c r="BO207" s="17"/>
      <c r="BP207" s="6"/>
      <c r="BQ207" s="6"/>
      <c r="BR207" s="6"/>
    </row>
    <row r="208" spans="1:70" ht="12.75" customHeight="1" x14ac:dyDescent="0.2">
      <c r="A208" s="6" t="s">
        <v>74</v>
      </c>
      <c r="C208" s="6" t="s">
        <v>130</v>
      </c>
      <c r="E208" s="16">
        <v>9258132</v>
      </c>
      <c r="F208" s="16"/>
      <c r="G208" s="16">
        <v>30375338</v>
      </c>
      <c r="H208" s="16"/>
      <c r="I208" s="16">
        <f t="shared" si="88"/>
        <v>39633470</v>
      </c>
      <c r="J208" s="16"/>
      <c r="K208" s="16">
        <v>2027920</v>
      </c>
      <c r="L208" s="16"/>
      <c r="M208" s="16">
        <v>18145681</v>
      </c>
      <c r="N208" s="16"/>
      <c r="O208" s="16">
        <f t="shared" si="89"/>
        <v>20173601</v>
      </c>
      <c r="P208" s="16"/>
      <c r="Q208" s="16">
        <v>11779513</v>
      </c>
      <c r="R208" s="16"/>
      <c r="S208" s="16">
        <v>0</v>
      </c>
      <c r="T208" s="16"/>
      <c r="U208" s="16">
        <v>7680356</v>
      </c>
      <c r="V208" s="16"/>
      <c r="W208" s="16">
        <f t="shared" si="90"/>
        <v>19459869</v>
      </c>
      <c r="Z208" s="6" t="s">
        <v>74</v>
      </c>
      <c r="AA208" s="16"/>
      <c r="AB208" s="6" t="s">
        <v>130</v>
      </c>
      <c r="AD208" s="16">
        <v>5301855</v>
      </c>
      <c r="AE208" s="16"/>
      <c r="AF208" s="16">
        <f>4537221-1005476</f>
        <v>3531745</v>
      </c>
      <c r="AG208" s="16"/>
      <c r="AH208" s="16">
        <v>1005476</v>
      </c>
      <c r="AI208" s="16"/>
      <c r="AJ208" s="8">
        <f t="shared" si="91"/>
        <v>764634</v>
      </c>
      <c r="AK208" s="8"/>
      <c r="AL208" s="16">
        <v>-827524</v>
      </c>
      <c r="AM208" s="8"/>
      <c r="AN208" s="16">
        <v>0</v>
      </c>
      <c r="AO208" s="16"/>
      <c r="AP208" s="16">
        <v>94778</v>
      </c>
      <c r="AQ208" s="16"/>
      <c r="AR208" s="16">
        <v>269774</v>
      </c>
      <c r="AS208" s="16"/>
      <c r="AT208" s="8">
        <f t="shared" si="79"/>
        <v>112106</v>
      </c>
      <c r="AU208" s="8"/>
      <c r="AV208" s="16">
        <v>0</v>
      </c>
      <c r="AW208" s="16"/>
      <c r="AX208" s="16">
        <v>0</v>
      </c>
      <c r="AY208" s="16"/>
      <c r="AZ208" s="16">
        <f t="shared" si="92"/>
        <v>7230212</v>
      </c>
      <c r="BB208" s="6" t="s">
        <v>74</v>
      </c>
      <c r="BC208" s="6"/>
      <c r="BD208" s="6" t="s">
        <v>130</v>
      </c>
      <c r="BE208" s="16"/>
      <c r="BF208" s="16">
        <f>135000+5000</f>
        <v>140000</v>
      </c>
      <c r="BG208" s="16"/>
      <c r="BH208" s="16">
        <v>0</v>
      </c>
      <c r="BI208" s="16"/>
      <c r="BJ208" s="16">
        <f>17650532+189184+779897+42530</f>
        <v>18662143</v>
      </c>
      <c r="BK208" s="16"/>
      <c r="BL208" s="16">
        <f>170965+76419</f>
        <v>247384</v>
      </c>
      <c r="BM208" s="16"/>
      <c r="BN208" s="16">
        <f t="shared" si="93"/>
        <v>19049527</v>
      </c>
      <c r="BO208" s="17"/>
      <c r="BP208" s="6"/>
      <c r="BQ208" s="6"/>
      <c r="BR208" s="6"/>
    </row>
    <row r="209" spans="1:227" ht="12.75" hidden="1" customHeight="1" x14ac:dyDescent="0.2">
      <c r="A209" s="6" t="s">
        <v>222</v>
      </c>
      <c r="C209" s="6" t="s">
        <v>25</v>
      </c>
      <c r="E209" s="16">
        <v>0</v>
      </c>
      <c r="F209" s="16"/>
      <c r="G209" s="16"/>
      <c r="H209" s="16"/>
      <c r="I209" s="16">
        <f t="shared" si="88"/>
        <v>0</v>
      </c>
      <c r="J209" s="16"/>
      <c r="K209" s="16">
        <v>0</v>
      </c>
      <c r="L209" s="16"/>
      <c r="M209" s="16"/>
      <c r="N209" s="16"/>
      <c r="O209" s="16">
        <f t="shared" si="89"/>
        <v>0</v>
      </c>
      <c r="P209" s="16"/>
      <c r="Q209" s="16"/>
      <c r="R209" s="16"/>
      <c r="S209" s="16"/>
      <c r="T209" s="16"/>
      <c r="U209" s="16"/>
      <c r="V209" s="16"/>
      <c r="W209" s="16">
        <f t="shared" si="90"/>
        <v>0</v>
      </c>
      <c r="Z209" s="6" t="s">
        <v>222</v>
      </c>
      <c r="AA209" s="16"/>
      <c r="AB209" s="6" t="s">
        <v>25</v>
      </c>
      <c r="AD209" s="16"/>
      <c r="AE209" s="16"/>
      <c r="AF209" s="16"/>
      <c r="AG209" s="16"/>
      <c r="AH209" s="16"/>
      <c r="AI209" s="16"/>
      <c r="AJ209" s="8">
        <f t="shared" si="91"/>
        <v>0</v>
      </c>
      <c r="AK209" s="8"/>
      <c r="AL209" s="16"/>
      <c r="AM209" s="8"/>
      <c r="AN209" s="16"/>
      <c r="AO209" s="16"/>
      <c r="AP209" s="16"/>
      <c r="AQ209" s="16"/>
      <c r="AR209" s="16"/>
      <c r="AS209" s="16"/>
      <c r="AT209" s="8">
        <f t="shared" si="79"/>
        <v>0</v>
      </c>
      <c r="AU209" s="8"/>
      <c r="AV209" s="16">
        <v>0</v>
      </c>
      <c r="AW209" s="16"/>
      <c r="AX209" s="16">
        <v>0</v>
      </c>
      <c r="AY209" s="16"/>
      <c r="AZ209" s="16">
        <f t="shared" si="92"/>
        <v>0</v>
      </c>
      <c r="BB209" s="6" t="s">
        <v>222</v>
      </c>
      <c r="BC209" s="6"/>
      <c r="BD209" s="6" t="s">
        <v>25</v>
      </c>
      <c r="BE209" s="16"/>
      <c r="BF209" s="16"/>
      <c r="BG209" s="16"/>
      <c r="BH209" s="16"/>
      <c r="BI209" s="16"/>
      <c r="BJ209" s="16"/>
      <c r="BK209" s="16"/>
      <c r="BL209" s="16"/>
      <c r="BM209" s="16"/>
      <c r="BN209" s="16">
        <f t="shared" si="93"/>
        <v>0</v>
      </c>
      <c r="BO209" s="17"/>
      <c r="BP209" s="6"/>
      <c r="BQ209" s="6"/>
      <c r="BR209" s="6"/>
    </row>
    <row r="210" spans="1:227" ht="12.75" hidden="1" customHeight="1" x14ac:dyDescent="0.2">
      <c r="A210" s="6" t="s">
        <v>223</v>
      </c>
      <c r="C210" s="6" t="s">
        <v>25</v>
      </c>
      <c r="E210" s="16">
        <v>0</v>
      </c>
      <c r="F210" s="16"/>
      <c r="G210" s="16"/>
      <c r="H210" s="16"/>
      <c r="I210" s="16">
        <f t="shared" si="88"/>
        <v>0</v>
      </c>
      <c r="J210" s="16"/>
      <c r="K210" s="16">
        <v>0</v>
      </c>
      <c r="L210" s="16"/>
      <c r="M210" s="16"/>
      <c r="N210" s="16"/>
      <c r="O210" s="16">
        <f t="shared" si="89"/>
        <v>0</v>
      </c>
      <c r="P210" s="16"/>
      <c r="Q210" s="16"/>
      <c r="R210" s="16"/>
      <c r="S210" s="16"/>
      <c r="T210" s="16"/>
      <c r="U210" s="16"/>
      <c r="V210" s="16"/>
      <c r="W210" s="16">
        <f t="shared" si="90"/>
        <v>0</v>
      </c>
      <c r="Z210" s="6" t="s">
        <v>223</v>
      </c>
      <c r="AA210" s="16"/>
      <c r="AB210" s="6" t="s">
        <v>25</v>
      </c>
      <c r="AD210" s="16"/>
      <c r="AE210" s="16"/>
      <c r="AF210" s="16"/>
      <c r="AG210" s="16"/>
      <c r="AH210" s="16"/>
      <c r="AI210" s="16"/>
      <c r="AJ210" s="8">
        <f t="shared" si="91"/>
        <v>0</v>
      </c>
      <c r="AK210" s="8"/>
      <c r="AL210" s="16"/>
      <c r="AM210" s="8"/>
      <c r="AN210" s="16"/>
      <c r="AO210" s="16"/>
      <c r="AP210" s="16"/>
      <c r="AQ210" s="16"/>
      <c r="AR210" s="16"/>
      <c r="AS210" s="16"/>
      <c r="AT210" s="8">
        <f t="shared" si="79"/>
        <v>0</v>
      </c>
      <c r="AU210" s="8"/>
      <c r="AV210" s="16">
        <v>0</v>
      </c>
      <c r="AW210" s="16"/>
      <c r="AX210" s="16">
        <v>0</v>
      </c>
      <c r="AY210" s="16"/>
      <c r="AZ210" s="16">
        <f t="shared" si="92"/>
        <v>0</v>
      </c>
      <c r="BB210" s="6" t="s">
        <v>223</v>
      </c>
      <c r="BC210" s="6"/>
      <c r="BD210" s="6" t="s">
        <v>25</v>
      </c>
      <c r="BE210" s="16"/>
      <c r="BF210" s="16"/>
      <c r="BG210" s="16"/>
      <c r="BH210" s="16"/>
      <c r="BI210" s="16"/>
      <c r="BJ210" s="16"/>
      <c r="BK210" s="16"/>
      <c r="BL210" s="16"/>
      <c r="BM210" s="16"/>
      <c r="BN210" s="16">
        <f t="shared" si="93"/>
        <v>0</v>
      </c>
      <c r="BO210" s="17"/>
      <c r="BP210" s="6"/>
      <c r="BQ210" s="6"/>
      <c r="BR210" s="6"/>
    </row>
    <row r="211" spans="1:227" ht="12.75" hidden="1" customHeight="1" x14ac:dyDescent="0.2">
      <c r="A211" s="6" t="s">
        <v>224</v>
      </c>
      <c r="C211" s="6" t="s">
        <v>43</v>
      </c>
      <c r="E211" s="16">
        <v>0</v>
      </c>
      <c r="F211" s="16"/>
      <c r="G211" s="16"/>
      <c r="H211" s="16"/>
      <c r="I211" s="16">
        <f t="shared" si="88"/>
        <v>0</v>
      </c>
      <c r="J211" s="16"/>
      <c r="K211" s="16">
        <v>0</v>
      </c>
      <c r="L211" s="16"/>
      <c r="M211" s="16"/>
      <c r="N211" s="16"/>
      <c r="O211" s="16">
        <f t="shared" si="89"/>
        <v>0</v>
      </c>
      <c r="P211" s="16"/>
      <c r="Q211" s="16"/>
      <c r="R211" s="16"/>
      <c r="S211" s="16"/>
      <c r="T211" s="16"/>
      <c r="U211" s="16"/>
      <c r="V211" s="16"/>
      <c r="W211" s="16">
        <f t="shared" si="90"/>
        <v>0</v>
      </c>
      <c r="Z211" s="6" t="s">
        <v>224</v>
      </c>
      <c r="AA211" s="16"/>
      <c r="AB211" s="6" t="s">
        <v>43</v>
      </c>
      <c r="AD211" s="16"/>
      <c r="AE211" s="16"/>
      <c r="AF211" s="16"/>
      <c r="AG211" s="16"/>
      <c r="AH211" s="16"/>
      <c r="AI211" s="16"/>
      <c r="AJ211" s="8">
        <f t="shared" si="91"/>
        <v>0</v>
      </c>
      <c r="AK211" s="8"/>
      <c r="AL211" s="16"/>
      <c r="AM211" s="8"/>
      <c r="AN211" s="16"/>
      <c r="AO211" s="16"/>
      <c r="AP211" s="16"/>
      <c r="AQ211" s="16"/>
      <c r="AR211" s="16"/>
      <c r="AS211" s="16"/>
      <c r="AT211" s="8">
        <f t="shared" si="79"/>
        <v>0</v>
      </c>
      <c r="AU211" s="8"/>
      <c r="AV211" s="16">
        <v>0</v>
      </c>
      <c r="AW211" s="16"/>
      <c r="AX211" s="16">
        <v>0</v>
      </c>
      <c r="AY211" s="16"/>
      <c r="AZ211" s="16">
        <f t="shared" si="92"/>
        <v>0</v>
      </c>
      <c r="BB211" s="6" t="s">
        <v>224</v>
      </c>
      <c r="BC211" s="6"/>
      <c r="BD211" s="6" t="s">
        <v>43</v>
      </c>
      <c r="BE211" s="16"/>
      <c r="BF211" s="16"/>
      <c r="BG211" s="16"/>
      <c r="BH211" s="16"/>
      <c r="BI211" s="16"/>
      <c r="BJ211" s="16"/>
      <c r="BK211" s="16"/>
      <c r="BL211" s="16"/>
      <c r="BM211" s="16"/>
      <c r="BN211" s="16">
        <f t="shared" si="93"/>
        <v>0</v>
      </c>
      <c r="BO211" s="17"/>
      <c r="BP211" s="6"/>
      <c r="BQ211" s="6"/>
      <c r="BR211" s="6"/>
    </row>
    <row r="212" spans="1:227" ht="12.75" customHeight="1" x14ac:dyDescent="0.2">
      <c r="A212" s="6" t="s">
        <v>225</v>
      </c>
      <c r="B212" s="6"/>
      <c r="C212" s="6" t="s">
        <v>15</v>
      </c>
      <c r="E212" s="16">
        <v>167119</v>
      </c>
      <c r="F212" s="16"/>
      <c r="G212" s="16">
        <v>503222</v>
      </c>
      <c r="H212" s="16"/>
      <c r="I212" s="16">
        <f t="shared" si="88"/>
        <v>670341</v>
      </c>
      <c r="J212" s="16"/>
      <c r="K212" s="16">
        <v>83573</v>
      </c>
      <c r="L212" s="16"/>
      <c r="M212" s="16">
        <v>26537</v>
      </c>
      <c r="N212" s="16"/>
      <c r="O212" s="16">
        <f t="shared" si="89"/>
        <v>110110</v>
      </c>
      <c r="P212" s="16"/>
      <c r="Q212" s="16">
        <v>443222</v>
      </c>
      <c r="R212" s="16"/>
      <c r="S212" s="16">
        <v>0</v>
      </c>
      <c r="T212" s="16"/>
      <c r="U212" s="16">
        <v>117009</v>
      </c>
      <c r="V212" s="16"/>
      <c r="W212" s="16">
        <f t="shared" si="90"/>
        <v>560231</v>
      </c>
      <c r="Z212" s="6" t="s">
        <v>225</v>
      </c>
      <c r="AA212" s="16"/>
      <c r="AB212" s="6" t="s">
        <v>15</v>
      </c>
      <c r="AC212" s="6"/>
      <c r="AD212" s="16">
        <v>658811</v>
      </c>
      <c r="AE212" s="16"/>
      <c r="AF212" s="16">
        <f>680655-17675</f>
        <v>662980</v>
      </c>
      <c r="AG212" s="16"/>
      <c r="AH212" s="16">
        <v>17675</v>
      </c>
      <c r="AI212" s="16"/>
      <c r="AJ212" s="8">
        <f t="shared" si="91"/>
        <v>-21844</v>
      </c>
      <c r="AK212" s="8"/>
      <c r="AL212" s="16">
        <v>-2193</v>
      </c>
      <c r="AM212" s="8"/>
      <c r="AN212" s="16">
        <v>0</v>
      </c>
      <c r="AO212" s="16"/>
      <c r="AP212" s="16">
        <v>0</v>
      </c>
      <c r="AQ212" s="16"/>
      <c r="AR212" s="16">
        <v>0</v>
      </c>
      <c r="AS212" s="16"/>
      <c r="AT212" s="8">
        <f t="shared" si="79"/>
        <v>-24037</v>
      </c>
      <c r="AU212" s="8"/>
      <c r="AV212" s="16">
        <v>0</v>
      </c>
      <c r="AW212" s="16"/>
      <c r="AX212" s="16">
        <v>0</v>
      </c>
      <c r="AY212" s="16"/>
      <c r="AZ212" s="16">
        <f t="shared" si="92"/>
        <v>83546</v>
      </c>
      <c r="BB212" s="6" t="s">
        <v>225</v>
      </c>
      <c r="BC212" s="6"/>
      <c r="BD212" s="6" t="s">
        <v>15</v>
      </c>
      <c r="BE212" s="16"/>
      <c r="BF212" s="16">
        <v>0</v>
      </c>
      <c r="BG212" s="16"/>
      <c r="BH212" s="16">
        <v>0</v>
      </c>
      <c r="BI212" s="16"/>
      <c r="BJ212" s="16">
        <v>0</v>
      </c>
      <c r="BK212" s="16"/>
      <c r="BL212" s="16">
        <v>26537</v>
      </c>
      <c r="BM212" s="16"/>
      <c r="BN212" s="16">
        <f t="shared" si="93"/>
        <v>26537</v>
      </c>
      <c r="BO212" s="17"/>
      <c r="BP212" s="6"/>
      <c r="BQ212" s="6"/>
      <c r="BR212" s="6"/>
    </row>
    <row r="213" spans="1:227" ht="12.75" customHeight="1" x14ac:dyDescent="0.2">
      <c r="A213" s="6" t="s">
        <v>226</v>
      </c>
      <c r="C213" s="6" t="s">
        <v>151</v>
      </c>
      <c r="E213" s="16">
        <v>1063806</v>
      </c>
      <c r="F213" s="16"/>
      <c r="G213" s="16">
        <v>9985948</v>
      </c>
      <c r="H213" s="16"/>
      <c r="I213" s="16">
        <f t="shared" si="88"/>
        <v>11049754</v>
      </c>
      <c r="J213" s="16"/>
      <c r="K213" s="16">
        <v>345304</v>
      </c>
      <c r="L213" s="16"/>
      <c r="M213" s="16">
        <v>1975080</v>
      </c>
      <c r="N213" s="16"/>
      <c r="O213" s="16">
        <f t="shared" si="89"/>
        <v>2320384</v>
      </c>
      <c r="P213" s="16"/>
      <c r="Q213" s="16">
        <v>7818018</v>
      </c>
      <c r="R213" s="16"/>
      <c r="S213" s="16">
        <v>0</v>
      </c>
      <c r="T213" s="16"/>
      <c r="U213" s="16">
        <v>911352</v>
      </c>
      <c r="V213" s="16"/>
      <c r="W213" s="16">
        <f t="shared" si="90"/>
        <v>8729370</v>
      </c>
      <c r="Z213" s="6" t="s">
        <v>226</v>
      </c>
      <c r="AA213" s="16"/>
      <c r="AB213" s="6" t="s">
        <v>151</v>
      </c>
      <c r="AD213" s="16">
        <v>1906092</v>
      </c>
      <c r="AE213" s="16"/>
      <c r="AF213" s="16">
        <f>1846728-333941</f>
        <v>1512787</v>
      </c>
      <c r="AG213" s="16"/>
      <c r="AH213" s="16">
        <v>333941</v>
      </c>
      <c r="AI213" s="16"/>
      <c r="AJ213" s="8">
        <f t="shared" si="91"/>
        <v>59364</v>
      </c>
      <c r="AK213" s="8"/>
      <c r="AL213" s="16">
        <v>-61166</v>
      </c>
      <c r="AM213" s="8"/>
      <c r="AN213" s="16">
        <v>0</v>
      </c>
      <c r="AO213" s="16"/>
      <c r="AP213" s="16">
        <v>0</v>
      </c>
      <c r="AQ213" s="16"/>
      <c r="AR213" s="16">
        <v>0</v>
      </c>
      <c r="AS213" s="16"/>
      <c r="AT213" s="8">
        <f t="shared" si="79"/>
        <v>-1802</v>
      </c>
      <c r="AU213" s="8"/>
      <c r="AV213" s="16">
        <v>0</v>
      </c>
      <c r="AW213" s="16"/>
      <c r="AX213" s="16">
        <v>0</v>
      </c>
      <c r="AY213" s="16"/>
      <c r="AZ213" s="16">
        <f t="shared" si="92"/>
        <v>718502</v>
      </c>
      <c r="BB213" s="6" t="s">
        <v>226</v>
      </c>
      <c r="BC213" s="6"/>
      <c r="BD213" s="6" t="s">
        <v>151</v>
      </c>
      <c r="BE213" s="16"/>
      <c r="BF213" s="16">
        <f>1938218+229712</f>
        <v>2167930</v>
      </c>
      <c r="BG213" s="16"/>
      <c r="BH213" s="16">
        <v>0</v>
      </c>
      <c r="BI213" s="16"/>
      <c r="BJ213" s="16">
        <v>0</v>
      </c>
      <c r="BK213" s="16"/>
      <c r="BL213" s="16">
        <f>36862+14938</f>
        <v>51800</v>
      </c>
      <c r="BM213" s="16"/>
      <c r="BN213" s="16">
        <f t="shared" si="93"/>
        <v>2219730</v>
      </c>
      <c r="BO213" s="17"/>
      <c r="BQ213" s="6"/>
      <c r="BR213" s="6"/>
    </row>
    <row r="214" spans="1:227" ht="12.75" customHeight="1" x14ac:dyDescent="0.2">
      <c r="A214" s="6" t="s">
        <v>227</v>
      </c>
      <c r="C214" s="6" t="s">
        <v>226</v>
      </c>
      <c r="E214" s="16">
        <v>4677926</v>
      </c>
      <c r="F214" s="16"/>
      <c r="G214" s="16">
        <v>16093716</v>
      </c>
      <c r="H214" s="16"/>
      <c r="I214" s="16">
        <f t="shared" si="88"/>
        <v>20771642</v>
      </c>
      <c r="J214" s="16"/>
      <c r="K214" s="16">
        <v>632872</v>
      </c>
      <c r="L214" s="16"/>
      <c r="M214" s="16">
        <v>7073009</v>
      </c>
      <c r="N214" s="16"/>
      <c r="O214" s="16">
        <f t="shared" si="89"/>
        <v>7705881</v>
      </c>
      <c r="P214" s="16"/>
      <c r="Q214" s="16">
        <v>9759967</v>
      </c>
      <c r="R214" s="16"/>
      <c r="S214" s="16">
        <v>0</v>
      </c>
      <c r="T214" s="16"/>
      <c r="U214" s="16">
        <v>3305794</v>
      </c>
      <c r="V214" s="16"/>
      <c r="W214" s="16">
        <f t="shared" si="90"/>
        <v>13065761</v>
      </c>
      <c r="X214" s="6"/>
      <c r="Y214" s="6"/>
      <c r="Z214" s="6" t="s">
        <v>227</v>
      </c>
      <c r="AA214" s="16"/>
      <c r="AB214" s="6" t="s">
        <v>226</v>
      </c>
      <c r="AD214" s="16">
        <v>3512002</v>
      </c>
      <c r="AE214" s="16"/>
      <c r="AF214" s="16">
        <f>3534550-530080</f>
        <v>3004470</v>
      </c>
      <c r="AG214" s="16"/>
      <c r="AH214" s="16">
        <v>530080</v>
      </c>
      <c r="AI214" s="16"/>
      <c r="AJ214" s="8">
        <f t="shared" si="91"/>
        <v>-22548</v>
      </c>
      <c r="AK214" s="8"/>
      <c r="AL214" s="16">
        <v>-25777</v>
      </c>
      <c r="AM214" s="8"/>
      <c r="AN214" s="16">
        <v>8897</v>
      </c>
      <c r="AO214" s="16"/>
      <c r="AP214" s="16">
        <v>0</v>
      </c>
      <c r="AQ214" s="16"/>
      <c r="AR214" s="16">
        <v>0</v>
      </c>
      <c r="AS214" s="16"/>
      <c r="AT214" s="8">
        <f t="shared" si="79"/>
        <v>-39428</v>
      </c>
      <c r="AU214" s="8"/>
      <c r="AV214" s="16">
        <v>0</v>
      </c>
      <c r="AW214" s="16"/>
      <c r="AX214" s="16">
        <v>0</v>
      </c>
      <c r="AY214" s="16"/>
      <c r="AZ214" s="16">
        <f t="shared" si="92"/>
        <v>4045054</v>
      </c>
      <c r="BB214" s="6" t="s">
        <v>227</v>
      </c>
      <c r="BC214" s="6"/>
      <c r="BD214" s="6" t="s">
        <v>226</v>
      </c>
      <c r="BE214" s="16"/>
      <c r="BF214" s="16">
        <f>6873606+295518</f>
        <v>7169124</v>
      </c>
      <c r="BG214" s="16"/>
      <c r="BH214" s="16">
        <v>0</v>
      </c>
      <c r="BI214" s="16"/>
      <c r="BJ214" s="16">
        <v>0</v>
      </c>
      <c r="BK214" s="16"/>
      <c r="BL214" s="16">
        <f>199403+1543</f>
        <v>200946</v>
      </c>
      <c r="BM214" s="16"/>
      <c r="BN214" s="16">
        <f t="shared" si="93"/>
        <v>7370070</v>
      </c>
      <c r="BO214" s="17"/>
      <c r="BP214" s="6"/>
      <c r="BQ214" s="6"/>
      <c r="BR214" s="6"/>
    </row>
    <row r="215" spans="1:227" ht="12.75" hidden="1" customHeight="1" x14ac:dyDescent="0.2">
      <c r="A215" s="6" t="s">
        <v>228</v>
      </c>
      <c r="C215" s="6" t="s">
        <v>43</v>
      </c>
      <c r="E215" s="16">
        <v>0</v>
      </c>
      <c r="F215" s="16"/>
      <c r="G215" s="16"/>
      <c r="H215" s="16"/>
      <c r="I215" s="16">
        <f t="shared" si="88"/>
        <v>0</v>
      </c>
      <c r="J215" s="16"/>
      <c r="K215" s="16">
        <v>0</v>
      </c>
      <c r="L215" s="16"/>
      <c r="M215" s="16"/>
      <c r="N215" s="16"/>
      <c r="O215" s="16">
        <f t="shared" si="89"/>
        <v>0</v>
      </c>
      <c r="P215" s="16"/>
      <c r="Q215" s="16"/>
      <c r="R215" s="16"/>
      <c r="S215" s="16"/>
      <c r="T215" s="16"/>
      <c r="U215" s="16"/>
      <c r="V215" s="16"/>
      <c r="W215" s="16">
        <f t="shared" si="90"/>
        <v>0</v>
      </c>
      <c r="Z215" s="6" t="s">
        <v>228</v>
      </c>
      <c r="AA215" s="16"/>
      <c r="AB215" s="6" t="s">
        <v>43</v>
      </c>
      <c r="AD215" s="16"/>
      <c r="AE215" s="16"/>
      <c r="AF215" s="16"/>
      <c r="AG215" s="16"/>
      <c r="AH215" s="16"/>
      <c r="AI215" s="16"/>
      <c r="AJ215" s="8">
        <f t="shared" si="91"/>
        <v>0</v>
      </c>
      <c r="AK215" s="8"/>
      <c r="AL215" s="16"/>
      <c r="AM215" s="8"/>
      <c r="AN215" s="16"/>
      <c r="AO215" s="16"/>
      <c r="AP215" s="16"/>
      <c r="AQ215" s="16"/>
      <c r="AR215" s="16"/>
      <c r="AS215" s="16"/>
      <c r="AT215" s="8">
        <f t="shared" si="79"/>
        <v>0</v>
      </c>
      <c r="AU215" s="8"/>
      <c r="AV215" s="16">
        <v>0</v>
      </c>
      <c r="AW215" s="16"/>
      <c r="AX215" s="16">
        <v>0</v>
      </c>
      <c r="AY215" s="16"/>
      <c r="AZ215" s="16">
        <f t="shared" si="92"/>
        <v>0</v>
      </c>
      <c r="BB215" s="6" t="s">
        <v>228</v>
      </c>
      <c r="BC215" s="6"/>
      <c r="BD215" s="6" t="s">
        <v>43</v>
      </c>
      <c r="BE215" s="16"/>
      <c r="BF215" s="16"/>
      <c r="BG215" s="16"/>
      <c r="BH215" s="16"/>
      <c r="BI215" s="16"/>
      <c r="BJ215" s="16"/>
      <c r="BK215" s="16"/>
      <c r="BL215" s="16"/>
      <c r="BM215" s="16"/>
      <c r="BN215" s="16">
        <f t="shared" si="93"/>
        <v>0</v>
      </c>
      <c r="BO215" s="17"/>
      <c r="BP215" s="7"/>
      <c r="BQ215" s="6"/>
      <c r="BR215" s="6"/>
    </row>
    <row r="216" spans="1:227" s="19" customFormat="1" ht="12.75" customHeight="1" x14ac:dyDescent="0.2">
      <c r="A216" s="6" t="s">
        <v>229</v>
      </c>
      <c r="B216" s="14"/>
      <c r="C216" s="6" t="s">
        <v>25</v>
      </c>
      <c r="D216" s="7"/>
      <c r="E216" s="16">
        <v>8189262</v>
      </c>
      <c r="F216" s="16"/>
      <c r="G216" s="16">
        <v>62182687</v>
      </c>
      <c r="H216" s="16"/>
      <c r="I216" s="16">
        <f t="shared" si="88"/>
        <v>70371949</v>
      </c>
      <c r="J216" s="16"/>
      <c r="K216" s="16">
        <v>2041546</v>
      </c>
      <c r="L216" s="16"/>
      <c r="M216" s="16">
        <v>9980518</v>
      </c>
      <c r="N216" s="16"/>
      <c r="O216" s="16">
        <f t="shared" si="89"/>
        <v>12022064</v>
      </c>
      <c r="P216" s="16"/>
      <c r="Q216" s="16">
        <v>50641200</v>
      </c>
      <c r="R216" s="16"/>
      <c r="S216" s="16">
        <v>0</v>
      </c>
      <c r="T216" s="16"/>
      <c r="U216" s="16">
        <v>7708685</v>
      </c>
      <c r="V216" s="16"/>
      <c r="W216" s="16">
        <f t="shared" si="90"/>
        <v>58349885</v>
      </c>
      <c r="X216" s="14"/>
      <c r="Y216" s="14"/>
      <c r="Z216" s="6" t="s">
        <v>229</v>
      </c>
      <c r="AA216" s="16"/>
      <c r="AB216" s="6" t="s">
        <v>25</v>
      </c>
      <c r="AC216" s="14"/>
      <c r="AD216" s="16">
        <v>6452746</v>
      </c>
      <c r="AE216" s="16"/>
      <c r="AF216" s="16">
        <f>5020995-1789047</f>
        <v>3231948</v>
      </c>
      <c r="AG216" s="16"/>
      <c r="AH216" s="16">
        <v>1789047</v>
      </c>
      <c r="AI216" s="16"/>
      <c r="AJ216" s="8">
        <f t="shared" si="91"/>
        <v>1431751</v>
      </c>
      <c r="AK216" s="8"/>
      <c r="AL216" s="16">
        <v>-174590</v>
      </c>
      <c r="AM216" s="8"/>
      <c r="AN216" s="16">
        <v>0</v>
      </c>
      <c r="AO216" s="16"/>
      <c r="AP216" s="16">
        <v>0</v>
      </c>
      <c r="AQ216" s="16"/>
      <c r="AR216" s="16">
        <v>591592</v>
      </c>
      <c r="AS216" s="16"/>
      <c r="AT216" s="8">
        <f t="shared" si="79"/>
        <v>1848753</v>
      </c>
      <c r="AU216" s="8"/>
      <c r="AV216" s="16">
        <v>0</v>
      </c>
      <c r="AW216" s="16"/>
      <c r="AX216" s="16">
        <v>0</v>
      </c>
      <c r="AY216" s="16"/>
      <c r="AZ216" s="16">
        <f t="shared" si="92"/>
        <v>6147716</v>
      </c>
      <c r="BA216" s="14"/>
      <c r="BB216" s="6" t="s">
        <v>229</v>
      </c>
      <c r="BC216" s="6"/>
      <c r="BD216" s="6" t="s">
        <v>25</v>
      </c>
      <c r="BE216" s="16"/>
      <c r="BF216" s="16">
        <v>0</v>
      </c>
      <c r="BG216" s="16"/>
      <c r="BH216" s="16">
        <v>0</v>
      </c>
      <c r="BI216" s="16"/>
      <c r="BJ216" s="16">
        <f>9892703+1648784</f>
        <v>11541487</v>
      </c>
      <c r="BK216" s="16"/>
      <c r="BL216" s="16">
        <f>87815+72059</f>
        <v>159874</v>
      </c>
      <c r="BM216" s="16"/>
      <c r="BN216" s="16">
        <f t="shared" si="93"/>
        <v>11701361</v>
      </c>
      <c r="BO216" s="37"/>
      <c r="BS216" s="36"/>
      <c r="BT216" s="36"/>
      <c r="BU216" s="41"/>
      <c r="BV216" s="36"/>
      <c r="BW216" s="36"/>
      <c r="BX216" s="36"/>
      <c r="BY216" s="36"/>
      <c r="BZ216" s="36"/>
      <c r="CA216" s="36"/>
      <c r="CB216" s="36"/>
      <c r="CC216" s="36"/>
      <c r="CD216" s="36"/>
      <c r="CE216" s="36"/>
      <c r="CF216" s="36"/>
      <c r="CG216" s="36"/>
      <c r="CH216" s="36"/>
      <c r="CI216" s="36"/>
      <c r="CJ216" s="36"/>
      <c r="CK216" s="36"/>
      <c r="CL216" s="36"/>
      <c r="CM216" s="36"/>
      <c r="CN216" s="36"/>
      <c r="CO216" s="36"/>
      <c r="CP216" s="36"/>
      <c r="CQ216" s="36"/>
    </row>
    <row r="217" spans="1:227" ht="12.75" hidden="1" customHeight="1" x14ac:dyDescent="0.2">
      <c r="A217" s="6" t="s">
        <v>230</v>
      </c>
      <c r="C217" s="6" t="s">
        <v>25</v>
      </c>
      <c r="E217" s="16">
        <v>0</v>
      </c>
      <c r="F217" s="16"/>
      <c r="G217" s="16"/>
      <c r="H217" s="16"/>
      <c r="I217" s="16">
        <f t="shared" si="88"/>
        <v>0</v>
      </c>
      <c r="J217" s="16"/>
      <c r="K217" s="16">
        <v>0</v>
      </c>
      <c r="L217" s="16"/>
      <c r="M217" s="16"/>
      <c r="N217" s="16"/>
      <c r="O217" s="16">
        <f t="shared" si="89"/>
        <v>0</v>
      </c>
      <c r="P217" s="16"/>
      <c r="Q217" s="16"/>
      <c r="R217" s="16"/>
      <c r="S217" s="16"/>
      <c r="T217" s="16"/>
      <c r="U217" s="16"/>
      <c r="V217" s="16"/>
      <c r="W217" s="16">
        <f t="shared" si="90"/>
        <v>0</v>
      </c>
      <c r="Z217" s="6" t="s">
        <v>230</v>
      </c>
      <c r="AA217" s="16"/>
      <c r="AB217" s="6" t="s">
        <v>25</v>
      </c>
      <c r="AD217" s="16"/>
      <c r="AE217" s="16"/>
      <c r="AF217" s="16"/>
      <c r="AG217" s="16"/>
      <c r="AH217" s="16"/>
      <c r="AI217" s="16"/>
      <c r="AJ217" s="8">
        <f t="shared" si="91"/>
        <v>0</v>
      </c>
      <c r="AK217" s="8"/>
      <c r="AL217" s="16"/>
      <c r="AM217" s="8"/>
      <c r="AN217" s="16"/>
      <c r="AO217" s="16"/>
      <c r="AP217" s="16"/>
      <c r="AQ217" s="16"/>
      <c r="AR217" s="16"/>
      <c r="AS217" s="16"/>
      <c r="AT217" s="8">
        <f t="shared" si="79"/>
        <v>0</v>
      </c>
      <c r="AU217" s="8"/>
      <c r="AV217" s="16">
        <v>0</v>
      </c>
      <c r="AW217" s="16"/>
      <c r="AX217" s="16">
        <v>0</v>
      </c>
      <c r="AY217" s="16"/>
      <c r="AZ217" s="16">
        <f t="shared" si="92"/>
        <v>0</v>
      </c>
      <c r="BB217" s="6" t="s">
        <v>230</v>
      </c>
      <c r="BC217" s="6"/>
      <c r="BD217" s="6" t="s">
        <v>25</v>
      </c>
      <c r="BE217" s="16"/>
      <c r="BF217" s="16"/>
      <c r="BG217" s="16"/>
      <c r="BH217" s="16"/>
      <c r="BI217" s="16"/>
      <c r="BJ217" s="16"/>
      <c r="BK217" s="16"/>
      <c r="BL217" s="16"/>
      <c r="BM217" s="16"/>
      <c r="BN217" s="16">
        <f t="shared" si="93"/>
        <v>0</v>
      </c>
      <c r="BO217" s="17"/>
      <c r="BP217" s="65"/>
      <c r="BQ217" s="65"/>
      <c r="BR217" s="65"/>
      <c r="CR217" s="65"/>
      <c r="CS217" s="65"/>
      <c r="CT217" s="65"/>
      <c r="CU217" s="65"/>
      <c r="CV217" s="65"/>
      <c r="CW217" s="65"/>
      <c r="CX217" s="65"/>
      <c r="CY217" s="65"/>
      <c r="CZ217" s="65"/>
      <c r="DA217" s="65"/>
      <c r="DB217" s="65"/>
      <c r="DC217" s="65"/>
      <c r="DD217" s="65"/>
      <c r="DE217" s="65"/>
      <c r="DF217" s="65"/>
      <c r="DG217" s="65"/>
      <c r="DH217" s="65"/>
      <c r="DI217" s="65"/>
      <c r="DJ217" s="65"/>
      <c r="DK217" s="65"/>
      <c r="DL217" s="65"/>
      <c r="DM217" s="65"/>
      <c r="DN217" s="65"/>
      <c r="DO217" s="65"/>
      <c r="DP217" s="65"/>
      <c r="DQ217" s="65"/>
      <c r="DR217" s="65"/>
      <c r="DS217" s="65"/>
      <c r="DT217" s="65"/>
      <c r="DU217" s="65"/>
      <c r="DV217" s="65"/>
      <c r="DW217" s="65"/>
      <c r="DX217" s="65"/>
      <c r="DY217" s="65"/>
      <c r="DZ217" s="65"/>
      <c r="EA217" s="65"/>
      <c r="EB217" s="65"/>
      <c r="EC217" s="65"/>
      <c r="ED217" s="65"/>
      <c r="EE217" s="65"/>
      <c r="EF217" s="65"/>
      <c r="EG217" s="65"/>
      <c r="EH217" s="65"/>
      <c r="EI217" s="65"/>
      <c r="EJ217" s="65"/>
      <c r="EK217" s="65"/>
      <c r="EL217" s="65"/>
      <c r="EM217" s="65"/>
      <c r="EN217" s="65"/>
      <c r="EO217" s="65"/>
      <c r="EP217" s="65"/>
      <c r="EQ217" s="65"/>
      <c r="ER217" s="65"/>
      <c r="ES217" s="65"/>
      <c r="ET217" s="65"/>
      <c r="EU217" s="65"/>
      <c r="EV217" s="65"/>
      <c r="EW217" s="65"/>
      <c r="EX217" s="65"/>
      <c r="EY217" s="65"/>
      <c r="EZ217" s="65"/>
      <c r="FA217" s="65"/>
      <c r="FB217" s="65"/>
      <c r="FC217" s="65"/>
      <c r="FD217" s="65"/>
      <c r="FE217" s="65"/>
      <c r="FF217" s="65"/>
      <c r="FG217" s="65"/>
      <c r="FH217" s="65"/>
      <c r="FI217" s="65"/>
      <c r="FJ217" s="65"/>
      <c r="FK217" s="65"/>
      <c r="FL217" s="65"/>
      <c r="FM217" s="65"/>
      <c r="FN217" s="65"/>
      <c r="FO217" s="65"/>
      <c r="FP217" s="65"/>
      <c r="FQ217" s="65"/>
      <c r="FR217" s="65"/>
      <c r="FS217" s="65"/>
      <c r="FT217" s="65"/>
      <c r="FU217" s="65"/>
      <c r="FV217" s="65"/>
      <c r="FW217" s="65"/>
      <c r="FX217" s="65"/>
      <c r="FY217" s="65"/>
      <c r="FZ217" s="65"/>
      <c r="GA217" s="65"/>
      <c r="GB217" s="65"/>
      <c r="GC217" s="65"/>
      <c r="GD217" s="65"/>
      <c r="GE217" s="65"/>
      <c r="GF217" s="65"/>
      <c r="GG217" s="65"/>
      <c r="GH217" s="65"/>
      <c r="GI217" s="65"/>
      <c r="GJ217" s="65"/>
      <c r="GK217" s="65"/>
      <c r="GL217" s="65"/>
      <c r="GM217" s="65"/>
      <c r="GN217" s="65"/>
      <c r="GO217" s="65"/>
      <c r="GP217" s="65"/>
      <c r="GQ217" s="65"/>
      <c r="GR217" s="65"/>
      <c r="GS217" s="65"/>
      <c r="GT217" s="65"/>
      <c r="GU217" s="65"/>
      <c r="GV217" s="65"/>
      <c r="GW217" s="65"/>
      <c r="GX217" s="65"/>
      <c r="GY217" s="65"/>
      <c r="GZ217" s="65"/>
      <c r="HA217" s="65"/>
      <c r="HB217" s="65"/>
      <c r="HC217" s="65"/>
      <c r="HD217" s="65"/>
      <c r="HE217" s="65"/>
      <c r="HF217" s="65"/>
      <c r="HG217" s="65"/>
      <c r="HH217" s="65"/>
      <c r="HI217" s="65"/>
      <c r="HJ217" s="65"/>
      <c r="HK217" s="65"/>
      <c r="HL217" s="65"/>
      <c r="HM217" s="65"/>
      <c r="HN217" s="65"/>
      <c r="HO217" s="65"/>
      <c r="HP217" s="65"/>
      <c r="HQ217" s="65"/>
      <c r="HR217" s="65"/>
      <c r="HS217" s="65"/>
    </row>
    <row r="218" spans="1:227" ht="12.75" customHeight="1" x14ac:dyDescent="0.2">
      <c r="A218" s="6" t="s">
        <v>231</v>
      </c>
      <c r="C218" s="6" t="s">
        <v>109</v>
      </c>
      <c r="E218" s="16">
        <v>4174294</v>
      </c>
      <c r="F218" s="16"/>
      <c r="G218" s="16">
        <v>28657844</v>
      </c>
      <c r="H218" s="16"/>
      <c r="I218" s="16">
        <f t="shared" si="88"/>
        <v>32832138</v>
      </c>
      <c r="J218" s="16"/>
      <c r="K218" s="16">
        <v>1187511</v>
      </c>
      <c r="L218" s="16"/>
      <c r="M218" s="16">
        <v>9265136</v>
      </c>
      <c r="N218" s="16"/>
      <c r="O218" s="16">
        <f t="shared" si="89"/>
        <v>10452647</v>
      </c>
      <c r="P218" s="16"/>
      <c r="Q218" s="16">
        <v>18536992</v>
      </c>
      <c r="R218" s="16"/>
      <c r="S218" s="16">
        <v>322862</v>
      </c>
      <c r="T218" s="16"/>
      <c r="U218" s="16">
        <v>3954649</v>
      </c>
      <c r="V218" s="16"/>
      <c r="W218" s="16">
        <f t="shared" si="90"/>
        <v>22814503</v>
      </c>
      <c r="Z218" s="6" t="s">
        <v>231</v>
      </c>
      <c r="AA218" s="16"/>
      <c r="AB218" s="6" t="s">
        <v>109</v>
      </c>
      <c r="AD218" s="16">
        <v>4892729</v>
      </c>
      <c r="AE218" s="16"/>
      <c r="AF218" s="16">
        <f>3216185-644209</f>
        <v>2571976</v>
      </c>
      <c r="AG218" s="16"/>
      <c r="AH218" s="16">
        <v>644209</v>
      </c>
      <c r="AI218" s="16"/>
      <c r="AJ218" s="8">
        <f t="shared" si="91"/>
        <v>1676544</v>
      </c>
      <c r="AK218" s="8"/>
      <c r="AL218" s="16">
        <v>-444212</v>
      </c>
      <c r="AM218" s="8"/>
      <c r="AN218" s="16">
        <v>219093</v>
      </c>
      <c r="AO218" s="16"/>
      <c r="AP218" s="16">
        <v>90545</v>
      </c>
      <c r="AQ218" s="16"/>
      <c r="AR218" s="16">
        <v>293185</v>
      </c>
      <c r="AS218" s="16"/>
      <c r="AT218" s="8">
        <f t="shared" si="79"/>
        <v>1654065</v>
      </c>
      <c r="AU218" s="8"/>
      <c r="AV218" s="16">
        <v>0</v>
      </c>
      <c r="AW218" s="16"/>
      <c r="AX218" s="16">
        <v>0</v>
      </c>
      <c r="AY218" s="16"/>
      <c r="AZ218" s="16">
        <f t="shared" si="92"/>
        <v>2986783</v>
      </c>
      <c r="BB218" s="6" t="s">
        <v>231</v>
      </c>
      <c r="BC218" s="6"/>
      <c r="BD218" s="6" t="s">
        <v>109</v>
      </c>
      <c r="BE218" s="16"/>
      <c r="BF218" s="16">
        <f>7889845+638485</f>
        <v>8528330</v>
      </c>
      <c r="BG218" s="16"/>
      <c r="BH218" s="16">
        <f>1324960+238993</f>
        <v>1563953</v>
      </c>
      <c r="BI218" s="16"/>
      <c r="BJ218" s="16">
        <v>0</v>
      </c>
      <c r="BK218" s="16"/>
      <c r="BL218" s="16">
        <f>50331+7981</f>
        <v>58312</v>
      </c>
      <c r="BM218" s="16"/>
      <c r="BN218" s="16">
        <f t="shared" si="93"/>
        <v>10150595</v>
      </c>
      <c r="BO218" s="17"/>
      <c r="BP218" s="6"/>
      <c r="BQ218" s="6"/>
      <c r="BR218" s="6"/>
    </row>
    <row r="219" spans="1:227" ht="12.75" hidden="1" customHeight="1" x14ac:dyDescent="0.2">
      <c r="A219" s="6" t="s">
        <v>232</v>
      </c>
      <c r="C219" s="6" t="s">
        <v>43</v>
      </c>
      <c r="E219" s="16">
        <v>0</v>
      </c>
      <c r="F219" s="16"/>
      <c r="G219" s="16"/>
      <c r="H219" s="16"/>
      <c r="I219" s="16">
        <f t="shared" si="88"/>
        <v>0</v>
      </c>
      <c r="J219" s="16"/>
      <c r="K219" s="16">
        <v>0</v>
      </c>
      <c r="L219" s="16"/>
      <c r="M219" s="16"/>
      <c r="N219" s="16"/>
      <c r="O219" s="16">
        <f t="shared" si="89"/>
        <v>0</v>
      </c>
      <c r="P219" s="16"/>
      <c r="Q219" s="16"/>
      <c r="R219" s="16"/>
      <c r="S219" s="16"/>
      <c r="T219" s="16"/>
      <c r="U219" s="16"/>
      <c r="V219" s="16"/>
      <c r="W219" s="16">
        <f t="shared" si="90"/>
        <v>0</v>
      </c>
      <c r="Z219" s="6" t="s">
        <v>232</v>
      </c>
      <c r="AA219" s="16"/>
      <c r="AB219" s="6" t="s">
        <v>43</v>
      </c>
      <c r="AD219" s="16"/>
      <c r="AE219" s="16"/>
      <c r="AF219" s="16"/>
      <c r="AG219" s="16"/>
      <c r="AH219" s="16"/>
      <c r="AI219" s="16"/>
      <c r="AJ219" s="8">
        <f t="shared" si="91"/>
        <v>0</v>
      </c>
      <c r="AK219" s="8"/>
      <c r="AL219" s="16"/>
      <c r="AM219" s="8"/>
      <c r="AN219" s="16"/>
      <c r="AO219" s="16"/>
      <c r="AP219" s="16"/>
      <c r="AQ219" s="16"/>
      <c r="AR219" s="16"/>
      <c r="AS219" s="16"/>
      <c r="AT219" s="8">
        <f t="shared" si="79"/>
        <v>0</v>
      </c>
      <c r="AU219" s="8"/>
      <c r="AV219" s="16">
        <v>0</v>
      </c>
      <c r="AW219" s="16"/>
      <c r="AX219" s="16">
        <v>0</v>
      </c>
      <c r="AY219" s="16"/>
      <c r="AZ219" s="16">
        <f t="shared" si="92"/>
        <v>0</v>
      </c>
      <c r="BB219" s="6" t="s">
        <v>232</v>
      </c>
      <c r="BC219" s="6"/>
      <c r="BD219" s="6" t="s">
        <v>43</v>
      </c>
      <c r="BE219" s="16"/>
      <c r="BF219" s="16"/>
      <c r="BG219" s="16"/>
      <c r="BH219" s="16"/>
      <c r="BI219" s="16"/>
      <c r="BJ219" s="16"/>
      <c r="BK219" s="16"/>
      <c r="BL219" s="16"/>
      <c r="BM219" s="16"/>
      <c r="BN219" s="16">
        <f t="shared" si="93"/>
        <v>0</v>
      </c>
      <c r="BO219" s="17"/>
      <c r="BP219" s="6"/>
      <c r="BQ219" s="6"/>
      <c r="BR219" s="6"/>
    </row>
    <row r="220" spans="1:227" ht="12.75" customHeight="1" x14ac:dyDescent="0.2">
      <c r="A220" s="6" t="s">
        <v>233</v>
      </c>
      <c r="C220" s="6" t="s">
        <v>181</v>
      </c>
      <c r="E220" s="16">
        <v>15970211</v>
      </c>
      <c r="F220" s="16"/>
      <c r="G220" s="16">
        <v>15575762</v>
      </c>
      <c r="H220" s="16"/>
      <c r="I220" s="16">
        <f t="shared" si="88"/>
        <v>31545973</v>
      </c>
      <c r="J220" s="16"/>
      <c r="K220" s="16">
        <v>1290581</v>
      </c>
      <c r="L220" s="16"/>
      <c r="M220" s="16">
        <v>7706753</v>
      </c>
      <c r="N220" s="16"/>
      <c r="O220" s="16">
        <f t="shared" si="89"/>
        <v>8997334</v>
      </c>
      <c r="P220" s="16"/>
      <c r="Q220" s="16">
        <v>11063658</v>
      </c>
      <c r="R220" s="16"/>
      <c r="S220" s="16">
        <v>0</v>
      </c>
      <c r="T220" s="16"/>
      <c r="U220" s="16">
        <v>11570584</v>
      </c>
      <c r="V220" s="16"/>
      <c r="W220" s="16">
        <f t="shared" si="90"/>
        <v>22634242</v>
      </c>
      <c r="Z220" s="6" t="s">
        <v>233</v>
      </c>
      <c r="AA220" s="16"/>
      <c r="AB220" s="6" t="s">
        <v>181</v>
      </c>
      <c r="AD220" s="16">
        <v>7101692</v>
      </c>
      <c r="AE220" s="16"/>
      <c r="AF220" s="16">
        <f>6509712-1029521</f>
        <v>5480191</v>
      </c>
      <c r="AG220" s="16"/>
      <c r="AH220" s="16">
        <v>1029521</v>
      </c>
      <c r="AI220" s="16"/>
      <c r="AJ220" s="8">
        <f t="shared" si="91"/>
        <v>591980</v>
      </c>
      <c r="AK220" s="8"/>
      <c r="AL220" s="16">
        <v>-154916</v>
      </c>
      <c r="AM220" s="8"/>
      <c r="AN220" s="16">
        <v>0</v>
      </c>
      <c r="AO220" s="16"/>
      <c r="AP220" s="16">
        <v>0</v>
      </c>
      <c r="AQ220" s="16"/>
      <c r="AR220" s="16">
        <v>0</v>
      </c>
      <c r="AS220" s="16"/>
      <c r="AT220" s="8">
        <f t="shared" si="79"/>
        <v>437064</v>
      </c>
      <c r="AU220" s="8"/>
      <c r="AV220" s="16">
        <v>0</v>
      </c>
      <c r="AW220" s="16"/>
      <c r="AX220" s="16">
        <v>0</v>
      </c>
      <c r="AY220" s="16"/>
      <c r="AZ220" s="16">
        <f t="shared" si="92"/>
        <v>14679630</v>
      </c>
      <c r="BB220" s="6" t="s">
        <v>233</v>
      </c>
      <c r="BC220" s="6"/>
      <c r="BD220" s="6" t="s">
        <v>181</v>
      </c>
      <c r="BE220" s="16"/>
      <c r="BF220" s="16">
        <f>7331602+482278</f>
        <v>7813880</v>
      </c>
      <c r="BG220" s="16"/>
      <c r="BH220" s="16">
        <v>0</v>
      </c>
      <c r="BI220" s="16"/>
      <c r="BJ220" s="16">
        <v>0</v>
      </c>
      <c r="BK220" s="16"/>
      <c r="BL220" s="16">
        <f>375151+60000</f>
        <v>435151</v>
      </c>
      <c r="BM220" s="16"/>
      <c r="BN220" s="16">
        <f t="shared" si="93"/>
        <v>8249031</v>
      </c>
      <c r="BO220" s="17"/>
      <c r="BP220" s="6"/>
      <c r="BQ220" s="6"/>
      <c r="BR220" s="6"/>
    </row>
    <row r="221" spans="1:227" ht="12.75" hidden="1" customHeight="1" x14ac:dyDescent="0.2">
      <c r="A221" s="6" t="s">
        <v>234</v>
      </c>
      <c r="C221" s="6" t="s">
        <v>43</v>
      </c>
      <c r="E221" s="16">
        <v>0</v>
      </c>
      <c r="F221" s="16"/>
      <c r="G221" s="16"/>
      <c r="H221" s="16"/>
      <c r="I221" s="16">
        <f t="shared" si="88"/>
        <v>0</v>
      </c>
      <c r="J221" s="16"/>
      <c r="K221" s="16">
        <v>0</v>
      </c>
      <c r="L221" s="16"/>
      <c r="M221" s="16"/>
      <c r="N221" s="16"/>
      <c r="O221" s="16">
        <f t="shared" si="89"/>
        <v>0</v>
      </c>
      <c r="P221" s="16"/>
      <c r="Q221" s="16"/>
      <c r="R221" s="16"/>
      <c r="S221" s="16"/>
      <c r="T221" s="16"/>
      <c r="U221" s="16"/>
      <c r="V221" s="16"/>
      <c r="W221" s="16">
        <f t="shared" si="90"/>
        <v>0</v>
      </c>
      <c r="Z221" s="6" t="s">
        <v>234</v>
      </c>
      <c r="AA221" s="16"/>
      <c r="AB221" s="6" t="s">
        <v>43</v>
      </c>
      <c r="AD221" s="16"/>
      <c r="AE221" s="16"/>
      <c r="AF221" s="16"/>
      <c r="AG221" s="16"/>
      <c r="AH221" s="16"/>
      <c r="AI221" s="16"/>
      <c r="AJ221" s="8">
        <f t="shared" si="91"/>
        <v>0</v>
      </c>
      <c r="AK221" s="8"/>
      <c r="AL221" s="16"/>
      <c r="AM221" s="8"/>
      <c r="AN221" s="16"/>
      <c r="AO221" s="16"/>
      <c r="AP221" s="16"/>
      <c r="AQ221" s="16"/>
      <c r="AR221" s="16"/>
      <c r="AS221" s="16"/>
      <c r="AT221" s="8">
        <f t="shared" si="79"/>
        <v>0</v>
      </c>
      <c r="AU221" s="8"/>
      <c r="AV221" s="16">
        <v>0</v>
      </c>
      <c r="AW221" s="16"/>
      <c r="AX221" s="16">
        <v>0</v>
      </c>
      <c r="AY221" s="16"/>
      <c r="AZ221" s="16">
        <f t="shared" si="92"/>
        <v>0</v>
      </c>
      <c r="BB221" s="6" t="s">
        <v>234</v>
      </c>
      <c r="BC221" s="6"/>
      <c r="BD221" s="6" t="s">
        <v>43</v>
      </c>
      <c r="BE221" s="16"/>
      <c r="BF221" s="16"/>
      <c r="BG221" s="16"/>
      <c r="BH221" s="16"/>
      <c r="BI221" s="16"/>
      <c r="BJ221" s="16"/>
      <c r="BK221" s="16"/>
      <c r="BL221" s="16"/>
      <c r="BM221" s="16"/>
      <c r="BN221" s="16">
        <f t="shared" si="93"/>
        <v>0</v>
      </c>
      <c r="BO221" s="17"/>
      <c r="BP221" s="6"/>
      <c r="BQ221" s="6"/>
      <c r="BR221" s="6"/>
    </row>
    <row r="222" spans="1:227" ht="12.75" hidden="1" customHeight="1" x14ac:dyDescent="0.2">
      <c r="A222" s="6" t="s">
        <v>235</v>
      </c>
      <c r="C222" s="6" t="s">
        <v>31</v>
      </c>
      <c r="E222" s="16">
        <v>230766</v>
      </c>
      <c r="F222" s="16"/>
      <c r="G222" s="16">
        <v>1643046</v>
      </c>
      <c r="H222" s="16"/>
      <c r="I222" s="16">
        <f t="shared" si="88"/>
        <v>1873812</v>
      </c>
      <c r="J222" s="16"/>
      <c r="K222" s="16">
        <v>128041</v>
      </c>
      <c r="L222" s="16"/>
      <c r="M222" s="16">
        <v>553890</v>
      </c>
      <c r="N222" s="16"/>
      <c r="O222" s="16">
        <f t="shared" si="89"/>
        <v>681931</v>
      </c>
      <c r="P222" s="16"/>
      <c r="Q222" s="16">
        <v>1281337</v>
      </c>
      <c r="R222" s="16"/>
      <c r="S222" s="16">
        <v>0</v>
      </c>
      <c r="T222" s="16"/>
      <c r="U222" s="16">
        <v>-89456</v>
      </c>
      <c r="V222" s="16"/>
      <c r="W222" s="16">
        <f t="shared" si="90"/>
        <v>1191881</v>
      </c>
      <c r="Z222" s="6" t="s">
        <v>235</v>
      </c>
      <c r="AA222" s="16"/>
      <c r="AB222" s="6" t="s">
        <v>31</v>
      </c>
      <c r="AD222" s="16">
        <v>891100</v>
      </c>
      <c r="AE222" s="16"/>
      <c r="AF222" s="16">
        <f>1034605-269320</f>
        <v>765285</v>
      </c>
      <c r="AG222" s="16"/>
      <c r="AH222" s="16">
        <v>269320</v>
      </c>
      <c r="AI222" s="16"/>
      <c r="AJ222" s="8">
        <f t="shared" si="91"/>
        <v>-143505</v>
      </c>
      <c r="AK222" s="8"/>
      <c r="AL222" s="16">
        <v>-11732</v>
      </c>
      <c r="AM222" s="8"/>
      <c r="AN222" s="16">
        <v>0</v>
      </c>
      <c r="AO222" s="16"/>
      <c r="AP222" s="16">
        <v>0</v>
      </c>
      <c r="AQ222" s="16"/>
      <c r="AR222" s="16">
        <v>0</v>
      </c>
      <c r="AS222" s="16"/>
      <c r="AT222" s="8">
        <f t="shared" si="79"/>
        <v>-155237</v>
      </c>
      <c r="AU222" s="8"/>
      <c r="AV222" s="16">
        <v>0</v>
      </c>
      <c r="AW222" s="16"/>
      <c r="AX222" s="16">
        <v>0</v>
      </c>
      <c r="AY222" s="16"/>
      <c r="AZ222" s="16">
        <f t="shared" si="92"/>
        <v>102725</v>
      </c>
      <c r="BB222" s="6" t="s">
        <v>235</v>
      </c>
      <c r="BC222" s="6"/>
      <c r="BD222" s="6" t="s">
        <v>31</v>
      </c>
      <c r="BE222" s="16"/>
      <c r="BF222" s="16">
        <f>241823+5000</f>
        <v>246823</v>
      </c>
      <c r="BG222" s="16"/>
      <c r="BH222" s="16">
        <v>0</v>
      </c>
      <c r="BI222" s="16"/>
      <c r="BJ222" s="16">
        <f>37938+2426</f>
        <v>40364</v>
      </c>
      <c r="BK222" s="16"/>
      <c r="BL222" s="16">
        <f>263000+11129+1371</f>
        <v>275500</v>
      </c>
      <c r="BM222" s="16"/>
      <c r="BN222" s="16">
        <f t="shared" si="93"/>
        <v>562687</v>
      </c>
      <c r="BO222" s="17"/>
      <c r="BP222" s="6"/>
      <c r="BQ222" s="6"/>
      <c r="BR222" s="6"/>
    </row>
    <row r="223" spans="1:227" ht="12.75" customHeight="1" x14ac:dyDescent="0.2">
      <c r="A223" s="6" t="s">
        <v>236</v>
      </c>
      <c r="C223" s="6" t="s">
        <v>237</v>
      </c>
      <c r="E223" s="16">
        <v>1176253</v>
      </c>
      <c r="F223" s="16"/>
      <c r="G223" s="16">
        <v>4514344</v>
      </c>
      <c r="H223" s="16"/>
      <c r="I223" s="16">
        <f t="shared" si="88"/>
        <v>5690597</v>
      </c>
      <c r="J223" s="16"/>
      <c r="K223" s="16">
        <v>108966</v>
      </c>
      <c r="L223" s="16"/>
      <c r="M223" s="16">
        <v>76995</v>
      </c>
      <c r="N223" s="16"/>
      <c r="O223" s="16">
        <f t="shared" si="89"/>
        <v>185961</v>
      </c>
      <c r="P223" s="16"/>
      <c r="Q223" s="16">
        <v>4514344</v>
      </c>
      <c r="R223" s="16"/>
      <c r="S223" s="16">
        <v>0</v>
      </c>
      <c r="T223" s="16"/>
      <c r="U223" s="16">
        <v>990292</v>
      </c>
      <c r="V223" s="16"/>
      <c r="W223" s="16">
        <f t="shared" si="90"/>
        <v>5504636</v>
      </c>
      <c r="Z223" s="6" t="s">
        <v>236</v>
      </c>
      <c r="AA223" s="16"/>
      <c r="AB223" s="6" t="s">
        <v>237</v>
      </c>
      <c r="AD223" s="16">
        <v>1136670</v>
      </c>
      <c r="AE223" s="16"/>
      <c r="AF223" s="16">
        <f>1367899-250694</f>
        <v>1117205</v>
      </c>
      <c r="AG223" s="16"/>
      <c r="AH223" s="16">
        <v>250694</v>
      </c>
      <c r="AI223" s="16"/>
      <c r="AJ223" s="8">
        <f t="shared" si="91"/>
        <v>-231229</v>
      </c>
      <c r="AK223" s="8"/>
      <c r="AL223" s="16">
        <v>1711</v>
      </c>
      <c r="AM223" s="8"/>
      <c r="AN223" s="16">
        <v>0</v>
      </c>
      <c r="AO223" s="16"/>
      <c r="AP223" s="16">
        <v>0</v>
      </c>
      <c r="AQ223" s="16"/>
      <c r="AR223" s="16">
        <v>0</v>
      </c>
      <c r="AS223" s="16"/>
      <c r="AT223" s="8">
        <f t="shared" si="79"/>
        <v>-229518</v>
      </c>
      <c r="AU223" s="8"/>
      <c r="AV223" s="16">
        <v>0</v>
      </c>
      <c r="AW223" s="16"/>
      <c r="AX223" s="16">
        <v>0</v>
      </c>
      <c r="AY223" s="16"/>
      <c r="AZ223" s="16">
        <f t="shared" si="92"/>
        <v>1067287</v>
      </c>
      <c r="BB223" s="6" t="s">
        <v>236</v>
      </c>
      <c r="BC223" s="6"/>
      <c r="BD223" s="6" t="s">
        <v>237</v>
      </c>
      <c r="BE223" s="16"/>
      <c r="BF223" s="16">
        <v>0</v>
      </c>
      <c r="BG223" s="16"/>
      <c r="BH223" s="16">
        <v>0</v>
      </c>
      <c r="BI223" s="16"/>
      <c r="BJ223" s="16">
        <v>0</v>
      </c>
      <c r="BK223" s="16"/>
      <c r="BL223" s="16">
        <f>76995+19884</f>
        <v>96879</v>
      </c>
      <c r="BM223" s="16"/>
      <c r="BN223" s="16">
        <f t="shared" si="93"/>
        <v>96879</v>
      </c>
      <c r="BO223" s="17"/>
      <c r="BP223" s="6"/>
      <c r="BQ223" s="6"/>
      <c r="BR223" s="6"/>
    </row>
    <row r="224" spans="1:227" ht="12.75" customHeight="1" x14ac:dyDescent="0.2">
      <c r="A224" s="6" t="s">
        <v>480</v>
      </c>
      <c r="C224" s="6" t="s">
        <v>247</v>
      </c>
      <c r="E224" s="16">
        <v>1550859</v>
      </c>
      <c r="F224" s="16"/>
      <c r="G224" s="16">
        <v>40149284</v>
      </c>
      <c r="H224" s="16"/>
      <c r="I224" s="16">
        <f t="shared" si="88"/>
        <v>41700143</v>
      </c>
      <c r="J224" s="16"/>
      <c r="K224" s="16">
        <v>2329562</v>
      </c>
      <c r="L224" s="16"/>
      <c r="M224" s="16">
        <v>28847887</v>
      </c>
      <c r="N224" s="16"/>
      <c r="O224" s="16">
        <f t="shared" si="89"/>
        <v>31177449</v>
      </c>
      <c r="P224" s="16"/>
      <c r="Q224" s="16">
        <v>9570572</v>
      </c>
      <c r="R224" s="16"/>
      <c r="S224" s="16">
        <v>0</v>
      </c>
      <c r="T224" s="16"/>
      <c r="U224" s="16">
        <v>952122</v>
      </c>
      <c r="V224" s="16"/>
      <c r="W224" s="16">
        <f t="shared" si="90"/>
        <v>10522694</v>
      </c>
      <c r="Z224" s="6" t="s">
        <v>480</v>
      </c>
      <c r="AA224" s="16"/>
      <c r="AB224" s="6" t="s">
        <v>247</v>
      </c>
      <c r="AD224" s="16">
        <v>5448141</v>
      </c>
      <c r="AE224" s="16"/>
      <c r="AF224" s="16">
        <f>3955198-925536</f>
        <v>3029662</v>
      </c>
      <c r="AG224" s="16"/>
      <c r="AH224" s="16">
        <v>925536</v>
      </c>
      <c r="AI224" s="16"/>
      <c r="AJ224" s="8">
        <f t="shared" si="91"/>
        <v>1492943</v>
      </c>
      <c r="AK224" s="8"/>
      <c r="AL224" s="16">
        <v>-1061784</v>
      </c>
      <c r="AM224" s="8"/>
      <c r="AN224" s="16">
        <v>0</v>
      </c>
      <c r="AO224" s="16"/>
      <c r="AP224" s="16">
        <v>0</v>
      </c>
      <c r="AQ224" s="16"/>
      <c r="AR224" s="16">
        <v>0</v>
      </c>
      <c r="AS224" s="16"/>
      <c r="AT224" s="8">
        <f t="shared" si="79"/>
        <v>431159</v>
      </c>
      <c r="AU224" s="8"/>
      <c r="AV224" s="16">
        <v>0</v>
      </c>
      <c r="AW224" s="16"/>
      <c r="AX224" s="16">
        <v>0</v>
      </c>
      <c r="AY224" s="16"/>
      <c r="AZ224" s="16">
        <f t="shared" si="92"/>
        <v>-778703</v>
      </c>
      <c r="BB224" s="6" t="s">
        <v>480</v>
      </c>
      <c r="BC224" s="6"/>
      <c r="BD224" s="6" t="s">
        <v>247</v>
      </c>
      <c r="BE224" s="16"/>
      <c r="BF224" s="16">
        <f>767250+54000</f>
        <v>821250</v>
      </c>
      <c r="BG224" s="16"/>
      <c r="BH224" s="16">
        <v>0</v>
      </c>
      <c r="BI224" s="16"/>
      <c r="BJ224" s="16">
        <f>27829546+159517+26820+1741579</f>
        <v>29757462</v>
      </c>
      <c r="BK224" s="16"/>
      <c r="BL224" s="16">
        <f>16270+91574</f>
        <v>107844</v>
      </c>
      <c r="BM224" s="16"/>
      <c r="BN224" s="16">
        <f t="shared" si="93"/>
        <v>30686556</v>
      </c>
      <c r="BO224" s="17"/>
      <c r="BP224" s="6"/>
      <c r="BQ224" s="6"/>
      <c r="BR224" s="6"/>
    </row>
    <row r="225" spans="1:70" ht="12.75" customHeight="1" x14ac:dyDescent="0.2">
      <c r="A225" s="6" t="s">
        <v>238</v>
      </c>
      <c r="C225" s="6" t="s">
        <v>11</v>
      </c>
      <c r="E225" s="16">
        <v>6539048</v>
      </c>
      <c r="F225" s="16"/>
      <c r="G225" s="16">
        <v>23034350</v>
      </c>
      <c r="H225" s="16"/>
      <c r="I225" s="16">
        <f t="shared" si="88"/>
        <v>29573398</v>
      </c>
      <c r="J225" s="16"/>
      <c r="K225" s="16">
        <v>1291230</v>
      </c>
      <c r="L225" s="16"/>
      <c r="M225" s="16">
        <v>936525</v>
      </c>
      <c r="N225" s="16"/>
      <c r="O225" s="16">
        <f t="shared" si="89"/>
        <v>2227755</v>
      </c>
      <c r="P225" s="16"/>
      <c r="Q225" s="16">
        <v>22178614</v>
      </c>
      <c r="R225" s="16"/>
      <c r="S225" s="16">
        <v>0</v>
      </c>
      <c r="T225" s="16"/>
      <c r="U225" s="16">
        <v>5167029</v>
      </c>
      <c r="V225" s="16"/>
      <c r="W225" s="16">
        <f t="shared" si="90"/>
        <v>27345643</v>
      </c>
      <c r="Z225" s="6" t="s">
        <v>238</v>
      </c>
      <c r="AA225" s="16"/>
      <c r="AB225" s="6" t="s">
        <v>11</v>
      </c>
      <c r="AD225" s="16">
        <v>5329886</v>
      </c>
      <c r="AE225" s="16"/>
      <c r="AF225" s="16">
        <f>4206051-370696</f>
        <v>3835355</v>
      </c>
      <c r="AG225" s="16"/>
      <c r="AH225" s="16">
        <v>370696</v>
      </c>
      <c r="AI225" s="16"/>
      <c r="AJ225" s="8">
        <f t="shared" si="91"/>
        <v>1123835</v>
      </c>
      <c r="AK225" s="8"/>
      <c r="AL225" s="16">
        <v>-16734</v>
      </c>
      <c r="AM225" s="8"/>
      <c r="AN225" s="16">
        <v>0</v>
      </c>
      <c r="AO225" s="16"/>
      <c r="AP225" s="16">
        <v>24025</v>
      </c>
      <c r="AQ225" s="16"/>
      <c r="AR225" s="16">
        <v>328040</v>
      </c>
      <c r="AS225" s="16"/>
      <c r="AT225" s="8">
        <f t="shared" si="79"/>
        <v>1411116</v>
      </c>
      <c r="AU225" s="8"/>
      <c r="AV225" s="16">
        <v>0</v>
      </c>
      <c r="AW225" s="16"/>
      <c r="AX225" s="16">
        <v>0</v>
      </c>
      <c r="AY225" s="16"/>
      <c r="AZ225" s="16">
        <f t="shared" si="92"/>
        <v>5247818</v>
      </c>
      <c r="BB225" s="6" t="s">
        <v>238</v>
      </c>
      <c r="BC225" s="6"/>
      <c r="BD225" s="6" t="s">
        <v>11</v>
      </c>
      <c r="BE225" s="16"/>
      <c r="BF225" s="16">
        <f>483814+15530</f>
        <v>499344</v>
      </c>
      <c r="BG225" s="16"/>
      <c r="BH225" s="16">
        <v>0</v>
      </c>
      <c r="BI225" s="16"/>
      <c r="BJ225" s="16">
        <f>144808+150000+11584</f>
        <v>306392</v>
      </c>
      <c r="BK225" s="16"/>
      <c r="BL225" s="16">
        <f>35832+157903</f>
        <v>193735</v>
      </c>
      <c r="BM225" s="16"/>
      <c r="BN225" s="16">
        <f t="shared" si="93"/>
        <v>999471</v>
      </c>
      <c r="BO225" s="17"/>
      <c r="BP225" s="6"/>
      <c r="BQ225" s="6"/>
      <c r="BR225" s="6"/>
    </row>
    <row r="226" spans="1:70" ht="12.75" customHeight="1" x14ac:dyDescent="0.2">
      <c r="A226" s="19" t="s">
        <v>239</v>
      </c>
      <c r="B226" s="19"/>
      <c r="C226" s="19" t="s">
        <v>20</v>
      </c>
      <c r="D226" s="9"/>
      <c r="E226" s="16">
        <v>4011376</v>
      </c>
      <c r="F226" s="16"/>
      <c r="G226" s="16">
        <v>6066704</v>
      </c>
      <c r="H226" s="16"/>
      <c r="I226" s="16">
        <f t="shared" si="88"/>
        <v>10078080</v>
      </c>
      <c r="J226" s="16"/>
      <c r="K226" s="16">
        <v>15552</v>
      </c>
      <c r="L226" s="16"/>
      <c r="M226" s="16">
        <v>463396</v>
      </c>
      <c r="N226" s="16"/>
      <c r="O226" s="16">
        <f t="shared" si="89"/>
        <v>478948</v>
      </c>
      <c r="P226" s="16"/>
      <c r="Q226" s="16">
        <v>5593851</v>
      </c>
      <c r="R226" s="16"/>
      <c r="S226" s="16">
        <v>0</v>
      </c>
      <c r="T226" s="16"/>
      <c r="U226" s="16">
        <v>3865581</v>
      </c>
      <c r="V226" s="16"/>
      <c r="W226" s="16">
        <f t="shared" si="90"/>
        <v>9459432</v>
      </c>
      <c r="Z226" s="19" t="s">
        <v>239</v>
      </c>
      <c r="AA226" s="28"/>
      <c r="AB226" s="19" t="s">
        <v>20</v>
      </c>
      <c r="AC226" s="19"/>
      <c r="AD226" s="16">
        <v>2926073</v>
      </c>
      <c r="AE226" s="16"/>
      <c r="AF226" s="16">
        <f>2690431-376321</f>
        <v>2314110</v>
      </c>
      <c r="AG226" s="16"/>
      <c r="AH226" s="16">
        <v>376321</v>
      </c>
      <c r="AI226" s="16"/>
      <c r="AJ226" s="8">
        <f t="shared" si="91"/>
        <v>235642</v>
      </c>
      <c r="AK226" s="8"/>
      <c r="AL226" s="16">
        <v>-23329</v>
      </c>
      <c r="AM226" s="8"/>
      <c r="AN226" s="16">
        <v>21761</v>
      </c>
      <c r="AO226" s="16"/>
      <c r="AP226" s="16">
        <v>0</v>
      </c>
      <c r="AQ226" s="16"/>
      <c r="AR226" s="16">
        <v>0</v>
      </c>
      <c r="AS226" s="16"/>
      <c r="AT226" s="8">
        <f t="shared" si="79"/>
        <v>234074</v>
      </c>
      <c r="AU226" s="8"/>
      <c r="AV226" s="16">
        <v>0</v>
      </c>
      <c r="AW226" s="16"/>
      <c r="AX226" s="16">
        <v>0</v>
      </c>
      <c r="AY226" s="16"/>
      <c r="AZ226" s="16">
        <f t="shared" si="92"/>
        <v>3995824</v>
      </c>
      <c r="BB226" s="19" t="s">
        <v>239</v>
      </c>
      <c r="BC226" s="19"/>
      <c r="BD226" s="19" t="s">
        <v>20</v>
      </c>
      <c r="BE226" s="28"/>
      <c r="BF226" s="16">
        <v>0</v>
      </c>
      <c r="BG226" s="16"/>
      <c r="BH226" s="16">
        <v>0</v>
      </c>
      <c r="BI226" s="16"/>
      <c r="BJ226" s="16">
        <f>458420+12115</f>
        <v>470535</v>
      </c>
      <c r="BK226" s="16"/>
      <c r="BL226" s="16">
        <f>4976+739</f>
        <v>5715</v>
      </c>
      <c r="BM226" s="16"/>
      <c r="BN226" s="16">
        <f t="shared" si="93"/>
        <v>476250</v>
      </c>
      <c r="BO226" s="17"/>
      <c r="BP226" s="6"/>
      <c r="BQ226" s="6"/>
      <c r="BR226" s="6"/>
    </row>
    <row r="227" spans="1:70" ht="12.75" hidden="1" customHeight="1" x14ac:dyDescent="0.2">
      <c r="A227" s="6" t="s">
        <v>240</v>
      </c>
      <c r="C227" s="6" t="s">
        <v>25</v>
      </c>
      <c r="E227" s="16">
        <v>0</v>
      </c>
      <c r="F227" s="16"/>
      <c r="G227" s="16"/>
      <c r="H227" s="16"/>
      <c r="I227" s="16">
        <f t="shared" si="88"/>
        <v>0</v>
      </c>
      <c r="J227" s="16"/>
      <c r="K227" s="16">
        <v>0</v>
      </c>
      <c r="L227" s="16"/>
      <c r="M227" s="16"/>
      <c r="N227" s="16"/>
      <c r="O227" s="16">
        <f t="shared" si="89"/>
        <v>0</v>
      </c>
      <c r="P227" s="16"/>
      <c r="Q227" s="16"/>
      <c r="R227" s="16"/>
      <c r="S227" s="16"/>
      <c r="T227" s="16"/>
      <c r="U227" s="16"/>
      <c r="V227" s="16"/>
      <c r="W227" s="16">
        <f t="shared" si="90"/>
        <v>0</v>
      </c>
      <c r="Z227" s="6" t="s">
        <v>240</v>
      </c>
      <c r="AA227" s="16"/>
      <c r="AB227" s="6" t="s">
        <v>25</v>
      </c>
      <c r="AD227" s="16"/>
      <c r="AE227" s="16"/>
      <c r="AF227" s="16"/>
      <c r="AG227" s="16"/>
      <c r="AH227" s="16"/>
      <c r="AI227" s="16"/>
      <c r="AJ227" s="8">
        <f t="shared" si="91"/>
        <v>0</v>
      </c>
      <c r="AK227" s="8"/>
      <c r="AL227" s="16"/>
      <c r="AM227" s="8"/>
      <c r="AN227" s="16"/>
      <c r="AO227" s="16"/>
      <c r="AP227" s="16"/>
      <c r="AQ227" s="16"/>
      <c r="AR227" s="16"/>
      <c r="AS227" s="16"/>
      <c r="AT227" s="8">
        <f t="shared" si="79"/>
        <v>0</v>
      </c>
      <c r="AU227" s="8"/>
      <c r="AV227" s="16">
        <v>0</v>
      </c>
      <c r="AW227" s="16"/>
      <c r="AX227" s="16">
        <v>0</v>
      </c>
      <c r="AY227" s="16"/>
      <c r="AZ227" s="16">
        <f t="shared" si="92"/>
        <v>0</v>
      </c>
      <c r="BB227" s="6" t="s">
        <v>240</v>
      </c>
      <c r="BC227" s="6"/>
      <c r="BD227" s="6" t="s">
        <v>25</v>
      </c>
      <c r="BE227" s="16"/>
      <c r="BF227" s="16"/>
      <c r="BG227" s="16"/>
      <c r="BH227" s="16"/>
      <c r="BI227" s="16"/>
      <c r="BJ227" s="16"/>
      <c r="BK227" s="16"/>
      <c r="BL227" s="16"/>
      <c r="BM227" s="16"/>
      <c r="BN227" s="16">
        <f t="shared" si="93"/>
        <v>0</v>
      </c>
      <c r="BO227" s="17"/>
      <c r="BP227" s="6"/>
      <c r="BQ227" s="6"/>
      <c r="BR227" s="6"/>
    </row>
    <row r="228" spans="1:70" ht="12.75" customHeight="1" x14ac:dyDescent="0.2">
      <c r="A228" s="6" t="s">
        <v>241</v>
      </c>
      <c r="B228" s="6"/>
      <c r="C228" s="6" t="s">
        <v>161</v>
      </c>
      <c r="E228" s="16">
        <v>3338281</v>
      </c>
      <c r="F228" s="16"/>
      <c r="G228" s="16">
        <v>8179235</v>
      </c>
      <c r="H228" s="16"/>
      <c r="I228" s="16">
        <f t="shared" si="88"/>
        <v>11517516</v>
      </c>
      <c r="J228" s="16"/>
      <c r="K228" s="16">
        <v>441363</v>
      </c>
      <c r="L228" s="16"/>
      <c r="M228" s="16">
        <v>2939170</v>
      </c>
      <c r="N228" s="16"/>
      <c r="O228" s="16">
        <f t="shared" si="89"/>
        <v>3380533</v>
      </c>
      <c r="P228" s="16"/>
      <c r="Q228" s="16">
        <v>5244235</v>
      </c>
      <c r="R228" s="16"/>
      <c r="S228" s="16">
        <v>0</v>
      </c>
      <c r="T228" s="16"/>
      <c r="U228" s="16">
        <v>2892748</v>
      </c>
      <c r="V228" s="16"/>
      <c r="W228" s="16">
        <f t="shared" si="90"/>
        <v>8136983</v>
      </c>
      <c r="X228" s="6"/>
      <c r="Y228" s="6"/>
      <c r="Z228" s="6" t="s">
        <v>241</v>
      </c>
      <c r="AA228" s="16"/>
      <c r="AB228" s="6" t="s">
        <v>161</v>
      </c>
      <c r="AC228" s="6"/>
      <c r="AD228" s="16">
        <v>3937229</v>
      </c>
      <c r="AE228" s="16"/>
      <c r="AF228" s="16">
        <f>3679337-243687</f>
        <v>3435650</v>
      </c>
      <c r="AG228" s="16"/>
      <c r="AH228" s="16">
        <v>243687</v>
      </c>
      <c r="AI228" s="16"/>
      <c r="AJ228" s="8">
        <f t="shared" si="91"/>
        <v>257892</v>
      </c>
      <c r="AK228" s="8"/>
      <c r="AL228" s="16">
        <v>-67744</v>
      </c>
      <c r="AM228" s="8"/>
      <c r="AN228" s="16">
        <v>0</v>
      </c>
      <c r="AO228" s="16"/>
      <c r="AP228" s="16">
        <v>0</v>
      </c>
      <c r="AQ228" s="16"/>
      <c r="AR228" s="16">
        <v>0</v>
      </c>
      <c r="AS228" s="16"/>
      <c r="AT228" s="8">
        <f t="shared" si="79"/>
        <v>190148</v>
      </c>
      <c r="AU228" s="8"/>
      <c r="AV228" s="16">
        <v>0</v>
      </c>
      <c r="AW228" s="16"/>
      <c r="AX228" s="16">
        <v>0</v>
      </c>
      <c r="AY228" s="16"/>
      <c r="AZ228" s="16">
        <f t="shared" si="92"/>
        <v>2896918</v>
      </c>
      <c r="BA228" s="20"/>
      <c r="BB228" s="6" t="s">
        <v>241</v>
      </c>
      <c r="BC228" s="6"/>
      <c r="BD228" s="6" t="s">
        <v>161</v>
      </c>
      <c r="BE228" s="16"/>
      <c r="BF228" s="16">
        <f>2810000+125000</f>
        <v>2935000</v>
      </c>
      <c r="BG228" s="16"/>
      <c r="BH228" s="16">
        <v>0</v>
      </c>
      <c r="BI228" s="16"/>
      <c r="BJ228" s="16">
        <v>0</v>
      </c>
      <c r="BK228" s="16"/>
      <c r="BL228" s="16">
        <v>129170</v>
      </c>
      <c r="BM228" s="16"/>
      <c r="BN228" s="16">
        <f t="shared" ref="BN228" si="94">SUM(BF228:BL228)</f>
        <v>3064170</v>
      </c>
      <c r="BO228" s="17"/>
      <c r="BP228" s="6"/>
      <c r="BQ228" s="6"/>
      <c r="BR228" s="6"/>
    </row>
    <row r="229" spans="1:70" ht="12.75" customHeight="1" x14ac:dyDescent="0.2">
      <c r="A229" s="6" t="s">
        <v>242</v>
      </c>
      <c r="C229" s="6" t="s">
        <v>11</v>
      </c>
      <c r="E229" s="16">
        <v>3398103</v>
      </c>
      <c r="F229" s="16"/>
      <c r="G229" s="16">
        <v>6519983</v>
      </c>
      <c r="H229" s="16"/>
      <c r="I229" s="16">
        <f t="shared" si="88"/>
        <v>9918086</v>
      </c>
      <c r="J229" s="16"/>
      <c r="K229" s="16">
        <v>368250</v>
      </c>
      <c r="L229" s="16"/>
      <c r="M229" s="16">
        <v>1245946</v>
      </c>
      <c r="N229" s="16"/>
      <c r="O229" s="16">
        <f t="shared" si="89"/>
        <v>1614196</v>
      </c>
      <c r="P229" s="16"/>
      <c r="Q229" s="16">
        <v>5228796</v>
      </c>
      <c r="R229" s="16"/>
      <c r="S229" s="16">
        <v>0</v>
      </c>
      <c r="T229" s="16"/>
      <c r="U229" s="16">
        <v>3075094</v>
      </c>
      <c r="V229" s="16"/>
      <c r="W229" s="16">
        <f t="shared" si="90"/>
        <v>8303890</v>
      </c>
      <c r="Z229" s="6" t="s">
        <v>242</v>
      </c>
      <c r="AA229" s="16"/>
      <c r="AB229" s="6" t="s">
        <v>11</v>
      </c>
      <c r="AD229" s="16">
        <v>1934025</v>
      </c>
      <c r="AE229" s="16"/>
      <c r="AF229" s="16">
        <f>1982872-297495</f>
        <v>1685377</v>
      </c>
      <c r="AG229" s="16"/>
      <c r="AH229" s="16">
        <v>297495</v>
      </c>
      <c r="AI229" s="16"/>
      <c r="AJ229" s="8">
        <f t="shared" si="91"/>
        <v>-48847</v>
      </c>
      <c r="AK229" s="8"/>
      <c r="AL229" s="16">
        <v>-57710</v>
      </c>
      <c r="AM229" s="8"/>
      <c r="AN229" s="16">
        <v>0</v>
      </c>
      <c r="AO229" s="16"/>
      <c r="AP229" s="16">
        <v>0</v>
      </c>
      <c r="AQ229" s="16"/>
      <c r="AR229" s="16">
        <v>0</v>
      </c>
      <c r="AS229" s="16"/>
      <c r="AT229" s="8">
        <f t="shared" si="79"/>
        <v>-106557</v>
      </c>
      <c r="AU229" s="8"/>
      <c r="AV229" s="16">
        <v>0</v>
      </c>
      <c r="AW229" s="16"/>
      <c r="AX229" s="16">
        <v>0</v>
      </c>
      <c r="AY229" s="16"/>
      <c r="AZ229" s="16">
        <f t="shared" si="92"/>
        <v>3029853</v>
      </c>
      <c r="BB229" s="6" t="s">
        <v>242</v>
      </c>
      <c r="BC229" s="6"/>
      <c r="BD229" s="6" t="s">
        <v>11</v>
      </c>
      <c r="BE229" s="16"/>
      <c r="BF229" s="16">
        <v>0</v>
      </c>
      <c r="BG229" s="16"/>
      <c r="BH229" s="16">
        <v>0</v>
      </c>
      <c r="BI229" s="16"/>
      <c r="BJ229" s="16">
        <f>1216831+50317</f>
        <v>1267148</v>
      </c>
      <c r="BK229" s="16"/>
      <c r="BL229" s="16">
        <f>10952+18163+1771+5876</f>
        <v>36762</v>
      </c>
      <c r="BM229" s="16"/>
      <c r="BN229" s="16">
        <f t="shared" ref="BN229:BN234" si="95">SUM(BF229:BL229)</f>
        <v>1303910</v>
      </c>
      <c r="BO229" s="17"/>
      <c r="BP229" s="6"/>
      <c r="BQ229" s="6"/>
      <c r="BR229" s="6"/>
    </row>
    <row r="230" spans="1:70" ht="12.75" hidden="1" customHeight="1" x14ac:dyDescent="0.2">
      <c r="A230" s="6" t="s">
        <v>243</v>
      </c>
      <c r="C230" s="6" t="s">
        <v>108</v>
      </c>
      <c r="E230" s="16">
        <v>0</v>
      </c>
      <c r="F230" s="16"/>
      <c r="G230" s="16"/>
      <c r="H230" s="16"/>
      <c r="I230" s="16">
        <f t="shared" si="88"/>
        <v>0</v>
      </c>
      <c r="J230" s="16"/>
      <c r="K230" s="16">
        <v>0</v>
      </c>
      <c r="L230" s="16"/>
      <c r="M230" s="16"/>
      <c r="N230" s="16"/>
      <c r="O230" s="16">
        <f t="shared" si="89"/>
        <v>0</v>
      </c>
      <c r="P230" s="16"/>
      <c r="Q230" s="16"/>
      <c r="R230" s="16"/>
      <c r="S230" s="16"/>
      <c r="T230" s="16"/>
      <c r="U230" s="16"/>
      <c r="V230" s="16"/>
      <c r="W230" s="16">
        <f t="shared" si="90"/>
        <v>0</v>
      </c>
      <c r="X230" s="6"/>
      <c r="Y230" s="6"/>
      <c r="Z230" s="6" t="s">
        <v>243</v>
      </c>
      <c r="AA230" s="16"/>
      <c r="AB230" s="6" t="s">
        <v>108</v>
      </c>
      <c r="AD230" s="16"/>
      <c r="AE230" s="16"/>
      <c r="AF230" s="16"/>
      <c r="AG230" s="16"/>
      <c r="AH230" s="16"/>
      <c r="AI230" s="16"/>
      <c r="AJ230" s="8">
        <f t="shared" si="91"/>
        <v>0</v>
      </c>
      <c r="AK230" s="8"/>
      <c r="AL230" s="16"/>
      <c r="AM230" s="8"/>
      <c r="AN230" s="16"/>
      <c r="AO230" s="16"/>
      <c r="AP230" s="16"/>
      <c r="AQ230" s="16"/>
      <c r="AR230" s="16"/>
      <c r="AS230" s="16"/>
      <c r="AT230" s="8">
        <f t="shared" si="79"/>
        <v>0</v>
      </c>
      <c r="AU230" s="8"/>
      <c r="AV230" s="16">
        <v>0</v>
      </c>
      <c r="AW230" s="16"/>
      <c r="AX230" s="16">
        <v>0</v>
      </c>
      <c r="AY230" s="16"/>
      <c r="AZ230" s="16">
        <f t="shared" si="92"/>
        <v>0</v>
      </c>
      <c r="BB230" s="6" t="s">
        <v>243</v>
      </c>
      <c r="BC230" s="6"/>
      <c r="BD230" s="6" t="s">
        <v>108</v>
      </c>
      <c r="BE230" s="16"/>
      <c r="BF230" s="16"/>
      <c r="BG230" s="16"/>
      <c r="BH230" s="16"/>
      <c r="BI230" s="16"/>
      <c r="BJ230" s="16"/>
      <c r="BK230" s="16"/>
      <c r="BL230" s="16"/>
      <c r="BM230" s="16"/>
      <c r="BN230" s="16">
        <f t="shared" si="95"/>
        <v>0</v>
      </c>
      <c r="BO230" s="17"/>
      <c r="BQ230" s="6"/>
      <c r="BR230" s="6"/>
    </row>
    <row r="231" spans="1:70" ht="12.75" customHeight="1" x14ac:dyDescent="0.2">
      <c r="A231" s="6" t="s">
        <v>244</v>
      </c>
      <c r="C231" s="6" t="s">
        <v>207</v>
      </c>
      <c r="E231" s="16">
        <v>3819530</v>
      </c>
      <c r="F231" s="16"/>
      <c r="G231" s="16">
        <v>11007005</v>
      </c>
      <c r="H231" s="16"/>
      <c r="I231" s="16">
        <f t="shared" si="88"/>
        <v>14826535</v>
      </c>
      <c r="J231" s="16"/>
      <c r="K231" s="16">
        <v>200285</v>
      </c>
      <c r="L231" s="16"/>
      <c r="M231" s="16">
        <v>996414</v>
      </c>
      <c r="N231" s="16"/>
      <c r="O231" s="16">
        <f t="shared" si="89"/>
        <v>1196699</v>
      </c>
      <c r="P231" s="16"/>
      <c r="Q231" s="16">
        <v>8021995</v>
      </c>
      <c r="R231" s="16"/>
      <c r="S231" s="16">
        <v>0</v>
      </c>
      <c r="T231" s="16"/>
      <c r="U231" s="16">
        <v>3807841</v>
      </c>
      <c r="V231" s="16"/>
      <c r="W231" s="16">
        <f t="shared" si="90"/>
        <v>11829836</v>
      </c>
      <c r="Z231" s="6" t="s">
        <v>244</v>
      </c>
      <c r="AA231" s="16"/>
      <c r="AB231" s="6" t="s">
        <v>207</v>
      </c>
      <c r="AD231" s="16">
        <v>2473598</v>
      </c>
      <c r="AE231" s="16"/>
      <c r="AF231" s="16">
        <f>2435603-364618</f>
        <v>2070985</v>
      </c>
      <c r="AG231" s="16"/>
      <c r="AH231" s="16">
        <v>364618</v>
      </c>
      <c r="AI231" s="16"/>
      <c r="AJ231" s="8">
        <f t="shared" si="91"/>
        <v>37995</v>
      </c>
      <c r="AK231" s="8"/>
      <c r="AL231" s="16">
        <v>34985</v>
      </c>
      <c r="AM231" s="8"/>
      <c r="AN231" s="16">
        <v>5547</v>
      </c>
      <c r="AO231" s="16"/>
      <c r="AP231" s="16">
        <v>0</v>
      </c>
      <c r="AQ231" s="16"/>
      <c r="AR231" s="16">
        <v>0</v>
      </c>
      <c r="AS231" s="16"/>
      <c r="AT231" s="8">
        <f t="shared" si="79"/>
        <v>78527</v>
      </c>
      <c r="AU231" s="8"/>
      <c r="AV231" s="16">
        <v>0</v>
      </c>
      <c r="AW231" s="16"/>
      <c r="AX231" s="16">
        <v>0</v>
      </c>
      <c r="AY231" s="16"/>
      <c r="AZ231" s="16">
        <f t="shared" si="92"/>
        <v>3619245</v>
      </c>
      <c r="BB231" s="6" t="s">
        <v>244</v>
      </c>
      <c r="BC231" s="6"/>
      <c r="BD231" s="6" t="s">
        <v>207</v>
      </c>
      <c r="BE231" s="16"/>
      <c r="BF231" s="16">
        <v>0</v>
      </c>
      <c r="BG231" s="16"/>
      <c r="BH231" s="16">
        <v>0</v>
      </c>
      <c r="BI231" s="16"/>
      <c r="BJ231" s="16">
        <f>958225+30000</f>
        <v>988225</v>
      </c>
      <c r="BK231" s="16"/>
      <c r="BL231" s="16">
        <f>25467+38189</f>
        <v>63656</v>
      </c>
      <c r="BM231" s="16"/>
      <c r="BN231" s="16">
        <f t="shared" si="95"/>
        <v>1051881</v>
      </c>
      <c r="BO231" s="17"/>
      <c r="BP231" s="6"/>
      <c r="BQ231" s="6"/>
      <c r="BR231" s="6"/>
    </row>
    <row r="232" spans="1:70" ht="12.75" hidden="1" customHeight="1" x14ac:dyDescent="0.2">
      <c r="A232" s="6" t="s">
        <v>245</v>
      </c>
      <c r="B232" s="6"/>
      <c r="C232" s="6" t="s">
        <v>161</v>
      </c>
      <c r="E232" s="16">
        <v>72904000</v>
      </c>
      <c r="F232" s="16"/>
      <c r="G232" s="16">
        <v>206397000</v>
      </c>
      <c r="H232" s="16"/>
      <c r="I232" s="16">
        <f t="shared" si="88"/>
        <v>279301000</v>
      </c>
      <c r="J232" s="16"/>
      <c r="K232" s="16">
        <v>9590000</v>
      </c>
      <c r="L232" s="16"/>
      <c r="M232" s="16">
        <v>118867000</v>
      </c>
      <c r="N232" s="16"/>
      <c r="O232" s="16">
        <f t="shared" si="89"/>
        <v>128457000</v>
      </c>
      <c r="P232" s="16"/>
      <c r="Q232" s="16">
        <v>83243000</v>
      </c>
      <c r="R232" s="16"/>
      <c r="S232" s="16">
        <v>0</v>
      </c>
      <c r="T232" s="16"/>
      <c r="U232" s="16">
        <v>67601000</v>
      </c>
      <c r="V232" s="16"/>
      <c r="W232" s="16">
        <f t="shared" si="90"/>
        <v>150844000</v>
      </c>
      <c r="Z232" s="6" t="s">
        <v>245</v>
      </c>
      <c r="AA232" s="16"/>
      <c r="AB232" s="6" t="s">
        <v>161</v>
      </c>
      <c r="AC232" s="6"/>
      <c r="AD232" s="16">
        <v>44112000</v>
      </c>
      <c r="AE232" s="16"/>
      <c r="AF232" s="16">
        <f>37703000-4706000</f>
        <v>32997000</v>
      </c>
      <c r="AG232" s="16"/>
      <c r="AH232" s="16">
        <v>4706000</v>
      </c>
      <c r="AI232" s="16"/>
      <c r="AJ232" s="8">
        <f t="shared" si="91"/>
        <v>6409000</v>
      </c>
      <c r="AK232" s="8"/>
      <c r="AL232" s="16">
        <v>-4040000</v>
      </c>
      <c r="AM232" s="8"/>
      <c r="AN232" s="16">
        <v>0</v>
      </c>
      <c r="AO232" s="16"/>
      <c r="AP232" s="16">
        <v>0</v>
      </c>
      <c r="AQ232" s="16"/>
      <c r="AR232" s="16">
        <v>0</v>
      </c>
      <c r="AS232" s="16"/>
      <c r="AT232" s="8">
        <f t="shared" si="79"/>
        <v>2369000</v>
      </c>
      <c r="AU232" s="8"/>
      <c r="AV232" s="16">
        <v>0</v>
      </c>
      <c r="AW232" s="16"/>
      <c r="AX232" s="16">
        <v>0</v>
      </c>
      <c r="AY232" s="16"/>
      <c r="AZ232" s="16">
        <f t="shared" si="92"/>
        <v>63314000</v>
      </c>
      <c r="BB232" s="6" t="s">
        <v>245</v>
      </c>
      <c r="BC232" s="6"/>
      <c r="BD232" s="6" t="s">
        <v>161</v>
      </c>
      <c r="BE232" s="16"/>
      <c r="BF232" s="16">
        <f>117393000+4835000</f>
        <v>122228000</v>
      </c>
      <c r="BG232" s="16"/>
      <c r="BH232" s="16">
        <v>0</v>
      </c>
      <c r="BI232" s="16"/>
      <c r="BJ232" s="16">
        <v>0</v>
      </c>
      <c r="BK232" s="16"/>
      <c r="BL232" s="16">
        <f>1474000+17000</f>
        <v>1491000</v>
      </c>
      <c r="BM232" s="16"/>
      <c r="BN232" s="16">
        <f t="shared" si="95"/>
        <v>123719000</v>
      </c>
      <c r="BO232" s="17"/>
      <c r="BP232" s="10"/>
      <c r="BQ232" s="6"/>
      <c r="BR232" s="6"/>
    </row>
    <row r="233" spans="1:70" ht="12.75" customHeight="1" x14ac:dyDescent="0.2">
      <c r="A233" s="6" t="s">
        <v>246</v>
      </c>
      <c r="C233" s="6" t="s">
        <v>247</v>
      </c>
      <c r="E233" s="16">
        <v>1163982</v>
      </c>
      <c r="F233" s="16"/>
      <c r="G233" s="16">
        <v>12622506</v>
      </c>
      <c r="H233" s="16"/>
      <c r="I233" s="16">
        <f t="shared" si="88"/>
        <v>13786488</v>
      </c>
      <c r="J233" s="16"/>
      <c r="K233" s="16">
        <v>718318</v>
      </c>
      <c r="L233" s="16"/>
      <c r="M233" s="16">
        <v>10007095</v>
      </c>
      <c r="N233" s="16"/>
      <c r="O233" s="16">
        <f t="shared" si="89"/>
        <v>10725413</v>
      </c>
      <c r="P233" s="16"/>
      <c r="Q233" s="16">
        <v>1994912</v>
      </c>
      <c r="R233" s="16"/>
      <c r="S233" s="16">
        <v>0</v>
      </c>
      <c r="T233" s="16"/>
      <c r="U233" s="16">
        <v>1066163</v>
      </c>
      <c r="V233" s="16"/>
      <c r="W233" s="16">
        <f t="shared" si="90"/>
        <v>3061075</v>
      </c>
      <c r="X233" s="6"/>
      <c r="Y233" s="6"/>
      <c r="Z233" s="6" t="s">
        <v>246</v>
      </c>
      <c r="AA233" s="16"/>
      <c r="AB233" s="6" t="s">
        <v>247</v>
      </c>
      <c r="AD233" s="16">
        <v>2247429</v>
      </c>
      <c r="AE233" s="16"/>
      <c r="AF233" s="16">
        <f>1594058-408287</f>
        <v>1185771</v>
      </c>
      <c r="AG233" s="16"/>
      <c r="AH233" s="16">
        <v>408287</v>
      </c>
      <c r="AI233" s="16"/>
      <c r="AJ233" s="8">
        <f t="shared" si="91"/>
        <v>653371</v>
      </c>
      <c r="AK233" s="8"/>
      <c r="AL233" s="16">
        <v>-349878</v>
      </c>
      <c r="AM233" s="8"/>
      <c r="AN233" s="16">
        <v>20000</v>
      </c>
      <c r="AO233" s="16"/>
      <c r="AP233" s="16">
        <v>0</v>
      </c>
      <c r="AQ233" s="16"/>
      <c r="AR233" s="16">
        <v>0</v>
      </c>
      <c r="AS233" s="16"/>
      <c r="AT233" s="8">
        <f>+AJ233+AL233+AN233-AP233+AR233</f>
        <v>323493</v>
      </c>
      <c r="AU233" s="8"/>
      <c r="AV233" s="16">
        <v>0</v>
      </c>
      <c r="AW233" s="16"/>
      <c r="AX233" s="16">
        <v>0</v>
      </c>
      <c r="AY233" s="16"/>
      <c r="AZ233" s="16">
        <f t="shared" si="92"/>
        <v>445664</v>
      </c>
      <c r="BB233" s="6" t="s">
        <v>246</v>
      </c>
      <c r="BC233" s="6"/>
      <c r="BD233" s="6" t="s">
        <v>247</v>
      </c>
      <c r="BE233" s="16"/>
      <c r="BF233" s="16">
        <v>0</v>
      </c>
      <c r="BG233" s="16"/>
      <c r="BH233" s="16">
        <v>0</v>
      </c>
      <c r="BI233" s="16"/>
      <c r="BJ233" s="16">
        <f>9954140+673452</f>
        <v>10627592</v>
      </c>
      <c r="BK233" s="16"/>
      <c r="BL233" s="16">
        <f>52955+6566</f>
        <v>59521</v>
      </c>
      <c r="BM233" s="16"/>
      <c r="BN233" s="16">
        <f t="shared" si="95"/>
        <v>10687113</v>
      </c>
      <c r="BO233" s="17"/>
      <c r="BQ233" s="6"/>
      <c r="BR233" s="6"/>
    </row>
    <row r="234" spans="1:70" ht="12.75" customHeight="1" x14ac:dyDescent="0.2">
      <c r="A234" s="6" t="s">
        <v>248</v>
      </c>
      <c r="C234" s="6" t="s">
        <v>101</v>
      </c>
      <c r="E234" s="16">
        <v>513713</v>
      </c>
      <c r="F234" s="16"/>
      <c r="G234" s="16">
        <v>9140044</v>
      </c>
      <c r="H234" s="16"/>
      <c r="I234" s="16">
        <f t="shared" si="88"/>
        <v>9653757</v>
      </c>
      <c r="J234" s="16"/>
      <c r="K234" s="16">
        <v>2366188</v>
      </c>
      <c r="L234" s="16"/>
      <c r="M234" s="16">
        <v>6646413</v>
      </c>
      <c r="N234" s="16"/>
      <c r="O234" s="16">
        <f t="shared" si="89"/>
        <v>9012601</v>
      </c>
      <c r="P234" s="16"/>
      <c r="Q234" s="16">
        <v>252589</v>
      </c>
      <c r="R234" s="16"/>
      <c r="S234" s="16">
        <v>563938</v>
      </c>
      <c r="T234" s="16"/>
      <c r="U234" s="16">
        <v>-175371</v>
      </c>
      <c r="V234" s="16"/>
      <c r="W234" s="16">
        <f t="shared" si="90"/>
        <v>641156</v>
      </c>
      <c r="Z234" s="6" t="s">
        <v>248</v>
      </c>
      <c r="AA234" s="16"/>
      <c r="AB234" s="6" t="s">
        <v>101</v>
      </c>
      <c r="AD234" s="16">
        <v>1419338</v>
      </c>
      <c r="AE234" s="16"/>
      <c r="AF234" s="16">
        <f>1416980-215232</f>
        <v>1201748</v>
      </c>
      <c r="AG234" s="16"/>
      <c r="AH234" s="16">
        <v>215232</v>
      </c>
      <c r="AI234" s="16"/>
      <c r="AJ234" s="8">
        <f t="shared" si="91"/>
        <v>2358</v>
      </c>
      <c r="AK234" s="8"/>
      <c r="AL234" s="16">
        <v>-199574</v>
      </c>
      <c r="AM234" s="8"/>
      <c r="AN234" s="16">
        <v>0</v>
      </c>
      <c r="AO234" s="16"/>
      <c r="AP234" s="16">
        <v>0</v>
      </c>
      <c r="AQ234" s="16"/>
      <c r="AR234" s="16">
        <v>0</v>
      </c>
      <c r="AS234" s="16"/>
      <c r="AT234" s="8">
        <f>+AJ234+AL234+AN234-AP234+AR234</f>
        <v>-197216</v>
      </c>
      <c r="AU234" s="8"/>
      <c r="AV234" s="16">
        <v>0</v>
      </c>
      <c r="AW234" s="16"/>
      <c r="AX234" s="16">
        <v>0</v>
      </c>
      <c r="AY234" s="16"/>
      <c r="AZ234" s="16">
        <f t="shared" si="92"/>
        <v>-1852475</v>
      </c>
      <c r="BB234" s="6" t="s">
        <v>248</v>
      </c>
      <c r="BC234" s="6"/>
      <c r="BD234" s="6" t="s">
        <v>101</v>
      </c>
      <c r="BE234" s="16"/>
      <c r="BF234" s="16">
        <v>0</v>
      </c>
      <c r="BG234" s="16"/>
      <c r="BH234" s="16">
        <f>6622455+175000</f>
        <v>6797455</v>
      </c>
      <c r="BI234" s="16"/>
      <c r="BJ234" s="16">
        <v>0</v>
      </c>
      <c r="BK234" s="16"/>
      <c r="BL234" s="16">
        <f>23958+17909</f>
        <v>41867</v>
      </c>
      <c r="BM234" s="16"/>
      <c r="BN234" s="16">
        <f t="shared" si="95"/>
        <v>6839322</v>
      </c>
      <c r="BO234" s="17"/>
      <c r="BP234" s="6"/>
      <c r="BQ234" s="6"/>
      <c r="BR234" s="6"/>
    </row>
    <row r="235" spans="1:70" ht="12.75" customHeight="1" x14ac:dyDescent="0.2"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 t="s">
        <v>478</v>
      </c>
      <c r="AA235" s="16"/>
      <c r="AD235" s="16"/>
      <c r="AE235" s="16"/>
      <c r="AF235" s="16"/>
      <c r="AG235" s="16"/>
      <c r="AH235" s="16"/>
      <c r="AI235" s="16"/>
      <c r="AJ235" s="8"/>
      <c r="AK235" s="8"/>
      <c r="AL235" s="16"/>
      <c r="AM235" s="8"/>
      <c r="AN235" s="16"/>
      <c r="AO235" s="16"/>
      <c r="AP235" s="16"/>
      <c r="AQ235" s="16"/>
      <c r="AR235" s="16"/>
      <c r="AS235" s="16"/>
      <c r="AT235" s="8"/>
      <c r="AU235" s="8"/>
      <c r="AV235" s="16"/>
      <c r="AW235" s="16"/>
      <c r="AX235" s="16"/>
      <c r="AY235" s="16"/>
      <c r="AZ235" s="16" t="s">
        <v>478</v>
      </c>
      <c r="BB235" s="6"/>
      <c r="BC235" s="6"/>
      <c r="BD235" s="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 t="s">
        <v>478</v>
      </c>
      <c r="BO235" s="17"/>
      <c r="BP235" s="6"/>
      <c r="BQ235" s="6"/>
      <c r="BR235" s="6"/>
    </row>
    <row r="236" spans="1:70" ht="12.75" customHeight="1" x14ac:dyDescent="0.2">
      <c r="A236" s="6" t="s">
        <v>249</v>
      </c>
      <c r="C236" s="6" t="s">
        <v>64</v>
      </c>
      <c r="E236" s="28">
        <v>1058430</v>
      </c>
      <c r="F236" s="28"/>
      <c r="G236" s="28">
        <f>588552+1170312</f>
        <v>1758864</v>
      </c>
      <c r="H236" s="28"/>
      <c r="I236" s="28">
        <f t="shared" ref="I236:I272" si="96">+E236+G236</f>
        <v>2817294</v>
      </c>
      <c r="J236" s="28"/>
      <c r="K236" s="28">
        <v>1249218</v>
      </c>
      <c r="L236" s="28"/>
      <c r="M236" s="28">
        <v>1883</v>
      </c>
      <c r="N236" s="28"/>
      <c r="O236" s="28">
        <f t="shared" ref="O236:O272" si="97">+K236+M236</f>
        <v>1251101</v>
      </c>
      <c r="P236" s="28"/>
      <c r="Q236" s="28">
        <v>1503864</v>
      </c>
      <c r="R236" s="28"/>
      <c r="S236" s="28">
        <v>0</v>
      </c>
      <c r="T236" s="28"/>
      <c r="U236" s="28">
        <v>62329</v>
      </c>
      <c r="V236" s="28"/>
      <c r="W236" s="28">
        <f t="shared" ref="W236:W250" si="98">SUM(Q236:U236)</f>
        <v>1566193</v>
      </c>
      <c r="X236" s="6"/>
      <c r="Y236" s="6"/>
      <c r="Z236" s="6" t="s">
        <v>249</v>
      </c>
      <c r="AA236" s="16"/>
      <c r="AB236" s="6" t="s">
        <v>64</v>
      </c>
      <c r="AD236" s="28">
        <v>1138465</v>
      </c>
      <c r="AE236" s="28"/>
      <c r="AF236" s="28">
        <f>1445128-19732</f>
        <v>1425396</v>
      </c>
      <c r="AG236" s="28"/>
      <c r="AH236" s="28">
        <v>19732</v>
      </c>
      <c r="AI236" s="28"/>
      <c r="AJ236" s="40">
        <f t="shared" ref="AJ236:AJ238" si="99">+AD236-AF236-AH236</f>
        <v>-306663</v>
      </c>
      <c r="AK236" s="40"/>
      <c r="AL236" s="28">
        <v>-22160</v>
      </c>
      <c r="AM236" s="40"/>
      <c r="AN236" s="28">
        <v>0</v>
      </c>
      <c r="AO236" s="28"/>
      <c r="AP236" s="28">
        <v>12500</v>
      </c>
      <c r="AQ236" s="28"/>
      <c r="AR236" s="28">
        <v>714225</v>
      </c>
      <c r="AS236" s="28"/>
      <c r="AT236" s="40">
        <f t="shared" ref="AT236:AT254" si="100">+AJ236+AL236+AN236-AP236+AR236</f>
        <v>372902</v>
      </c>
      <c r="AU236" s="40"/>
      <c r="AV236" s="28">
        <v>0</v>
      </c>
      <c r="AW236" s="28"/>
      <c r="AX236" s="28">
        <v>0</v>
      </c>
      <c r="AY236" s="28"/>
      <c r="AZ236" s="28">
        <f t="shared" ref="AZ236:AZ254" si="101">E236-K236</f>
        <v>-190788</v>
      </c>
      <c r="BB236" s="6" t="s">
        <v>249</v>
      </c>
      <c r="BC236" s="6"/>
      <c r="BD236" s="6" t="s">
        <v>64</v>
      </c>
      <c r="BE236" s="16"/>
      <c r="BF236" s="28">
        <v>0</v>
      </c>
      <c r="BG236" s="28"/>
      <c r="BH236" s="28">
        <v>0</v>
      </c>
      <c r="BI236" s="28"/>
      <c r="BJ236" s="28">
        <v>0</v>
      </c>
      <c r="BK236" s="28"/>
      <c r="BL236" s="28">
        <f>1883+2714</f>
        <v>4597</v>
      </c>
      <c r="BM236" s="28"/>
      <c r="BN236" s="28">
        <f t="shared" ref="BN236:BN250" si="102">SUM(BF236:BL236)</f>
        <v>4597</v>
      </c>
      <c r="BO236" s="17"/>
      <c r="BQ236" s="6"/>
      <c r="BR236" s="6"/>
    </row>
    <row r="237" spans="1:70" ht="12.75" customHeight="1" x14ac:dyDescent="0.2">
      <c r="A237" s="6" t="s">
        <v>250</v>
      </c>
      <c r="C237" s="6" t="s">
        <v>207</v>
      </c>
      <c r="E237" s="16">
        <v>6866396</v>
      </c>
      <c r="F237" s="16"/>
      <c r="G237" s="16">
        <v>19949413</v>
      </c>
      <c r="H237" s="16"/>
      <c r="I237" s="16">
        <f t="shared" si="96"/>
        <v>26815809</v>
      </c>
      <c r="J237" s="16"/>
      <c r="K237" s="16">
        <v>946306</v>
      </c>
      <c r="L237" s="16"/>
      <c r="M237" s="16">
        <v>3161570</v>
      </c>
      <c r="N237" s="16"/>
      <c r="O237" s="16">
        <f t="shared" si="97"/>
        <v>4107876</v>
      </c>
      <c r="P237" s="16"/>
      <c r="Q237" s="16">
        <v>16114413</v>
      </c>
      <c r="R237" s="16"/>
      <c r="S237" s="16">
        <v>0</v>
      </c>
      <c r="T237" s="16"/>
      <c r="U237" s="16">
        <v>6593520</v>
      </c>
      <c r="V237" s="16"/>
      <c r="W237" s="16">
        <f t="shared" si="98"/>
        <v>22707933</v>
      </c>
      <c r="Z237" s="6" t="s">
        <v>250</v>
      </c>
      <c r="AA237" s="16"/>
      <c r="AB237" s="6" t="s">
        <v>207</v>
      </c>
      <c r="AD237" s="16">
        <v>5115980</v>
      </c>
      <c r="AE237" s="16"/>
      <c r="AF237" s="16">
        <f>4223913-994779</f>
        <v>3229134</v>
      </c>
      <c r="AG237" s="16"/>
      <c r="AH237" s="16">
        <v>994779</v>
      </c>
      <c r="AI237" s="16"/>
      <c r="AJ237" s="8">
        <f t="shared" si="99"/>
        <v>892067</v>
      </c>
      <c r="AK237" s="8"/>
      <c r="AL237" s="16">
        <v>-173563</v>
      </c>
      <c r="AM237" s="8"/>
      <c r="AN237" s="16">
        <v>0</v>
      </c>
      <c r="AO237" s="16"/>
      <c r="AP237" s="16">
        <v>0</v>
      </c>
      <c r="AQ237" s="16"/>
      <c r="AR237" s="16">
        <v>133429</v>
      </c>
      <c r="AS237" s="16"/>
      <c r="AT237" s="8">
        <f t="shared" si="100"/>
        <v>851933</v>
      </c>
      <c r="AU237" s="8"/>
      <c r="AV237" s="16">
        <v>0</v>
      </c>
      <c r="AW237" s="16"/>
      <c r="AX237" s="16">
        <v>0</v>
      </c>
      <c r="AY237" s="16"/>
      <c r="AZ237" s="16">
        <f t="shared" si="101"/>
        <v>5920090</v>
      </c>
      <c r="BB237" s="6" t="s">
        <v>250</v>
      </c>
      <c r="BC237" s="6"/>
      <c r="BD237" s="6" t="s">
        <v>207</v>
      </c>
      <c r="BE237" s="16"/>
      <c r="BF237" s="16">
        <f>3065000+770000</f>
        <v>3835000</v>
      </c>
      <c r="BG237" s="16"/>
      <c r="BH237" s="16">
        <v>0</v>
      </c>
      <c r="BI237" s="16"/>
      <c r="BJ237" s="16">
        <v>0</v>
      </c>
      <c r="BK237" s="16"/>
      <c r="BL237" s="16">
        <f>96570+50721</f>
        <v>147291</v>
      </c>
      <c r="BM237" s="16"/>
      <c r="BN237" s="16">
        <f t="shared" si="102"/>
        <v>3982291</v>
      </c>
      <c r="BO237" s="17"/>
      <c r="BP237" s="6"/>
      <c r="BQ237" s="6"/>
      <c r="BR237" s="6"/>
    </row>
    <row r="238" spans="1:70" ht="12.75" hidden="1" customHeight="1" x14ac:dyDescent="0.2">
      <c r="A238" s="6" t="s">
        <v>251</v>
      </c>
      <c r="C238" s="6" t="s">
        <v>11</v>
      </c>
      <c r="E238" s="16">
        <v>0</v>
      </c>
      <c r="F238" s="16"/>
      <c r="G238" s="16"/>
      <c r="H238" s="16"/>
      <c r="I238" s="16">
        <f t="shared" si="96"/>
        <v>0</v>
      </c>
      <c r="J238" s="16"/>
      <c r="K238" s="16">
        <v>0</v>
      </c>
      <c r="L238" s="16"/>
      <c r="M238" s="16"/>
      <c r="N238" s="16"/>
      <c r="O238" s="16">
        <f t="shared" si="97"/>
        <v>0</v>
      </c>
      <c r="P238" s="16"/>
      <c r="Q238" s="16"/>
      <c r="R238" s="16"/>
      <c r="S238" s="16"/>
      <c r="T238" s="16"/>
      <c r="U238" s="16"/>
      <c r="V238" s="16"/>
      <c r="W238" s="16">
        <f t="shared" si="98"/>
        <v>0</v>
      </c>
      <c r="Z238" s="6" t="s">
        <v>251</v>
      </c>
      <c r="AA238" s="16"/>
      <c r="AB238" s="6" t="s">
        <v>11</v>
      </c>
      <c r="AD238" s="16"/>
      <c r="AE238" s="16"/>
      <c r="AF238" s="16"/>
      <c r="AG238" s="16"/>
      <c r="AH238" s="16"/>
      <c r="AI238" s="16"/>
      <c r="AJ238" s="8">
        <f t="shared" si="99"/>
        <v>0</v>
      </c>
      <c r="AK238" s="8"/>
      <c r="AL238" s="16"/>
      <c r="AM238" s="8"/>
      <c r="AN238" s="16"/>
      <c r="AO238" s="16"/>
      <c r="AP238" s="16"/>
      <c r="AQ238" s="16"/>
      <c r="AR238" s="16"/>
      <c r="AS238" s="16"/>
      <c r="AT238" s="8">
        <f t="shared" si="100"/>
        <v>0</v>
      </c>
      <c r="AU238" s="8"/>
      <c r="AV238" s="16">
        <v>0</v>
      </c>
      <c r="AW238" s="16"/>
      <c r="AX238" s="16">
        <v>0</v>
      </c>
      <c r="AY238" s="16"/>
      <c r="AZ238" s="16">
        <f t="shared" si="101"/>
        <v>0</v>
      </c>
      <c r="BB238" s="6" t="s">
        <v>251</v>
      </c>
      <c r="BC238" s="6"/>
      <c r="BD238" s="6" t="s">
        <v>11</v>
      </c>
      <c r="BE238" s="16"/>
      <c r="BF238" s="16"/>
      <c r="BG238" s="16"/>
      <c r="BH238" s="16"/>
      <c r="BI238" s="16"/>
      <c r="BJ238" s="16"/>
      <c r="BK238" s="16"/>
      <c r="BL238" s="16"/>
      <c r="BM238" s="16"/>
      <c r="BN238" s="16">
        <f t="shared" si="102"/>
        <v>0</v>
      </c>
      <c r="BO238" s="17"/>
      <c r="BP238" s="6"/>
      <c r="BQ238" s="6"/>
      <c r="BR238" s="6"/>
    </row>
    <row r="239" spans="1:70" ht="12.75" hidden="1" customHeight="1" x14ac:dyDescent="0.2">
      <c r="A239" s="6" t="s">
        <v>252</v>
      </c>
      <c r="C239" s="6" t="s">
        <v>87</v>
      </c>
      <c r="E239" s="16">
        <v>0</v>
      </c>
      <c r="F239" s="16"/>
      <c r="G239" s="16"/>
      <c r="H239" s="16"/>
      <c r="I239" s="16">
        <f t="shared" si="96"/>
        <v>0</v>
      </c>
      <c r="J239" s="16"/>
      <c r="K239" s="16">
        <v>0</v>
      </c>
      <c r="L239" s="16"/>
      <c r="M239" s="16"/>
      <c r="N239" s="16"/>
      <c r="O239" s="16">
        <f t="shared" si="97"/>
        <v>0</v>
      </c>
      <c r="P239" s="16"/>
      <c r="Q239" s="16"/>
      <c r="R239" s="16"/>
      <c r="S239" s="16"/>
      <c r="T239" s="16"/>
      <c r="U239" s="16"/>
      <c r="V239" s="16"/>
      <c r="W239" s="16">
        <f t="shared" si="98"/>
        <v>0</v>
      </c>
      <c r="Z239" s="6" t="s">
        <v>252</v>
      </c>
      <c r="AA239" s="16"/>
      <c r="AB239" s="6" t="s">
        <v>87</v>
      </c>
      <c r="AD239" s="16"/>
      <c r="AE239" s="16"/>
      <c r="AF239" s="16"/>
      <c r="AG239" s="16"/>
      <c r="AH239" s="16"/>
      <c r="AI239" s="16"/>
      <c r="AJ239" s="8">
        <f t="shared" ref="AJ239:AJ254" si="103">+AD239-AF239-AH239</f>
        <v>0</v>
      </c>
      <c r="AK239" s="8"/>
      <c r="AL239" s="16"/>
      <c r="AM239" s="8"/>
      <c r="AN239" s="16"/>
      <c r="AO239" s="16"/>
      <c r="AP239" s="16"/>
      <c r="AQ239" s="16"/>
      <c r="AR239" s="16"/>
      <c r="AS239" s="16"/>
      <c r="AT239" s="8">
        <f t="shared" si="100"/>
        <v>0</v>
      </c>
      <c r="AU239" s="8"/>
      <c r="AV239" s="16">
        <v>0</v>
      </c>
      <c r="AW239" s="16"/>
      <c r="AX239" s="16">
        <v>0</v>
      </c>
      <c r="AY239" s="16"/>
      <c r="AZ239" s="16">
        <f t="shared" si="101"/>
        <v>0</v>
      </c>
      <c r="BB239" s="6" t="s">
        <v>252</v>
      </c>
      <c r="BC239" s="6"/>
      <c r="BD239" s="6" t="s">
        <v>87</v>
      </c>
      <c r="BE239" s="16"/>
      <c r="BF239" s="16"/>
      <c r="BG239" s="16"/>
      <c r="BH239" s="16"/>
      <c r="BI239" s="16"/>
      <c r="BJ239" s="16"/>
      <c r="BK239" s="16"/>
      <c r="BL239" s="16"/>
      <c r="BM239" s="16"/>
      <c r="BN239" s="16">
        <f t="shared" si="102"/>
        <v>0</v>
      </c>
      <c r="BO239" s="17"/>
      <c r="BP239" s="6"/>
      <c r="BQ239" s="6"/>
      <c r="BR239" s="6"/>
    </row>
    <row r="240" spans="1:70" ht="12.75" customHeight="1" x14ac:dyDescent="0.2">
      <c r="A240" s="6" t="s">
        <v>157</v>
      </c>
      <c r="B240" s="6"/>
      <c r="C240" s="6" t="s">
        <v>64</v>
      </c>
      <c r="E240" s="16">
        <v>545881</v>
      </c>
      <c r="F240" s="16"/>
      <c r="G240" s="16">
        <v>5091732</v>
      </c>
      <c r="H240" s="16"/>
      <c r="I240" s="16">
        <f t="shared" si="96"/>
        <v>5637613</v>
      </c>
      <c r="J240" s="16"/>
      <c r="K240" s="16">
        <v>157919</v>
      </c>
      <c r="L240" s="16"/>
      <c r="M240" s="16">
        <v>1592664</v>
      </c>
      <c r="N240" s="16"/>
      <c r="O240" s="16">
        <f t="shared" si="97"/>
        <v>1750583</v>
      </c>
      <c r="P240" s="16"/>
      <c r="Q240" s="16">
        <v>3454711</v>
      </c>
      <c r="R240" s="16"/>
      <c r="S240" s="16">
        <v>0</v>
      </c>
      <c r="T240" s="16"/>
      <c r="U240" s="16">
        <v>432319</v>
      </c>
      <c r="V240" s="16"/>
      <c r="W240" s="16">
        <f t="shared" si="98"/>
        <v>3887030</v>
      </c>
      <c r="Z240" s="6" t="s">
        <v>157</v>
      </c>
      <c r="AA240" s="16"/>
      <c r="AB240" s="6" t="s">
        <v>64</v>
      </c>
      <c r="AC240" s="6"/>
      <c r="AD240" s="16">
        <v>520691</v>
      </c>
      <c r="AE240" s="16"/>
      <c r="AF240" s="16">
        <f>508144-186473</f>
        <v>321671</v>
      </c>
      <c r="AG240" s="16"/>
      <c r="AH240" s="16">
        <v>186473</v>
      </c>
      <c r="AI240" s="16"/>
      <c r="AJ240" s="8">
        <f t="shared" si="103"/>
        <v>12547</v>
      </c>
      <c r="AK240" s="8"/>
      <c r="AL240" s="16">
        <v>115018</v>
      </c>
      <c r="AM240" s="8"/>
      <c r="AN240" s="16">
        <v>0</v>
      </c>
      <c r="AO240" s="16"/>
      <c r="AP240" s="16">
        <v>0</v>
      </c>
      <c r="AQ240" s="16"/>
      <c r="AR240" s="16">
        <v>0</v>
      </c>
      <c r="AS240" s="16"/>
      <c r="AT240" s="8">
        <f t="shared" si="100"/>
        <v>127565</v>
      </c>
      <c r="AU240" s="8"/>
      <c r="AV240" s="16">
        <v>0</v>
      </c>
      <c r="AW240" s="16"/>
      <c r="AX240" s="16">
        <v>0</v>
      </c>
      <c r="AY240" s="16"/>
      <c r="AZ240" s="16">
        <f t="shared" si="101"/>
        <v>387962</v>
      </c>
      <c r="BB240" s="6" t="s">
        <v>157</v>
      </c>
      <c r="BC240" s="6"/>
      <c r="BD240" s="6" t="s">
        <v>64</v>
      </c>
      <c r="BE240" s="16"/>
      <c r="BF240" s="16">
        <f>42222+13528</f>
        <v>55750</v>
      </c>
      <c r="BG240" s="16"/>
      <c r="BH240" s="16">
        <v>0</v>
      </c>
      <c r="BI240" s="16"/>
      <c r="BJ240" s="16">
        <f>1507792+59645</f>
        <v>1567437</v>
      </c>
      <c r="BK240" s="16"/>
      <c r="BL240" s="16">
        <f>34535+8115+4330+439</f>
        <v>47419</v>
      </c>
      <c r="BM240" s="16"/>
      <c r="BN240" s="16">
        <f>SUM(BF240:BL240)</f>
        <v>1670606</v>
      </c>
      <c r="BO240" s="17"/>
      <c r="BP240" s="6"/>
      <c r="BQ240" s="6"/>
      <c r="BR240" s="6"/>
    </row>
    <row r="241" spans="1:95" ht="12.75" hidden="1" customHeight="1" x14ac:dyDescent="0.2">
      <c r="A241" s="6" t="s">
        <v>253</v>
      </c>
      <c r="C241" s="6" t="s">
        <v>25</v>
      </c>
      <c r="E241" s="16">
        <v>0</v>
      </c>
      <c r="F241" s="16"/>
      <c r="G241" s="16"/>
      <c r="H241" s="16"/>
      <c r="I241" s="16">
        <f t="shared" si="96"/>
        <v>0</v>
      </c>
      <c r="J241" s="16"/>
      <c r="K241" s="16">
        <v>0</v>
      </c>
      <c r="L241" s="16"/>
      <c r="M241" s="16"/>
      <c r="N241" s="16"/>
      <c r="O241" s="16">
        <f t="shared" si="97"/>
        <v>0</v>
      </c>
      <c r="P241" s="16"/>
      <c r="Q241" s="16"/>
      <c r="R241" s="16"/>
      <c r="S241" s="16"/>
      <c r="T241" s="16"/>
      <c r="U241" s="16"/>
      <c r="V241" s="16"/>
      <c r="W241" s="16">
        <f t="shared" si="98"/>
        <v>0</v>
      </c>
      <c r="Z241" s="6" t="s">
        <v>253</v>
      </c>
      <c r="AA241" s="16"/>
      <c r="AB241" s="6" t="s">
        <v>25</v>
      </c>
      <c r="AD241" s="16"/>
      <c r="AE241" s="16"/>
      <c r="AF241" s="16"/>
      <c r="AG241" s="16"/>
      <c r="AH241" s="16"/>
      <c r="AI241" s="16"/>
      <c r="AJ241" s="8">
        <f t="shared" si="103"/>
        <v>0</v>
      </c>
      <c r="AK241" s="8"/>
      <c r="AL241" s="16"/>
      <c r="AM241" s="8"/>
      <c r="AN241" s="16"/>
      <c r="AO241" s="16"/>
      <c r="AP241" s="16"/>
      <c r="AQ241" s="16"/>
      <c r="AR241" s="16"/>
      <c r="AS241" s="16"/>
      <c r="AT241" s="8">
        <f t="shared" si="100"/>
        <v>0</v>
      </c>
      <c r="AU241" s="8"/>
      <c r="AV241" s="16">
        <v>0</v>
      </c>
      <c r="AW241" s="16"/>
      <c r="AX241" s="16">
        <v>0</v>
      </c>
      <c r="AY241" s="16"/>
      <c r="AZ241" s="16">
        <f t="shared" si="101"/>
        <v>0</v>
      </c>
      <c r="BB241" s="6" t="s">
        <v>253</v>
      </c>
      <c r="BC241" s="6"/>
      <c r="BD241" s="6" t="s">
        <v>25</v>
      </c>
      <c r="BE241" s="16"/>
      <c r="BF241" s="16"/>
      <c r="BG241" s="16"/>
      <c r="BH241" s="16"/>
      <c r="BI241" s="16"/>
      <c r="BJ241" s="16"/>
      <c r="BK241" s="16"/>
      <c r="BL241" s="16"/>
      <c r="BM241" s="16"/>
      <c r="BN241" s="16">
        <f t="shared" si="102"/>
        <v>0</v>
      </c>
      <c r="BO241" s="17"/>
      <c r="BP241" s="6"/>
      <c r="BQ241" s="6"/>
      <c r="BR241" s="6"/>
    </row>
    <row r="242" spans="1:95" ht="12.75" customHeight="1" x14ac:dyDescent="0.2">
      <c r="A242" s="6" t="s">
        <v>254</v>
      </c>
      <c r="B242" s="6"/>
      <c r="C242" s="6" t="s">
        <v>41</v>
      </c>
      <c r="E242" s="16">
        <v>686183</v>
      </c>
      <c r="F242" s="16"/>
      <c r="G242" s="16">
        <v>7781100</v>
      </c>
      <c r="H242" s="16"/>
      <c r="I242" s="16">
        <f t="shared" si="96"/>
        <v>8467283</v>
      </c>
      <c r="J242" s="16"/>
      <c r="K242" s="16">
        <v>133793</v>
      </c>
      <c r="L242" s="16"/>
      <c r="M242" s="16">
        <v>374945</v>
      </c>
      <c r="N242" s="16"/>
      <c r="O242" s="16">
        <f t="shared" si="97"/>
        <v>508738</v>
      </c>
      <c r="P242" s="16"/>
      <c r="Q242" s="16">
        <v>7286468</v>
      </c>
      <c r="R242" s="16"/>
      <c r="S242" s="16">
        <v>0</v>
      </c>
      <c r="T242" s="16"/>
      <c r="U242" s="16">
        <v>672077</v>
      </c>
      <c r="V242" s="16"/>
      <c r="W242" s="16">
        <f t="shared" si="98"/>
        <v>7958545</v>
      </c>
      <c r="Z242" s="6" t="s">
        <v>254</v>
      </c>
      <c r="AA242" s="16"/>
      <c r="AB242" s="6" t="s">
        <v>41</v>
      </c>
      <c r="AC242" s="6"/>
      <c r="AD242" s="16">
        <v>483841</v>
      </c>
      <c r="AE242" s="16"/>
      <c r="AF242" s="16">
        <f>469704-266502</f>
        <v>203202</v>
      </c>
      <c r="AG242" s="16"/>
      <c r="AH242" s="16">
        <v>266502</v>
      </c>
      <c r="AI242" s="16"/>
      <c r="AJ242" s="8">
        <f t="shared" si="103"/>
        <v>14137</v>
      </c>
      <c r="AK242" s="8"/>
      <c r="AL242" s="16">
        <v>-12113</v>
      </c>
      <c r="AM242" s="8"/>
      <c r="AN242" s="16">
        <v>0</v>
      </c>
      <c r="AO242" s="16"/>
      <c r="AP242" s="16">
        <v>0</v>
      </c>
      <c r="AQ242" s="16"/>
      <c r="AR242" s="16">
        <v>438223</v>
      </c>
      <c r="AS242" s="16"/>
      <c r="AT242" s="8">
        <f t="shared" si="100"/>
        <v>440247</v>
      </c>
      <c r="AU242" s="8"/>
      <c r="AV242" s="16">
        <v>0</v>
      </c>
      <c r="AW242" s="16"/>
      <c r="AX242" s="16">
        <v>0</v>
      </c>
      <c r="AY242" s="16"/>
      <c r="AZ242" s="16">
        <f t="shared" si="101"/>
        <v>552390</v>
      </c>
      <c r="BB242" s="6" t="s">
        <v>254</v>
      </c>
      <c r="BC242" s="6"/>
      <c r="BD242" s="6" t="s">
        <v>41</v>
      </c>
      <c r="BE242" s="16"/>
      <c r="BF242" s="16">
        <v>0</v>
      </c>
      <c r="BG242" s="16"/>
      <c r="BH242" s="16">
        <v>0</v>
      </c>
      <c r="BI242" s="16"/>
      <c r="BJ242" s="16">
        <f>374337+120295</f>
        <v>494632</v>
      </c>
      <c r="BK242" s="16"/>
      <c r="BL242" s="16">
        <f>608+393</f>
        <v>1001</v>
      </c>
      <c r="BM242" s="16"/>
      <c r="BN242" s="16">
        <f>SUM(BF242:BL242)</f>
        <v>495633</v>
      </c>
      <c r="BO242" s="17"/>
      <c r="BP242" s="6"/>
      <c r="BQ242" s="6"/>
      <c r="BR242" s="6"/>
    </row>
    <row r="243" spans="1:95" x14ac:dyDescent="0.2">
      <c r="A243" s="6" t="s">
        <v>255</v>
      </c>
      <c r="C243" s="6" t="s">
        <v>256</v>
      </c>
      <c r="E243" s="16">
        <v>1986701</v>
      </c>
      <c r="F243" s="16"/>
      <c r="G243" s="16">
        <v>24662025</v>
      </c>
      <c r="H243" s="16"/>
      <c r="I243" s="16">
        <f t="shared" si="96"/>
        <v>26648726</v>
      </c>
      <c r="J243" s="16"/>
      <c r="K243" s="16">
        <v>763354</v>
      </c>
      <c r="L243" s="16"/>
      <c r="M243" s="16">
        <v>14457230</v>
      </c>
      <c r="N243" s="16"/>
      <c r="O243" s="16">
        <f t="shared" si="97"/>
        <v>15220584</v>
      </c>
      <c r="P243" s="16"/>
      <c r="Q243" s="16">
        <v>9907753</v>
      </c>
      <c r="R243" s="16"/>
      <c r="S243" s="16">
        <v>0</v>
      </c>
      <c r="T243" s="16"/>
      <c r="U243" s="16">
        <v>1520389</v>
      </c>
      <c r="V243" s="16"/>
      <c r="W243" s="16">
        <f t="shared" si="98"/>
        <v>11428142</v>
      </c>
      <c r="X243" s="6"/>
      <c r="Y243" s="6"/>
      <c r="Z243" s="6" t="s">
        <v>255</v>
      </c>
      <c r="AA243" s="16"/>
      <c r="AB243" s="6" t="s">
        <v>256</v>
      </c>
      <c r="AD243" s="16">
        <v>2771644</v>
      </c>
      <c r="AE243" s="16"/>
      <c r="AF243" s="16">
        <f>1984366-430439</f>
        <v>1553927</v>
      </c>
      <c r="AG243" s="16"/>
      <c r="AH243" s="16">
        <v>430439</v>
      </c>
      <c r="AI243" s="16"/>
      <c r="AJ243" s="8">
        <f t="shared" si="103"/>
        <v>787278</v>
      </c>
      <c r="AK243" s="8"/>
      <c r="AL243" s="16">
        <v>-532196</v>
      </c>
      <c r="AM243" s="8"/>
      <c r="AN243" s="16">
        <v>7245</v>
      </c>
      <c r="AO243" s="16"/>
      <c r="AP243" s="16">
        <v>482162</v>
      </c>
      <c r="AQ243" s="16"/>
      <c r="AR243" s="16">
        <v>174616</v>
      </c>
      <c r="AS243" s="16"/>
      <c r="AT243" s="8">
        <f t="shared" si="100"/>
        <v>-45219</v>
      </c>
      <c r="AU243" s="8"/>
      <c r="AV243" s="16">
        <v>0</v>
      </c>
      <c r="AW243" s="16"/>
      <c r="AX243" s="16">
        <v>0</v>
      </c>
      <c r="AY243" s="16"/>
      <c r="AZ243" s="16">
        <f t="shared" si="101"/>
        <v>1223347</v>
      </c>
      <c r="BB243" s="6" t="s">
        <v>255</v>
      </c>
      <c r="BC243" s="6"/>
      <c r="BD243" s="6" t="s">
        <v>256</v>
      </c>
      <c r="BE243" s="16"/>
      <c r="BF243" s="16">
        <v>0</v>
      </c>
      <c r="BG243" s="16"/>
      <c r="BH243" s="16">
        <v>0</v>
      </c>
      <c r="BI243" s="16"/>
      <c r="BJ243" s="16">
        <f>14427798+292873</f>
        <v>14720671</v>
      </c>
      <c r="BK243" s="16"/>
      <c r="BL243" s="16">
        <f>16491+24580+12322+17110</f>
        <v>70503</v>
      </c>
      <c r="BM243" s="16"/>
      <c r="BN243" s="16">
        <f>SUM(BF243:BL243)</f>
        <v>14791174</v>
      </c>
      <c r="BO243" s="17"/>
      <c r="BP243" s="6"/>
      <c r="BQ243" s="6"/>
      <c r="BR243" s="6"/>
    </row>
    <row r="244" spans="1:95" x14ac:dyDescent="0.2">
      <c r="A244" s="6" t="s">
        <v>257</v>
      </c>
      <c r="B244" s="6"/>
      <c r="C244" s="6" t="s">
        <v>258</v>
      </c>
      <c r="E244" s="16">
        <v>750852</v>
      </c>
      <c r="F244" s="16"/>
      <c r="G244" s="16">
        <v>9869025</v>
      </c>
      <c r="H244" s="16"/>
      <c r="I244" s="16">
        <f t="shared" si="96"/>
        <v>10619877</v>
      </c>
      <c r="J244" s="16"/>
      <c r="K244" s="16">
        <v>595153</v>
      </c>
      <c r="L244" s="16"/>
      <c r="M244" s="16">
        <v>6777248</v>
      </c>
      <c r="N244" s="16"/>
      <c r="O244" s="16">
        <f t="shared" si="97"/>
        <v>7372401</v>
      </c>
      <c r="P244" s="16"/>
      <c r="Q244" s="16">
        <v>2673948</v>
      </c>
      <c r="R244" s="16"/>
      <c r="S244" s="16">
        <v>0</v>
      </c>
      <c r="T244" s="16"/>
      <c r="U244" s="16">
        <v>573528</v>
      </c>
      <c r="V244" s="16"/>
      <c r="W244" s="16">
        <f t="shared" si="98"/>
        <v>3247476</v>
      </c>
      <c r="Z244" s="6" t="s">
        <v>257</v>
      </c>
      <c r="AA244" s="16"/>
      <c r="AB244" s="6" t="s">
        <v>258</v>
      </c>
      <c r="AC244" s="6"/>
      <c r="AD244" s="16">
        <v>2000438</v>
      </c>
      <c r="AE244" s="16"/>
      <c r="AF244" s="16">
        <f>1497163-286809</f>
        <v>1210354</v>
      </c>
      <c r="AG244" s="16"/>
      <c r="AH244" s="16">
        <v>286809</v>
      </c>
      <c r="AI244" s="16"/>
      <c r="AJ244" s="8">
        <f t="shared" si="103"/>
        <v>503275</v>
      </c>
      <c r="AK244" s="8"/>
      <c r="AL244" s="16">
        <v>-201625</v>
      </c>
      <c r="AM244" s="8"/>
      <c r="AN244" s="16">
        <v>0</v>
      </c>
      <c r="AO244" s="16"/>
      <c r="AP244" s="16">
        <v>0</v>
      </c>
      <c r="AQ244" s="16"/>
      <c r="AR244" s="16">
        <v>0</v>
      </c>
      <c r="AS244" s="16"/>
      <c r="AT244" s="8">
        <f t="shared" si="100"/>
        <v>301650</v>
      </c>
      <c r="AU244" s="8"/>
      <c r="AV244" s="16">
        <v>0</v>
      </c>
      <c r="AW244" s="16"/>
      <c r="AX244" s="16">
        <v>0</v>
      </c>
      <c r="AY244" s="16"/>
      <c r="AZ244" s="16">
        <f t="shared" si="101"/>
        <v>155699</v>
      </c>
      <c r="BB244" s="6" t="s">
        <v>257</v>
      </c>
      <c r="BC244" s="6"/>
      <c r="BD244" s="6" t="s">
        <v>258</v>
      </c>
      <c r="BE244" s="16"/>
      <c r="BF244" s="16">
        <f>454813+114749</f>
        <v>569562</v>
      </c>
      <c r="BG244" s="16"/>
      <c r="BH244" s="16">
        <v>0</v>
      </c>
      <c r="BI244" s="16"/>
      <c r="BJ244" s="16">
        <f>6300137+325378</f>
        <v>6625515</v>
      </c>
      <c r="BK244" s="16"/>
      <c r="BL244" s="16">
        <f>22298+27814</f>
        <v>50112</v>
      </c>
      <c r="BM244" s="16"/>
      <c r="BN244" s="16">
        <f t="shared" si="102"/>
        <v>7245189</v>
      </c>
      <c r="BO244" s="17"/>
      <c r="BP244" s="6"/>
      <c r="BQ244" s="6"/>
      <c r="BR244" s="6"/>
    </row>
    <row r="245" spans="1:95" x14ac:dyDescent="0.2">
      <c r="A245" s="6" t="s">
        <v>259</v>
      </c>
      <c r="C245" s="6" t="s">
        <v>64</v>
      </c>
      <c r="E245" s="16">
        <v>2123691</v>
      </c>
      <c r="F245" s="16"/>
      <c r="G245" s="16">
        <v>7701485</v>
      </c>
      <c r="H245" s="16"/>
      <c r="I245" s="16">
        <f t="shared" si="96"/>
        <v>9825176</v>
      </c>
      <c r="J245" s="16"/>
      <c r="K245" s="16">
        <v>179402</v>
      </c>
      <c r="L245" s="16"/>
      <c r="M245" s="16">
        <v>28748</v>
      </c>
      <c r="N245" s="16"/>
      <c r="O245" s="16">
        <f t="shared" si="97"/>
        <v>208150</v>
      </c>
      <c r="P245" s="16"/>
      <c r="Q245" s="16">
        <v>7578320</v>
      </c>
      <c r="R245" s="16"/>
      <c r="S245" s="16">
        <v>0</v>
      </c>
      <c r="T245" s="16"/>
      <c r="U245" s="16">
        <v>2038706</v>
      </c>
      <c r="V245" s="16"/>
      <c r="W245" s="16">
        <f t="shared" si="98"/>
        <v>9617026</v>
      </c>
      <c r="Z245" s="6" t="s">
        <v>259</v>
      </c>
      <c r="AA245" s="16"/>
      <c r="AB245" s="6" t="s">
        <v>64</v>
      </c>
      <c r="AD245" s="16">
        <v>2276360</v>
      </c>
      <c r="AE245" s="16"/>
      <c r="AF245" s="16">
        <f>2049640-238693</f>
        <v>1810947</v>
      </c>
      <c r="AG245" s="16"/>
      <c r="AH245" s="16">
        <v>238693</v>
      </c>
      <c r="AI245" s="16"/>
      <c r="AJ245" s="8">
        <f t="shared" si="103"/>
        <v>226720</v>
      </c>
      <c r="AK245" s="8"/>
      <c r="AL245" s="16">
        <v>73623</v>
      </c>
      <c r="AM245" s="8"/>
      <c r="AN245" s="16">
        <v>0</v>
      </c>
      <c r="AO245" s="16"/>
      <c r="AP245" s="16">
        <v>0</v>
      </c>
      <c r="AQ245" s="16"/>
      <c r="AR245" s="16">
        <v>1018</v>
      </c>
      <c r="AS245" s="16"/>
      <c r="AT245" s="8">
        <f t="shared" si="100"/>
        <v>301361</v>
      </c>
      <c r="AU245" s="8"/>
      <c r="AV245" s="16">
        <v>0</v>
      </c>
      <c r="AW245" s="16"/>
      <c r="AX245" s="16">
        <v>0</v>
      </c>
      <c r="AY245" s="16"/>
      <c r="AZ245" s="16">
        <f t="shared" si="101"/>
        <v>1944289</v>
      </c>
      <c r="BB245" s="6" t="s">
        <v>259</v>
      </c>
      <c r="BC245" s="6"/>
      <c r="BD245" s="6" t="s">
        <v>64</v>
      </c>
      <c r="BE245" s="16"/>
      <c r="BF245" s="16">
        <v>0</v>
      </c>
      <c r="BG245" s="16"/>
      <c r="BH245" s="16">
        <v>0</v>
      </c>
      <c r="BI245" s="16"/>
      <c r="BJ245" s="16">
        <v>0</v>
      </c>
      <c r="BK245" s="16"/>
      <c r="BL245" s="16">
        <f>28748+32479</f>
        <v>61227</v>
      </c>
      <c r="BM245" s="16"/>
      <c r="BN245" s="16">
        <f t="shared" si="102"/>
        <v>61227</v>
      </c>
      <c r="BO245" s="17"/>
      <c r="BP245" s="6"/>
      <c r="BQ245" s="6"/>
      <c r="BR245" s="6"/>
    </row>
    <row r="246" spans="1:95" x14ac:dyDescent="0.2">
      <c r="A246" s="6" t="s">
        <v>260</v>
      </c>
      <c r="B246" s="6"/>
      <c r="C246" s="6" t="s">
        <v>130</v>
      </c>
      <c r="E246" s="16">
        <v>452202</v>
      </c>
      <c r="F246" s="16"/>
      <c r="G246" s="16">
        <v>4369170</v>
      </c>
      <c r="H246" s="16"/>
      <c r="I246" s="16">
        <f t="shared" si="96"/>
        <v>4821372</v>
      </c>
      <c r="J246" s="16"/>
      <c r="K246" s="16">
        <v>610853</v>
      </c>
      <c r="L246" s="16"/>
      <c r="M246" s="16">
        <v>5038523</v>
      </c>
      <c r="N246" s="16"/>
      <c r="O246" s="16">
        <f t="shared" si="97"/>
        <v>5649376</v>
      </c>
      <c r="P246" s="16"/>
      <c r="Q246" s="16">
        <v>-210609</v>
      </c>
      <c r="R246" s="16"/>
      <c r="S246" s="16">
        <v>0</v>
      </c>
      <c r="T246" s="16"/>
      <c r="U246" s="16">
        <v>-617395</v>
      </c>
      <c r="V246" s="16"/>
      <c r="W246" s="16">
        <f t="shared" ref="W246:W248" si="104">SUM(Q246:U246)</f>
        <v>-828004</v>
      </c>
      <c r="Y246" s="20"/>
      <c r="Z246" s="6" t="s">
        <v>260</v>
      </c>
      <c r="AA246" s="16"/>
      <c r="AB246" s="6" t="s">
        <v>130</v>
      </c>
      <c r="AC246" s="6"/>
      <c r="AD246" s="16">
        <v>1805215</v>
      </c>
      <c r="AE246" s="16"/>
      <c r="AF246" s="16">
        <v>1196866</v>
      </c>
      <c r="AG246" s="16"/>
      <c r="AH246" s="16">
        <v>0</v>
      </c>
      <c r="AI246" s="16"/>
      <c r="AJ246" s="8">
        <f t="shared" si="103"/>
        <v>608349</v>
      </c>
      <c r="AK246" s="8"/>
      <c r="AL246" s="16">
        <v>-249265</v>
      </c>
      <c r="AM246" s="8"/>
      <c r="AN246" s="16">
        <v>0</v>
      </c>
      <c r="AO246" s="16"/>
      <c r="AP246" s="16">
        <v>0</v>
      </c>
      <c r="AQ246" s="16"/>
      <c r="AR246" s="16">
        <v>0</v>
      </c>
      <c r="AS246" s="16"/>
      <c r="AT246" s="8">
        <f t="shared" si="100"/>
        <v>359084</v>
      </c>
      <c r="AU246" s="8"/>
      <c r="AV246" s="16">
        <v>0</v>
      </c>
      <c r="AW246" s="16"/>
      <c r="AX246" s="16">
        <v>0</v>
      </c>
      <c r="AY246" s="16"/>
      <c r="AZ246" s="16">
        <f t="shared" ref="AZ246:AZ248" si="105">E246-K246</f>
        <v>-158651</v>
      </c>
      <c r="BA246" s="20"/>
      <c r="BB246" s="6" t="s">
        <v>260</v>
      </c>
      <c r="BC246" s="6"/>
      <c r="BD246" s="6" t="s">
        <v>130</v>
      </c>
      <c r="BE246" s="16"/>
      <c r="BF246" s="16">
        <f>4069371+137250</f>
        <v>4206621</v>
      </c>
      <c r="BG246" s="16"/>
      <c r="BH246" s="16">
        <v>0</v>
      </c>
      <c r="BI246" s="16"/>
      <c r="BJ246" s="16">
        <f>758961+142460+101030+80548</f>
        <v>1082999</v>
      </c>
      <c r="BK246" s="16"/>
      <c r="BL246" s="16">
        <f>67731+25962</f>
        <v>93693</v>
      </c>
      <c r="BM246" s="16"/>
      <c r="BN246" s="16">
        <f t="shared" ref="BN246:BN248" si="106">SUM(BF246:BL246)</f>
        <v>5383313</v>
      </c>
      <c r="BO246" s="17"/>
      <c r="BP246" s="6"/>
      <c r="BQ246" s="6"/>
      <c r="BR246" s="6"/>
    </row>
    <row r="247" spans="1:95" x14ac:dyDescent="0.2">
      <c r="A247" s="7" t="s">
        <v>497</v>
      </c>
      <c r="B247" s="10"/>
      <c r="C247" s="7" t="s">
        <v>43</v>
      </c>
      <c r="E247" s="16">
        <v>4919897</v>
      </c>
      <c r="F247" s="16"/>
      <c r="G247" s="16">
        <v>13680366</v>
      </c>
      <c r="H247" s="16"/>
      <c r="I247" s="16">
        <f t="shared" si="96"/>
        <v>18600263</v>
      </c>
      <c r="J247" s="16"/>
      <c r="K247" s="16">
        <v>952703</v>
      </c>
      <c r="L247" s="16"/>
      <c r="M247" s="16">
        <v>3428665</v>
      </c>
      <c r="N247" s="16"/>
      <c r="O247" s="16">
        <f t="shared" si="97"/>
        <v>4381368</v>
      </c>
      <c r="P247" s="16"/>
      <c r="Q247" s="16">
        <v>10172201</v>
      </c>
      <c r="R247" s="16"/>
      <c r="S247" s="16">
        <v>0</v>
      </c>
      <c r="T247" s="16"/>
      <c r="U247" s="16">
        <v>4046694</v>
      </c>
      <c r="V247" s="16"/>
      <c r="W247" s="16">
        <f t="shared" si="104"/>
        <v>14218895</v>
      </c>
      <c r="Y247" s="20"/>
      <c r="Z247" s="7" t="s">
        <v>497</v>
      </c>
      <c r="AB247" s="7" t="s">
        <v>43</v>
      </c>
      <c r="AC247" s="6"/>
      <c r="AD247" s="16">
        <v>5177799</v>
      </c>
      <c r="AE247" s="16"/>
      <c r="AF247" s="16">
        <f>4353133-429933</f>
        <v>3923200</v>
      </c>
      <c r="AG247" s="16"/>
      <c r="AH247" s="16">
        <v>429933</v>
      </c>
      <c r="AI247" s="16"/>
      <c r="AJ247" s="8">
        <f t="shared" si="103"/>
        <v>824666</v>
      </c>
      <c r="AK247" s="8"/>
      <c r="AL247" s="16">
        <v>-94149</v>
      </c>
      <c r="AM247" s="8"/>
      <c r="AN247" s="16">
        <v>0</v>
      </c>
      <c r="AO247" s="16"/>
      <c r="AP247" s="16">
        <v>0</v>
      </c>
      <c r="AQ247" s="16"/>
      <c r="AR247" s="16">
        <v>0</v>
      </c>
      <c r="AS247" s="16"/>
      <c r="AT247" s="8">
        <f t="shared" si="100"/>
        <v>730517</v>
      </c>
      <c r="AU247" s="8"/>
      <c r="AV247" s="16"/>
      <c r="AW247" s="16"/>
      <c r="AX247" s="16"/>
      <c r="AY247" s="16"/>
      <c r="AZ247" s="16">
        <f t="shared" si="105"/>
        <v>3967194</v>
      </c>
      <c r="BA247" s="20"/>
      <c r="BB247" s="7" t="s">
        <v>497</v>
      </c>
      <c r="BC247" s="10"/>
      <c r="BD247" s="7" t="s">
        <v>43</v>
      </c>
      <c r="BE247" s="16"/>
      <c r="BF247" s="16">
        <f>3242925+265240</f>
        <v>3508165</v>
      </c>
      <c r="BG247" s="16"/>
      <c r="BH247" s="16">
        <v>0</v>
      </c>
      <c r="BI247" s="16"/>
      <c r="BJ247" s="16">
        <v>0</v>
      </c>
      <c r="BK247" s="16"/>
      <c r="BL247" s="16">
        <f>185740+34720</f>
        <v>220460</v>
      </c>
      <c r="BM247" s="16"/>
      <c r="BN247" s="16">
        <f t="shared" si="106"/>
        <v>3728625</v>
      </c>
      <c r="BO247" s="17"/>
      <c r="BP247" s="6"/>
      <c r="BQ247" s="6"/>
      <c r="BR247" s="6"/>
    </row>
    <row r="248" spans="1:95" x14ac:dyDescent="0.2">
      <c r="A248" s="6" t="s">
        <v>261</v>
      </c>
      <c r="C248" s="6" t="s">
        <v>51</v>
      </c>
      <c r="E248" s="16">
        <v>4870164</v>
      </c>
      <c r="F248" s="16"/>
      <c r="G248" s="16">
        <v>23192562</v>
      </c>
      <c r="H248" s="16"/>
      <c r="I248" s="16">
        <f t="shared" si="96"/>
        <v>28062726</v>
      </c>
      <c r="J248" s="16"/>
      <c r="K248" s="16">
        <v>3263919</v>
      </c>
      <c r="L248" s="16"/>
      <c r="M248" s="16">
        <v>9960035</v>
      </c>
      <c r="N248" s="16"/>
      <c r="O248" s="16">
        <f t="shared" si="97"/>
        <v>13223954</v>
      </c>
      <c r="P248" s="16"/>
      <c r="Q248" s="16">
        <v>12950892</v>
      </c>
      <c r="R248" s="16"/>
      <c r="S248" s="16">
        <v>0</v>
      </c>
      <c r="T248" s="16"/>
      <c r="U248" s="16">
        <v>1887880</v>
      </c>
      <c r="V248" s="16"/>
      <c r="W248" s="16">
        <f t="shared" si="104"/>
        <v>14838772</v>
      </c>
      <c r="Z248" s="6" t="s">
        <v>261</v>
      </c>
      <c r="AA248" s="16"/>
      <c r="AB248" s="6" t="s">
        <v>51</v>
      </c>
      <c r="AD248" s="16">
        <v>3797973</v>
      </c>
      <c r="AE248" s="16"/>
      <c r="AF248" s="16">
        <f>2958710-509179</f>
        <v>2449531</v>
      </c>
      <c r="AG248" s="16"/>
      <c r="AH248" s="16">
        <v>509179</v>
      </c>
      <c r="AI248" s="16"/>
      <c r="AJ248" s="8">
        <f t="shared" si="103"/>
        <v>839263</v>
      </c>
      <c r="AK248" s="8"/>
      <c r="AL248" s="16">
        <v>-286186</v>
      </c>
      <c r="AM248" s="8"/>
      <c r="AN248" s="16">
        <v>0</v>
      </c>
      <c r="AO248" s="16"/>
      <c r="AP248" s="16">
        <v>0</v>
      </c>
      <c r="AQ248" s="16"/>
      <c r="AR248" s="16">
        <v>0</v>
      </c>
      <c r="AS248" s="16"/>
      <c r="AT248" s="8">
        <f t="shared" si="100"/>
        <v>553077</v>
      </c>
      <c r="AU248" s="8"/>
      <c r="AV248" s="16">
        <v>0</v>
      </c>
      <c r="AW248" s="16"/>
      <c r="AX248" s="16">
        <v>0</v>
      </c>
      <c r="AY248" s="16"/>
      <c r="AZ248" s="16">
        <f t="shared" si="105"/>
        <v>1606245</v>
      </c>
      <c r="BB248" s="6" t="s">
        <v>261</v>
      </c>
      <c r="BC248" s="6"/>
      <c r="BD248" s="6" t="s">
        <v>51</v>
      </c>
      <c r="BE248" s="16"/>
      <c r="BF248" s="16">
        <f>9634052+442476</f>
        <v>10076528</v>
      </c>
      <c r="BG248" s="16"/>
      <c r="BH248" s="16">
        <v>0</v>
      </c>
      <c r="BI248" s="16"/>
      <c r="BJ248" s="16">
        <v>0</v>
      </c>
      <c r="BK248" s="16"/>
      <c r="BL248" s="16">
        <f>325983+57039</f>
        <v>383022</v>
      </c>
      <c r="BM248" s="16"/>
      <c r="BN248" s="16">
        <f t="shared" si="106"/>
        <v>10459550</v>
      </c>
      <c r="BO248" s="17"/>
      <c r="BP248" s="6"/>
      <c r="BQ248" s="6"/>
      <c r="BR248" s="6"/>
    </row>
    <row r="249" spans="1:95" x14ac:dyDescent="0.2">
      <c r="A249" s="6" t="s">
        <v>262</v>
      </c>
      <c r="B249" s="6"/>
      <c r="C249" s="6" t="s">
        <v>237</v>
      </c>
      <c r="E249" s="16">
        <v>1327298</v>
      </c>
      <c r="F249" s="16"/>
      <c r="G249" s="16">
        <v>15558175</v>
      </c>
      <c r="H249" s="16"/>
      <c r="I249" s="16">
        <f t="shared" si="96"/>
        <v>16885473</v>
      </c>
      <c r="J249" s="16"/>
      <c r="K249" s="16">
        <v>91974</v>
      </c>
      <c r="L249" s="16"/>
      <c r="M249" s="16">
        <v>8523713</v>
      </c>
      <c r="N249" s="16"/>
      <c r="O249" s="16">
        <f t="shared" si="97"/>
        <v>8615687</v>
      </c>
      <c r="P249" s="16"/>
      <c r="Q249" s="16">
        <v>7072310</v>
      </c>
      <c r="R249" s="16"/>
      <c r="S249" s="16">
        <v>0</v>
      </c>
      <c r="T249" s="16"/>
      <c r="U249" s="16">
        <v>1197476</v>
      </c>
      <c r="V249" s="16"/>
      <c r="W249" s="16">
        <f t="shared" si="98"/>
        <v>8269786</v>
      </c>
      <c r="Z249" s="6" t="s">
        <v>262</v>
      </c>
      <c r="AA249" s="16"/>
      <c r="AB249" s="6" t="s">
        <v>237</v>
      </c>
      <c r="AC249" s="6"/>
      <c r="AD249" s="16">
        <v>1613831</v>
      </c>
      <c r="AE249" s="16"/>
      <c r="AF249" s="16">
        <f>1321110-310514</f>
        <v>1010596</v>
      </c>
      <c r="AG249" s="16"/>
      <c r="AH249" s="16">
        <v>310514</v>
      </c>
      <c r="AI249" s="16"/>
      <c r="AJ249" s="8">
        <f t="shared" si="103"/>
        <v>292721</v>
      </c>
      <c r="AK249" s="8"/>
      <c r="AL249" s="16">
        <v>-437754</v>
      </c>
      <c r="AM249" s="8"/>
      <c r="AN249" s="16">
        <v>0</v>
      </c>
      <c r="AO249" s="16"/>
      <c r="AP249" s="16">
        <v>32789</v>
      </c>
      <c r="AQ249" s="16"/>
      <c r="AR249" s="16">
        <v>110053</v>
      </c>
      <c r="AS249" s="16"/>
      <c r="AT249" s="8">
        <f t="shared" si="100"/>
        <v>-67769</v>
      </c>
      <c r="AU249" s="8"/>
      <c r="AV249" s="16">
        <v>0</v>
      </c>
      <c r="AW249" s="16"/>
      <c r="AX249" s="16">
        <v>0</v>
      </c>
      <c r="AY249" s="16"/>
      <c r="AZ249" s="16">
        <f t="shared" si="101"/>
        <v>1235324</v>
      </c>
      <c r="BB249" s="6" t="s">
        <v>262</v>
      </c>
      <c r="BC249" s="6"/>
      <c r="BD249" s="6" t="s">
        <v>237</v>
      </c>
      <c r="BE249" s="16"/>
      <c r="BF249" s="16">
        <v>0</v>
      </c>
      <c r="BG249" s="16"/>
      <c r="BH249" s="16">
        <v>0</v>
      </c>
      <c r="BI249" s="16"/>
      <c r="BJ249" s="16">
        <f>8456200+29665</f>
        <v>8485865</v>
      </c>
      <c r="BK249" s="16"/>
      <c r="BL249" s="16">
        <f>67513+13248</f>
        <v>80761</v>
      </c>
      <c r="BM249" s="16"/>
      <c r="BN249" s="16">
        <f t="shared" si="102"/>
        <v>8566626</v>
      </c>
      <c r="BO249" s="17"/>
      <c r="BP249" s="6"/>
      <c r="BQ249" s="6"/>
      <c r="BR249" s="6"/>
    </row>
    <row r="250" spans="1:95" ht="12.75" customHeight="1" x14ac:dyDescent="0.2">
      <c r="A250" s="6" t="s">
        <v>109</v>
      </c>
      <c r="C250" s="7" t="s">
        <v>78</v>
      </c>
      <c r="E250" s="16">
        <v>3035639</v>
      </c>
      <c r="F250" s="16"/>
      <c r="G250" s="16">
        <v>30458059</v>
      </c>
      <c r="H250" s="16"/>
      <c r="I250" s="16">
        <f t="shared" si="96"/>
        <v>33493698</v>
      </c>
      <c r="J250" s="16"/>
      <c r="K250" s="16">
        <v>1997116</v>
      </c>
      <c r="L250" s="16"/>
      <c r="M250" s="16">
        <v>16685523</v>
      </c>
      <c r="N250" s="16"/>
      <c r="O250" s="16">
        <f t="shared" si="97"/>
        <v>18682639</v>
      </c>
      <c r="P250" s="16"/>
      <c r="Q250" s="16">
        <v>13265075</v>
      </c>
      <c r="R250" s="16"/>
      <c r="S250" s="16">
        <v>0</v>
      </c>
      <c r="T250" s="16"/>
      <c r="U250" s="16">
        <v>1723230</v>
      </c>
      <c r="V250" s="16"/>
      <c r="W250" s="16">
        <f t="shared" si="98"/>
        <v>14988305</v>
      </c>
      <c r="Z250" s="6" t="s">
        <v>109</v>
      </c>
      <c r="AA250" s="16"/>
      <c r="AB250" s="7" t="s">
        <v>78</v>
      </c>
      <c r="AD250" s="16">
        <v>10906688</v>
      </c>
      <c r="AE250" s="16"/>
      <c r="AF250" s="16">
        <f>11378378-2131734</f>
        <v>9246644</v>
      </c>
      <c r="AG250" s="16"/>
      <c r="AH250" s="16">
        <v>2131734</v>
      </c>
      <c r="AI250" s="16"/>
      <c r="AJ250" s="8">
        <f t="shared" si="103"/>
        <v>-471690</v>
      </c>
      <c r="AK250" s="8"/>
      <c r="AL250" s="16">
        <v>-925416</v>
      </c>
      <c r="AM250" s="8"/>
      <c r="AN250" s="16">
        <v>0</v>
      </c>
      <c r="AO250" s="16"/>
      <c r="AP250" s="16">
        <v>0</v>
      </c>
      <c r="AQ250" s="16"/>
      <c r="AR250" s="16">
        <v>0</v>
      </c>
      <c r="AS250" s="16"/>
      <c r="AT250" s="8">
        <f t="shared" si="100"/>
        <v>-1397106</v>
      </c>
      <c r="AU250" s="8"/>
      <c r="AV250" s="16">
        <v>0</v>
      </c>
      <c r="AW250" s="16"/>
      <c r="AX250" s="16">
        <v>0</v>
      </c>
      <c r="AY250" s="16"/>
      <c r="AZ250" s="16">
        <f t="shared" si="101"/>
        <v>1038523</v>
      </c>
      <c r="BB250" s="6" t="s">
        <v>109</v>
      </c>
      <c r="BC250" s="6"/>
      <c r="BD250" s="7" t="s">
        <v>78</v>
      </c>
      <c r="BE250" s="16"/>
      <c r="BF250" s="16">
        <f>5569645+550000</f>
        <v>6119645</v>
      </c>
      <c r="BG250" s="16"/>
      <c r="BH250" s="16">
        <v>0</v>
      </c>
      <c r="BI250" s="16"/>
      <c r="BJ250" s="16">
        <f>10528610+721975</f>
        <v>11250585</v>
      </c>
      <c r="BK250" s="16"/>
      <c r="BL250" s="16">
        <f>299109+587268</f>
        <v>886377</v>
      </c>
      <c r="BM250" s="16"/>
      <c r="BN250" s="16">
        <f t="shared" si="102"/>
        <v>18256607</v>
      </c>
      <c r="BO250" s="17"/>
      <c r="BP250" s="6"/>
      <c r="BQ250" s="6"/>
      <c r="BR250" s="6"/>
    </row>
    <row r="251" spans="1:95" ht="12.75" hidden="1" customHeight="1" x14ac:dyDescent="0.2">
      <c r="A251" s="6" t="s">
        <v>263</v>
      </c>
      <c r="C251" s="7" t="s">
        <v>25</v>
      </c>
      <c r="E251" s="16">
        <v>0</v>
      </c>
      <c r="F251" s="16"/>
      <c r="G251" s="16"/>
      <c r="H251" s="16"/>
      <c r="I251" s="16">
        <f t="shared" si="96"/>
        <v>0</v>
      </c>
      <c r="J251" s="16"/>
      <c r="K251" s="16">
        <v>0</v>
      </c>
      <c r="L251" s="16"/>
      <c r="M251" s="16"/>
      <c r="N251" s="16"/>
      <c r="O251" s="16">
        <f t="shared" si="97"/>
        <v>0</v>
      </c>
      <c r="P251" s="16"/>
      <c r="Q251" s="16"/>
      <c r="R251" s="16"/>
      <c r="S251" s="16"/>
      <c r="T251" s="16"/>
      <c r="U251" s="16"/>
      <c r="V251" s="16"/>
      <c r="W251" s="16">
        <f t="shared" ref="W251:W252" si="107">SUM(Q251:U251)</f>
        <v>0</v>
      </c>
      <c r="Z251" s="6" t="s">
        <v>263</v>
      </c>
      <c r="AA251" s="16"/>
      <c r="AB251" s="7" t="s">
        <v>25</v>
      </c>
      <c r="AD251" s="16"/>
      <c r="AE251" s="16"/>
      <c r="AF251" s="16"/>
      <c r="AG251" s="16"/>
      <c r="AH251" s="16"/>
      <c r="AI251" s="16"/>
      <c r="AJ251" s="8">
        <f t="shared" si="103"/>
        <v>0</v>
      </c>
      <c r="AK251" s="8"/>
      <c r="AL251" s="16"/>
      <c r="AM251" s="8"/>
      <c r="AN251" s="16"/>
      <c r="AO251" s="16"/>
      <c r="AP251" s="16"/>
      <c r="AQ251" s="16"/>
      <c r="AR251" s="16"/>
      <c r="AS251" s="16"/>
      <c r="AT251" s="8">
        <f t="shared" si="100"/>
        <v>0</v>
      </c>
      <c r="AU251" s="8"/>
      <c r="AV251" s="16">
        <v>0</v>
      </c>
      <c r="AW251" s="16"/>
      <c r="AX251" s="16">
        <v>0</v>
      </c>
      <c r="AY251" s="16"/>
      <c r="AZ251" s="16">
        <f t="shared" si="101"/>
        <v>0</v>
      </c>
      <c r="BB251" s="6" t="s">
        <v>263</v>
      </c>
      <c r="BC251" s="6"/>
      <c r="BD251" s="7" t="s">
        <v>25</v>
      </c>
      <c r="BE251" s="16"/>
      <c r="BF251" s="16"/>
      <c r="BG251" s="16"/>
      <c r="BH251" s="16"/>
      <c r="BI251" s="16"/>
      <c r="BJ251" s="16"/>
      <c r="BK251" s="16"/>
      <c r="BL251" s="16"/>
      <c r="BM251" s="16"/>
      <c r="BN251" s="16">
        <f t="shared" ref="BN251:BN252" si="108">SUM(BF251:BL251)</f>
        <v>0</v>
      </c>
      <c r="BO251" s="17"/>
      <c r="BP251" s="6"/>
      <c r="BQ251" s="6"/>
      <c r="BR251" s="6"/>
    </row>
    <row r="252" spans="1:95" ht="12.75" customHeight="1" x14ac:dyDescent="0.2">
      <c r="A252" s="6" t="s">
        <v>498</v>
      </c>
      <c r="C252" s="10" t="s">
        <v>448</v>
      </c>
      <c r="E252" s="16">
        <v>1230004</v>
      </c>
      <c r="F252" s="16"/>
      <c r="G252" s="16">
        <v>15204891</v>
      </c>
      <c r="H252" s="16"/>
      <c r="I252" s="16">
        <f t="shared" si="96"/>
        <v>16434895</v>
      </c>
      <c r="J252" s="16"/>
      <c r="K252" s="16">
        <v>1042088</v>
      </c>
      <c r="L252" s="16"/>
      <c r="M252" s="16">
        <v>6152692</v>
      </c>
      <c r="N252" s="16"/>
      <c r="O252" s="16">
        <f t="shared" si="97"/>
        <v>7194780</v>
      </c>
      <c r="P252" s="16"/>
      <c r="Q252" s="16">
        <v>8093452</v>
      </c>
      <c r="R252" s="16"/>
      <c r="S252" s="16">
        <v>0</v>
      </c>
      <c r="T252" s="16"/>
      <c r="U252" s="16">
        <v>1146663</v>
      </c>
      <c r="V252" s="16"/>
      <c r="W252" s="16">
        <f t="shared" si="107"/>
        <v>9240115</v>
      </c>
      <c r="X252" s="6"/>
      <c r="Y252" s="6"/>
      <c r="Z252" s="6" t="s">
        <v>498</v>
      </c>
      <c r="AA252" s="16"/>
      <c r="AB252" s="10" t="s">
        <v>448</v>
      </c>
      <c r="AD252" s="16">
        <v>3081582</v>
      </c>
      <c r="AE252" s="16"/>
      <c r="AF252" s="16">
        <f>2240803-280511</f>
        <v>1960292</v>
      </c>
      <c r="AG252" s="16"/>
      <c r="AH252" s="16">
        <v>280511</v>
      </c>
      <c r="AI252" s="16"/>
      <c r="AJ252" s="8">
        <f t="shared" si="103"/>
        <v>840779</v>
      </c>
      <c r="AK252" s="8"/>
      <c r="AL252" s="16">
        <v>-411022</v>
      </c>
      <c r="AM252" s="8"/>
      <c r="AN252" s="16">
        <v>0</v>
      </c>
      <c r="AO252" s="16"/>
      <c r="AP252" s="16">
        <v>32750</v>
      </c>
      <c r="AQ252" s="16"/>
      <c r="AR252" s="16">
        <v>155500</v>
      </c>
      <c r="AS252" s="16"/>
      <c r="AT252" s="8">
        <f t="shared" si="100"/>
        <v>552507</v>
      </c>
      <c r="AU252" s="8"/>
      <c r="AV252" s="16">
        <v>0</v>
      </c>
      <c r="AW252" s="16"/>
      <c r="AX252" s="16">
        <v>0</v>
      </c>
      <c r="AY252" s="16"/>
      <c r="AZ252" s="16">
        <f t="shared" si="101"/>
        <v>187916</v>
      </c>
      <c r="BB252" s="6" t="s">
        <v>498</v>
      </c>
      <c r="BC252" s="6"/>
      <c r="BD252" s="10" t="s">
        <v>448</v>
      </c>
      <c r="BE252" s="16"/>
      <c r="BF252" s="16">
        <v>0</v>
      </c>
      <c r="BG252" s="16"/>
      <c r="BH252" s="16">
        <f>4285829+685000</f>
        <v>4970829</v>
      </c>
      <c r="BI252" s="16"/>
      <c r="BJ252" s="16">
        <f>1766973+195129</f>
        <v>1962102</v>
      </c>
      <c r="BK252" s="16"/>
      <c r="BL252" s="16">
        <f>99890+36259</f>
        <v>136149</v>
      </c>
      <c r="BM252" s="16"/>
      <c r="BN252" s="16">
        <f t="shared" si="108"/>
        <v>7069080</v>
      </c>
      <c r="BO252" s="17"/>
      <c r="BP252" s="6"/>
      <c r="BQ252" s="6"/>
      <c r="BR252" s="6"/>
    </row>
    <row r="253" spans="1:95" ht="12.75" customHeight="1" x14ac:dyDescent="0.2">
      <c r="A253" s="7" t="s">
        <v>499</v>
      </c>
      <c r="B253" s="10"/>
      <c r="C253" s="7" t="s">
        <v>161</v>
      </c>
      <c r="E253" s="16">
        <v>1156469</v>
      </c>
      <c r="F253" s="16"/>
      <c r="G253" s="16">
        <v>4883940</v>
      </c>
      <c r="H253" s="16"/>
      <c r="I253" s="16">
        <f t="shared" si="96"/>
        <v>6040409</v>
      </c>
      <c r="J253" s="16"/>
      <c r="K253" s="16">
        <v>1050997</v>
      </c>
      <c r="L253" s="16"/>
      <c r="M253" s="16">
        <v>589839</v>
      </c>
      <c r="N253" s="16"/>
      <c r="O253" s="16">
        <f t="shared" si="97"/>
        <v>1640836</v>
      </c>
      <c r="P253" s="16"/>
      <c r="Q253" s="16">
        <v>4154642</v>
      </c>
      <c r="R253" s="16"/>
      <c r="S253" s="16">
        <v>0</v>
      </c>
      <c r="T253" s="16"/>
      <c r="U253" s="16">
        <v>244931</v>
      </c>
      <c r="V253" s="16"/>
      <c r="W253" s="16">
        <f t="shared" ref="W253" si="109">SUM(Q253:U253)</f>
        <v>4399573</v>
      </c>
      <c r="X253" s="6"/>
      <c r="Y253" s="6"/>
      <c r="Z253" s="7" t="s">
        <v>499</v>
      </c>
      <c r="AB253" s="7" t="s">
        <v>161</v>
      </c>
      <c r="AC253" s="7"/>
      <c r="AD253" s="16">
        <v>1020617</v>
      </c>
      <c r="AE253" s="16"/>
      <c r="AF253" s="16">
        <f>892143-195980</f>
        <v>696163</v>
      </c>
      <c r="AG253" s="16"/>
      <c r="AH253" s="16">
        <v>195980</v>
      </c>
      <c r="AI253" s="16"/>
      <c r="AJ253" s="8">
        <f t="shared" si="103"/>
        <v>128474</v>
      </c>
      <c r="AK253" s="8"/>
      <c r="AL253" s="16">
        <v>-19691</v>
      </c>
      <c r="AM253" s="8"/>
      <c r="AN253" s="16">
        <v>0</v>
      </c>
      <c r="AO253" s="16"/>
      <c r="AP253" s="16">
        <v>13557</v>
      </c>
      <c r="AQ253" s="16"/>
      <c r="AR253" s="16">
        <v>0</v>
      </c>
      <c r="AS253" s="16"/>
      <c r="AT253" s="8">
        <f t="shared" si="100"/>
        <v>95226</v>
      </c>
      <c r="AU253" s="8"/>
      <c r="AV253" s="16">
        <v>0</v>
      </c>
      <c r="AW253" s="16"/>
      <c r="AX253" s="16">
        <v>0</v>
      </c>
      <c r="AY253" s="16"/>
      <c r="AZ253" s="16">
        <f t="shared" si="101"/>
        <v>105472</v>
      </c>
      <c r="BB253" s="7" t="s">
        <v>499</v>
      </c>
      <c r="BC253" s="10"/>
      <c r="BD253" s="7" t="s">
        <v>161</v>
      </c>
      <c r="BE253" s="16"/>
      <c r="BF253" s="16">
        <v>0</v>
      </c>
      <c r="BG253" s="16"/>
      <c r="BH253" s="16">
        <v>0</v>
      </c>
      <c r="BI253" s="16"/>
      <c r="BJ253" s="16">
        <f>237315+41332+27706+39050</f>
        <v>345403</v>
      </c>
      <c r="BK253" s="16"/>
      <c r="BL253" s="16">
        <f>311082+110+17157</f>
        <v>328349</v>
      </c>
      <c r="BM253" s="16"/>
      <c r="BN253" s="16">
        <f t="shared" ref="BN253" si="110">SUM(BF253:BL253)</f>
        <v>673752</v>
      </c>
      <c r="BO253" s="17"/>
      <c r="BP253" s="6"/>
      <c r="BQ253" s="6"/>
      <c r="BR253" s="6"/>
    </row>
    <row r="254" spans="1:95" ht="12.75" customHeight="1" x14ac:dyDescent="0.2">
      <c r="A254" s="6" t="s">
        <v>264</v>
      </c>
      <c r="C254" s="6" t="s">
        <v>265</v>
      </c>
      <c r="E254" s="16">
        <v>1794099</v>
      </c>
      <c r="F254" s="16"/>
      <c r="G254" s="16">
        <v>6951977</v>
      </c>
      <c r="H254" s="16"/>
      <c r="I254" s="16">
        <f t="shared" si="96"/>
        <v>8746076</v>
      </c>
      <c r="J254" s="16"/>
      <c r="K254" s="16">
        <v>1738511</v>
      </c>
      <c r="L254" s="16"/>
      <c r="M254" s="16">
        <v>208905</v>
      </c>
      <c r="N254" s="16"/>
      <c r="O254" s="16">
        <f t="shared" si="97"/>
        <v>1947416</v>
      </c>
      <c r="P254" s="16"/>
      <c r="Q254" s="16">
        <v>5104951</v>
      </c>
      <c r="R254" s="16"/>
      <c r="S254" s="16">
        <v>0</v>
      </c>
      <c r="T254" s="16"/>
      <c r="U254" s="16">
        <v>1693709</v>
      </c>
      <c r="V254" s="16"/>
      <c r="W254" s="16">
        <f t="shared" ref="W254" si="111">SUM(Q254:U254)</f>
        <v>6798660</v>
      </c>
      <c r="Z254" s="6" t="s">
        <v>264</v>
      </c>
      <c r="AA254" s="16"/>
      <c r="AB254" s="6" t="s">
        <v>265</v>
      </c>
      <c r="AD254" s="16">
        <v>1651192</v>
      </c>
      <c r="AE254" s="16"/>
      <c r="AF254" s="16">
        <f>1310105-199834</f>
        <v>1110271</v>
      </c>
      <c r="AG254" s="16"/>
      <c r="AH254" s="16">
        <v>199834</v>
      </c>
      <c r="AI254" s="16"/>
      <c r="AJ254" s="8">
        <f t="shared" si="103"/>
        <v>341087</v>
      </c>
      <c r="AK254" s="8"/>
      <c r="AL254" s="16">
        <v>-40558</v>
      </c>
      <c r="AM254" s="8"/>
      <c r="AN254" s="16">
        <v>0</v>
      </c>
      <c r="AO254" s="16"/>
      <c r="AP254" s="16">
        <v>0</v>
      </c>
      <c r="AQ254" s="16"/>
      <c r="AR254" s="16">
        <v>0</v>
      </c>
      <c r="AS254" s="16"/>
      <c r="AT254" s="8">
        <f t="shared" si="100"/>
        <v>300529</v>
      </c>
      <c r="AU254" s="8"/>
      <c r="AV254" s="16">
        <v>0</v>
      </c>
      <c r="AW254" s="16"/>
      <c r="AX254" s="16">
        <v>0</v>
      </c>
      <c r="AY254" s="16"/>
      <c r="AZ254" s="16">
        <f t="shared" si="101"/>
        <v>55588</v>
      </c>
      <c r="BB254" s="6" t="s">
        <v>264</v>
      </c>
      <c r="BC254" s="6"/>
      <c r="BD254" s="6" t="s">
        <v>265</v>
      </c>
      <c r="BE254" s="16"/>
      <c r="BF254" s="16">
        <v>0</v>
      </c>
      <c r="BG254" s="16"/>
      <c r="BH254" s="16">
        <v>0</v>
      </c>
      <c r="BI254" s="16"/>
      <c r="BJ254" s="16">
        <f>181971+15055</f>
        <v>197026</v>
      </c>
      <c r="BK254" s="16"/>
      <c r="BL254" s="16">
        <f>26934+17461</f>
        <v>44395</v>
      </c>
      <c r="BM254" s="16"/>
      <c r="BN254" s="16">
        <f t="shared" ref="BN254" si="112">SUM(BF254:BL254)</f>
        <v>241421</v>
      </c>
      <c r="BO254" s="17"/>
      <c r="BP254" s="6"/>
      <c r="BQ254" s="6"/>
      <c r="BR254" s="6"/>
    </row>
    <row r="255" spans="1:95" s="19" customFormat="1" ht="12.75" hidden="1" customHeight="1" x14ac:dyDescent="0.2">
      <c r="A255" s="19" t="s">
        <v>266</v>
      </c>
      <c r="B255" s="21"/>
      <c r="C255" s="19" t="s">
        <v>267</v>
      </c>
      <c r="D255" s="9"/>
      <c r="E255" s="28">
        <v>274243</v>
      </c>
      <c r="F255" s="28"/>
      <c r="G255" s="28">
        <v>4101557</v>
      </c>
      <c r="H255" s="28"/>
      <c r="I255" s="16">
        <f t="shared" si="96"/>
        <v>4375800</v>
      </c>
      <c r="J255" s="28"/>
      <c r="K255" s="28">
        <v>51083</v>
      </c>
      <c r="L255" s="28"/>
      <c r="M255" s="28">
        <v>314953</v>
      </c>
      <c r="N255" s="28"/>
      <c r="O255" s="16">
        <f t="shared" si="97"/>
        <v>366036</v>
      </c>
      <c r="P255" s="28"/>
      <c r="Q255" s="28">
        <v>3766583</v>
      </c>
      <c r="R255" s="28"/>
      <c r="S255" s="28">
        <v>0</v>
      </c>
      <c r="T255" s="28"/>
      <c r="U255" s="28">
        <v>243181</v>
      </c>
      <c r="V255" s="28"/>
      <c r="W255" s="28">
        <f t="shared" ref="W255:W272" si="113">SUM(Q255:U255)</f>
        <v>4009764</v>
      </c>
      <c r="X255" s="21"/>
      <c r="Y255" s="21"/>
      <c r="Z255" s="19" t="s">
        <v>266</v>
      </c>
      <c r="AA255" s="28"/>
      <c r="AB255" s="19" t="s">
        <v>267</v>
      </c>
      <c r="AC255" s="21"/>
      <c r="AD255" s="28">
        <v>775491</v>
      </c>
      <c r="AE255" s="28"/>
      <c r="AF255" s="28">
        <f>825534-148085</f>
        <v>677449</v>
      </c>
      <c r="AG255" s="28"/>
      <c r="AH255" s="28">
        <v>148085</v>
      </c>
      <c r="AI255" s="28"/>
      <c r="AJ255" s="40">
        <f t="shared" ref="AJ255:AJ272" si="114">+AD255-AF255-AH255</f>
        <v>-50043</v>
      </c>
      <c r="AK255" s="40"/>
      <c r="AL255" s="28">
        <v>-10082</v>
      </c>
      <c r="AM255" s="40"/>
      <c r="AN255" s="28">
        <v>20000</v>
      </c>
      <c r="AO255" s="28"/>
      <c r="AP255" s="28">
        <v>0</v>
      </c>
      <c r="AQ255" s="28"/>
      <c r="AR255" s="28">
        <v>0</v>
      </c>
      <c r="AS255" s="28"/>
      <c r="AT255" s="40">
        <f t="shared" ref="AT255:AT272" si="115">+AJ255+AL255+AN255-AP255+AR255</f>
        <v>-40125</v>
      </c>
      <c r="AU255" s="40"/>
      <c r="AV255" s="28">
        <v>0</v>
      </c>
      <c r="AW255" s="28"/>
      <c r="AX255" s="28">
        <v>0</v>
      </c>
      <c r="AY255" s="28"/>
      <c r="AZ255" s="28">
        <f t="shared" ref="AZ255:AZ272" si="116">E255-K255</f>
        <v>223160</v>
      </c>
      <c r="BA255" s="21"/>
      <c r="BB255" s="19" t="s">
        <v>266</v>
      </c>
      <c r="BD255" s="19" t="s">
        <v>267</v>
      </c>
      <c r="BE255" s="28"/>
      <c r="BF255" s="28">
        <v>0</v>
      </c>
      <c r="BG255" s="28"/>
      <c r="BH255" s="28">
        <v>0</v>
      </c>
      <c r="BI255" s="28"/>
      <c r="BJ255" s="28">
        <f>52033+249031+5477+28433</f>
        <v>334974</v>
      </c>
      <c r="BK255" s="28"/>
      <c r="BL255" s="28">
        <v>13889</v>
      </c>
      <c r="BM255" s="28"/>
      <c r="BN255" s="28">
        <f t="shared" ref="BN255:BN272" si="117">SUM(BF255:BL255)</f>
        <v>348863</v>
      </c>
      <c r="BO255" s="37"/>
      <c r="BS255" s="36"/>
      <c r="BT255" s="36"/>
      <c r="BU255" s="41"/>
      <c r="BV255" s="36"/>
      <c r="BW255" s="36"/>
      <c r="BX255" s="36"/>
      <c r="BY255" s="36"/>
      <c r="BZ255" s="36"/>
      <c r="CA255" s="36"/>
      <c r="CB255" s="36"/>
      <c r="CC255" s="36"/>
      <c r="CD255" s="36"/>
      <c r="CE255" s="36"/>
      <c r="CF255" s="36"/>
      <c r="CG255" s="36"/>
      <c r="CH255" s="36"/>
      <c r="CI255" s="36"/>
      <c r="CJ255" s="36"/>
      <c r="CK255" s="36"/>
      <c r="CL255" s="36"/>
      <c r="CM255" s="36"/>
      <c r="CN255" s="36"/>
      <c r="CO255" s="36"/>
      <c r="CP255" s="36"/>
      <c r="CQ255" s="36"/>
    </row>
    <row r="256" spans="1:95" ht="12.75" customHeight="1" x14ac:dyDescent="0.2">
      <c r="A256" s="6" t="s">
        <v>268</v>
      </c>
      <c r="C256" s="6" t="s">
        <v>134</v>
      </c>
      <c r="E256" s="16">
        <v>791683</v>
      </c>
      <c r="F256" s="16"/>
      <c r="G256" s="16">
        <f>767726+3315939</f>
        <v>4083665</v>
      </c>
      <c r="H256" s="16"/>
      <c r="I256" s="16">
        <f t="shared" si="96"/>
        <v>4875348</v>
      </c>
      <c r="J256" s="16"/>
      <c r="K256" s="16">
        <v>384435</v>
      </c>
      <c r="L256" s="16"/>
      <c r="M256" s="16">
        <v>1140828</v>
      </c>
      <c r="N256" s="16"/>
      <c r="O256" s="16">
        <f t="shared" si="97"/>
        <v>1525263</v>
      </c>
      <c r="P256" s="16"/>
      <c r="Q256" s="16">
        <v>2840020</v>
      </c>
      <c r="R256" s="16"/>
      <c r="S256" s="16">
        <v>0</v>
      </c>
      <c r="T256" s="16"/>
      <c r="U256" s="16">
        <v>510065</v>
      </c>
      <c r="V256" s="16"/>
      <c r="W256" s="16">
        <f t="shared" si="113"/>
        <v>3350085</v>
      </c>
      <c r="Z256" s="6" t="s">
        <v>268</v>
      </c>
      <c r="AA256" s="16"/>
      <c r="AB256" s="6" t="s">
        <v>134</v>
      </c>
      <c r="AD256" s="16">
        <v>1688953</v>
      </c>
      <c r="AE256" s="16"/>
      <c r="AF256" s="16">
        <f>1427231-103865</f>
        <v>1323366</v>
      </c>
      <c r="AG256" s="16"/>
      <c r="AH256" s="16">
        <v>103865</v>
      </c>
      <c r="AI256" s="16"/>
      <c r="AJ256" s="8">
        <f t="shared" si="114"/>
        <v>261722</v>
      </c>
      <c r="AK256" s="8"/>
      <c r="AL256" s="16">
        <v>33295</v>
      </c>
      <c r="AM256" s="8"/>
      <c r="AN256" s="16">
        <v>10162</v>
      </c>
      <c r="AO256" s="16"/>
      <c r="AP256" s="16">
        <v>0</v>
      </c>
      <c r="AQ256" s="16"/>
      <c r="AR256" s="16">
        <v>0</v>
      </c>
      <c r="AS256" s="16"/>
      <c r="AT256" s="8">
        <f t="shared" si="115"/>
        <v>305179</v>
      </c>
      <c r="AU256" s="8"/>
      <c r="AV256" s="16">
        <v>0</v>
      </c>
      <c r="AW256" s="16"/>
      <c r="AX256" s="16">
        <v>0</v>
      </c>
      <c r="AY256" s="16"/>
      <c r="AZ256" s="16">
        <f t="shared" si="116"/>
        <v>407248</v>
      </c>
      <c r="BB256" s="6" t="s">
        <v>268</v>
      </c>
      <c r="BC256" s="6"/>
      <c r="BD256" s="6" t="s">
        <v>134</v>
      </c>
      <c r="BE256" s="16"/>
      <c r="BF256" s="16">
        <v>0</v>
      </c>
      <c r="BG256" s="16"/>
      <c r="BH256" s="16">
        <v>0</v>
      </c>
      <c r="BI256" s="16"/>
      <c r="BJ256" s="16">
        <f>145220+973666+36263+88496</f>
        <v>1243645</v>
      </c>
      <c r="BK256" s="16"/>
      <c r="BL256" s="16">
        <f>21942+15084</f>
        <v>37026</v>
      </c>
      <c r="BM256" s="16"/>
      <c r="BN256" s="16">
        <f>SUM(BF256:BL256)</f>
        <v>1280671</v>
      </c>
      <c r="BO256" s="17"/>
      <c r="BP256" s="6"/>
      <c r="BQ256" s="6"/>
      <c r="BR256" s="6"/>
    </row>
    <row r="257" spans="1:95" s="19" customFormat="1" ht="12.75" customHeight="1" x14ac:dyDescent="0.2">
      <c r="A257" s="19" t="s">
        <v>269</v>
      </c>
      <c r="C257" s="19" t="s">
        <v>64</v>
      </c>
      <c r="D257" s="9"/>
      <c r="E257" s="16">
        <v>1362222</v>
      </c>
      <c r="F257" s="16"/>
      <c r="G257" s="16">
        <f>29500+3904913</f>
        <v>3934413</v>
      </c>
      <c r="H257" s="16"/>
      <c r="I257" s="16">
        <f t="shared" si="96"/>
        <v>5296635</v>
      </c>
      <c r="J257" s="16"/>
      <c r="K257" s="16">
        <v>320600</v>
      </c>
      <c r="L257" s="16"/>
      <c r="M257" s="16">
        <f>22275+2997296</f>
        <v>3019571</v>
      </c>
      <c r="N257" s="16"/>
      <c r="O257" s="16">
        <f t="shared" si="97"/>
        <v>3340171</v>
      </c>
      <c r="P257" s="16"/>
      <c r="Q257" s="16">
        <v>715770</v>
      </c>
      <c r="R257" s="16"/>
      <c r="S257" s="16">
        <v>0</v>
      </c>
      <c r="T257" s="16"/>
      <c r="U257" s="16">
        <v>1240694</v>
      </c>
      <c r="V257" s="16"/>
      <c r="W257" s="16">
        <f t="shared" si="113"/>
        <v>1956464</v>
      </c>
      <c r="X257" s="21"/>
      <c r="Y257" s="21"/>
      <c r="Z257" s="19" t="s">
        <v>269</v>
      </c>
      <c r="AA257" s="28"/>
      <c r="AB257" s="19" t="s">
        <v>64</v>
      </c>
      <c r="AD257" s="16">
        <v>1721288</v>
      </c>
      <c r="AE257" s="16"/>
      <c r="AF257" s="16">
        <f>1599079-360687</f>
        <v>1238392</v>
      </c>
      <c r="AG257" s="16"/>
      <c r="AH257" s="16">
        <v>360687</v>
      </c>
      <c r="AI257" s="16"/>
      <c r="AJ257" s="8">
        <f t="shared" si="114"/>
        <v>122209</v>
      </c>
      <c r="AK257" s="8"/>
      <c r="AL257" s="16">
        <v>-102792</v>
      </c>
      <c r="AM257" s="8"/>
      <c r="AN257" s="16">
        <v>0</v>
      </c>
      <c r="AO257" s="16"/>
      <c r="AP257" s="16">
        <v>0</v>
      </c>
      <c r="AQ257" s="16"/>
      <c r="AR257" s="16">
        <v>0</v>
      </c>
      <c r="AS257" s="16"/>
      <c r="AT257" s="8">
        <f t="shared" si="115"/>
        <v>19417</v>
      </c>
      <c r="AU257" s="8"/>
      <c r="AV257" s="16">
        <v>0</v>
      </c>
      <c r="AW257" s="16"/>
      <c r="AX257" s="16">
        <v>0</v>
      </c>
      <c r="AY257" s="16"/>
      <c r="AZ257" s="16">
        <f t="shared" si="116"/>
        <v>1041622</v>
      </c>
      <c r="BA257" s="21"/>
      <c r="BB257" s="19" t="s">
        <v>269</v>
      </c>
      <c r="BD257" s="19" t="s">
        <v>64</v>
      </c>
      <c r="BE257" s="28"/>
      <c r="BF257" s="16">
        <v>0</v>
      </c>
      <c r="BG257" s="16"/>
      <c r="BH257" s="16">
        <v>0</v>
      </c>
      <c r="BI257" s="16"/>
      <c r="BJ257" s="16">
        <f>2997296+221347</f>
        <v>3218643</v>
      </c>
      <c r="BK257" s="16"/>
      <c r="BL257" s="16">
        <f>22275+10562</f>
        <v>32837</v>
      </c>
      <c r="BM257" s="16"/>
      <c r="BN257" s="16">
        <f t="shared" si="117"/>
        <v>3251480</v>
      </c>
      <c r="BO257" s="37"/>
      <c r="BS257" s="36"/>
      <c r="BT257" s="36"/>
      <c r="BU257" s="41"/>
      <c r="BV257" s="36"/>
      <c r="BW257" s="36"/>
      <c r="BX257" s="36"/>
      <c r="BY257" s="36"/>
      <c r="BZ257" s="36"/>
      <c r="CA257" s="36"/>
      <c r="CB257" s="36"/>
      <c r="CC257" s="36"/>
      <c r="CD257" s="36"/>
      <c r="CE257" s="36"/>
      <c r="CF257" s="36"/>
      <c r="CG257" s="36"/>
      <c r="CH257" s="36"/>
      <c r="CI257" s="36"/>
      <c r="CJ257" s="36"/>
      <c r="CK257" s="36"/>
      <c r="CL257" s="36"/>
      <c r="CM257" s="36"/>
      <c r="CN257" s="36"/>
      <c r="CO257" s="36"/>
      <c r="CP257" s="36"/>
      <c r="CQ257" s="36"/>
    </row>
    <row r="258" spans="1:95" ht="12.75" customHeight="1" x14ac:dyDescent="0.2">
      <c r="A258" s="6" t="s">
        <v>270</v>
      </c>
      <c r="C258" s="6" t="s">
        <v>41</v>
      </c>
      <c r="E258" s="16">
        <v>8218609</v>
      </c>
      <c r="F258" s="16"/>
      <c r="G258" s="16">
        <v>30370009</v>
      </c>
      <c r="H258" s="16"/>
      <c r="I258" s="16">
        <f t="shared" si="96"/>
        <v>38588618</v>
      </c>
      <c r="J258" s="16"/>
      <c r="K258" s="16">
        <v>743653</v>
      </c>
      <c r="L258" s="16"/>
      <c r="M258" s="16">
        <v>6933338</v>
      </c>
      <c r="N258" s="16"/>
      <c r="O258" s="16">
        <f t="shared" si="97"/>
        <v>7676991</v>
      </c>
      <c r="P258" s="16"/>
      <c r="Q258" s="16">
        <v>23655209</v>
      </c>
      <c r="R258" s="16"/>
      <c r="S258" s="16">
        <v>0</v>
      </c>
      <c r="T258" s="16"/>
      <c r="U258" s="16">
        <v>7256418</v>
      </c>
      <c r="V258" s="16"/>
      <c r="W258" s="16">
        <f t="shared" si="113"/>
        <v>30911627</v>
      </c>
      <c r="Z258" s="6" t="s">
        <v>270</v>
      </c>
      <c r="AA258" s="16"/>
      <c r="AB258" s="6" t="s">
        <v>41</v>
      </c>
      <c r="AD258" s="16">
        <v>3386459</v>
      </c>
      <c r="AE258" s="16"/>
      <c r="AF258" s="16">
        <f>3227258-896333</f>
        <v>2330925</v>
      </c>
      <c r="AG258" s="16"/>
      <c r="AH258" s="16">
        <v>896333</v>
      </c>
      <c r="AI258" s="16"/>
      <c r="AJ258" s="8">
        <f t="shared" si="114"/>
        <v>159201</v>
      </c>
      <c r="AK258" s="8"/>
      <c r="AL258" s="16">
        <v>-380555</v>
      </c>
      <c r="AM258" s="8"/>
      <c r="AN258" s="16">
        <v>0</v>
      </c>
      <c r="AO258" s="16"/>
      <c r="AP258" s="16">
        <v>0</v>
      </c>
      <c r="AQ258" s="16"/>
      <c r="AR258" s="16">
        <f>814983+578600</f>
        <v>1393583</v>
      </c>
      <c r="AS258" s="16"/>
      <c r="AT258" s="8">
        <f t="shared" si="115"/>
        <v>1172229</v>
      </c>
      <c r="AU258" s="8"/>
      <c r="AV258" s="16">
        <v>0</v>
      </c>
      <c r="AW258" s="16"/>
      <c r="AX258" s="16">
        <v>0</v>
      </c>
      <c r="AY258" s="16"/>
      <c r="AZ258" s="16">
        <f t="shared" si="116"/>
        <v>7474956</v>
      </c>
      <c r="BB258" s="6" t="s">
        <v>270</v>
      </c>
      <c r="BC258" s="6"/>
      <c r="BD258" s="6" t="s">
        <v>41</v>
      </c>
      <c r="BE258" s="16"/>
      <c r="BF258" s="16">
        <f>5339111+239780</f>
        <v>5578891</v>
      </c>
      <c r="BG258" s="16"/>
      <c r="BH258" s="16">
        <v>0</v>
      </c>
      <c r="BI258" s="16"/>
      <c r="BJ258" s="16">
        <f>1505453+46570</f>
        <v>1552023</v>
      </c>
      <c r="BK258" s="16"/>
      <c r="BL258" s="16">
        <f>88774+120316</f>
        <v>209090</v>
      </c>
      <c r="BM258" s="16"/>
      <c r="BN258" s="16">
        <f t="shared" si="117"/>
        <v>7340004</v>
      </c>
      <c r="BO258" s="17"/>
      <c r="BP258" s="6"/>
      <c r="BQ258" s="6"/>
      <c r="BR258" s="6"/>
    </row>
    <row r="259" spans="1:95" ht="12.75" hidden="1" customHeight="1" x14ac:dyDescent="0.2">
      <c r="A259" s="6" t="s">
        <v>271</v>
      </c>
      <c r="C259" s="6" t="s">
        <v>25</v>
      </c>
      <c r="E259" s="16">
        <v>0</v>
      </c>
      <c r="F259" s="16"/>
      <c r="G259" s="16"/>
      <c r="H259" s="16"/>
      <c r="I259" s="16">
        <f t="shared" si="96"/>
        <v>0</v>
      </c>
      <c r="J259" s="16"/>
      <c r="K259" s="16">
        <v>0</v>
      </c>
      <c r="L259" s="16"/>
      <c r="M259" s="16"/>
      <c r="N259" s="16"/>
      <c r="O259" s="16">
        <f t="shared" si="97"/>
        <v>0</v>
      </c>
      <c r="P259" s="16"/>
      <c r="Q259" s="16"/>
      <c r="R259" s="16"/>
      <c r="S259" s="16"/>
      <c r="T259" s="16"/>
      <c r="U259" s="16"/>
      <c r="V259" s="16"/>
      <c r="W259" s="16">
        <f t="shared" si="113"/>
        <v>0</v>
      </c>
      <c r="Z259" s="6" t="s">
        <v>271</v>
      </c>
      <c r="AA259" s="16"/>
      <c r="AB259" s="6" t="s">
        <v>25</v>
      </c>
      <c r="AD259" s="16"/>
      <c r="AE259" s="16"/>
      <c r="AF259" s="16"/>
      <c r="AG259" s="16"/>
      <c r="AH259" s="16"/>
      <c r="AI259" s="16"/>
      <c r="AJ259" s="8">
        <f t="shared" si="114"/>
        <v>0</v>
      </c>
      <c r="AK259" s="8"/>
      <c r="AL259" s="16"/>
      <c r="AM259" s="8"/>
      <c r="AN259" s="16"/>
      <c r="AO259" s="16"/>
      <c r="AP259" s="16"/>
      <c r="AQ259" s="16"/>
      <c r="AR259" s="16"/>
      <c r="AS259" s="16"/>
      <c r="AT259" s="8">
        <f t="shared" si="115"/>
        <v>0</v>
      </c>
      <c r="AU259" s="8"/>
      <c r="AV259" s="16">
        <v>0</v>
      </c>
      <c r="AW259" s="16"/>
      <c r="AX259" s="16">
        <v>0</v>
      </c>
      <c r="AY259" s="16"/>
      <c r="AZ259" s="16">
        <f t="shared" si="116"/>
        <v>0</v>
      </c>
      <c r="BB259" s="6" t="s">
        <v>271</v>
      </c>
      <c r="BC259" s="6"/>
      <c r="BD259" s="6" t="s">
        <v>25</v>
      </c>
      <c r="BE259" s="16"/>
      <c r="BF259" s="16"/>
      <c r="BG259" s="16"/>
      <c r="BH259" s="16"/>
      <c r="BI259" s="16"/>
      <c r="BJ259" s="16"/>
      <c r="BK259" s="16"/>
      <c r="BL259" s="16"/>
      <c r="BM259" s="16"/>
      <c r="BN259" s="16">
        <f t="shared" si="117"/>
        <v>0</v>
      </c>
      <c r="BO259" s="17"/>
      <c r="BP259" s="6"/>
      <c r="BQ259" s="6"/>
      <c r="BR259" s="6"/>
    </row>
    <row r="260" spans="1:95" ht="12.75" hidden="1" customHeight="1" x14ac:dyDescent="0.2">
      <c r="A260" s="6" t="s">
        <v>272</v>
      </c>
      <c r="C260" s="6" t="s">
        <v>41</v>
      </c>
      <c r="E260" s="16">
        <v>0</v>
      </c>
      <c r="F260" s="16"/>
      <c r="G260" s="16"/>
      <c r="H260" s="16"/>
      <c r="I260" s="16">
        <f t="shared" si="96"/>
        <v>0</v>
      </c>
      <c r="J260" s="16"/>
      <c r="K260" s="16">
        <v>0</v>
      </c>
      <c r="L260" s="16"/>
      <c r="M260" s="16"/>
      <c r="N260" s="16"/>
      <c r="O260" s="16">
        <f t="shared" si="97"/>
        <v>0</v>
      </c>
      <c r="P260" s="16"/>
      <c r="Q260" s="16"/>
      <c r="R260" s="16"/>
      <c r="S260" s="16"/>
      <c r="T260" s="16"/>
      <c r="U260" s="16"/>
      <c r="V260" s="16"/>
      <c r="W260" s="16">
        <f t="shared" si="113"/>
        <v>0</v>
      </c>
      <c r="Z260" s="6" t="s">
        <v>272</v>
      </c>
      <c r="AA260" s="16"/>
      <c r="AB260" s="6" t="s">
        <v>41</v>
      </c>
      <c r="AD260" s="16"/>
      <c r="AE260" s="16"/>
      <c r="AF260" s="16"/>
      <c r="AG260" s="16"/>
      <c r="AH260" s="16"/>
      <c r="AI260" s="16"/>
      <c r="AJ260" s="8">
        <f t="shared" si="114"/>
        <v>0</v>
      </c>
      <c r="AK260" s="8"/>
      <c r="AL260" s="16"/>
      <c r="AM260" s="8"/>
      <c r="AN260" s="16"/>
      <c r="AO260" s="16"/>
      <c r="AP260" s="16"/>
      <c r="AQ260" s="16"/>
      <c r="AR260" s="16"/>
      <c r="AS260" s="16"/>
      <c r="AT260" s="8">
        <f t="shared" si="115"/>
        <v>0</v>
      </c>
      <c r="AU260" s="8"/>
      <c r="AV260" s="16">
        <v>0</v>
      </c>
      <c r="AW260" s="16"/>
      <c r="AX260" s="16">
        <v>0</v>
      </c>
      <c r="AY260" s="16"/>
      <c r="AZ260" s="16">
        <f t="shared" si="116"/>
        <v>0</v>
      </c>
      <c r="BB260" s="6" t="s">
        <v>272</v>
      </c>
      <c r="BC260" s="6"/>
      <c r="BD260" s="6" t="s">
        <v>41</v>
      </c>
      <c r="BE260" s="16"/>
      <c r="BF260" s="16"/>
      <c r="BG260" s="16"/>
      <c r="BH260" s="16"/>
      <c r="BI260" s="16"/>
      <c r="BJ260" s="16"/>
      <c r="BK260" s="16"/>
      <c r="BL260" s="16"/>
      <c r="BM260" s="16"/>
      <c r="BN260" s="16">
        <f t="shared" si="117"/>
        <v>0</v>
      </c>
      <c r="BO260" s="17"/>
      <c r="BP260" s="6"/>
      <c r="BQ260" s="6"/>
      <c r="BR260" s="6"/>
    </row>
    <row r="261" spans="1:95" ht="12.75" hidden="1" customHeight="1" x14ac:dyDescent="0.2">
      <c r="A261" s="6" t="s">
        <v>273</v>
      </c>
      <c r="C261" s="6" t="s">
        <v>90</v>
      </c>
      <c r="E261" s="16">
        <v>0</v>
      </c>
      <c r="F261" s="16"/>
      <c r="G261" s="16"/>
      <c r="H261" s="16"/>
      <c r="I261" s="16">
        <f t="shared" si="96"/>
        <v>0</v>
      </c>
      <c r="J261" s="16"/>
      <c r="K261" s="16">
        <v>0</v>
      </c>
      <c r="L261" s="16"/>
      <c r="M261" s="16"/>
      <c r="N261" s="16"/>
      <c r="O261" s="16">
        <f t="shared" si="97"/>
        <v>0</v>
      </c>
      <c r="P261" s="16"/>
      <c r="Q261" s="16"/>
      <c r="R261" s="16"/>
      <c r="S261" s="16"/>
      <c r="T261" s="16"/>
      <c r="U261" s="16"/>
      <c r="V261" s="16"/>
      <c r="W261" s="16">
        <f t="shared" si="113"/>
        <v>0</v>
      </c>
      <c r="Z261" s="6" t="s">
        <v>273</v>
      </c>
      <c r="AA261" s="16"/>
      <c r="AB261" s="6" t="s">
        <v>90</v>
      </c>
      <c r="AD261" s="16"/>
      <c r="AE261" s="16"/>
      <c r="AF261" s="16"/>
      <c r="AG261" s="16"/>
      <c r="AH261" s="16"/>
      <c r="AI261" s="16"/>
      <c r="AJ261" s="8">
        <f t="shared" si="114"/>
        <v>0</v>
      </c>
      <c r="AK261" s="8"/>
      <c r="AL261" s="16"/>
      <c r="AM261" s="8"/>
      <c r="AN261" s="16"/>
      <c r="AO261" s="16"/>
      <c r="AP261" s="16"/>
      <c r="AQ261" s="16"/>
      <c r="AR261" s="16"/>
      <c r="AS261" s="16"/>
      <c r="AT261" s="8">
        <f t="shared" si="115"/>
        <v>0</v>
      </c>
      <c r="AU261" s="8"/>
      <c r="AV261" s="16">
        <v>0</v>
      </c>
      <c r="AW261" s="16"/>
      <c r="AX261" s="16">
        <v>0</v>
      </c>
      <c r="AY261" s="16"/>
      <c r="AZ261" s="16">
        <f t="shared" si="116"/>
        <v>0</v>
      </c>
      <c r="BB261" s="6" t="s">
        <v>273</v>
      </c>
      <c r="BC261" s="6"/>
      <c r="BD261" s="6" t="s">
        <v>90</v>
      </c>
      <c r="BE261" s="16"/>
      <c r="BF261" s="16"/>
      <c r="BG261" s="16"/>
      <c r="BH261" s="16"/>
      <c r="BI261" s="16"/>
      <c r="BJ261" s="16"/>
      <c r="BK261" s="16"/>
      <c r="BL261" s="16"/>
      <c r="BM261" s="16"/>
      <c r="BN261" s="16">
        <f t="shared" si="117"/>
        <v>0</v>
      </c>
      <c r="BO261" s="17"/>
      <c r="BP261" s="6"/>
      <c r="BQ261" s="6"/>
      <c r="BR261" s="6"/>
    </row>
    <row r="262" spans="1:95" ht="12.75" customHeight="1" x14ac:dyDescent="0.2">
      <c r="A262" s="6" t="s">
        <v>274</v>
      </c>
      <c r="C262" s="6" t="s">
        <v>36</v>
      </c>
      <c r="E262" s="16">
        <v>2522228</v>
      </c>
      <c r="F262" s="16"/>
      <c r="G262" s="16">
        <v>6089551</v>
      </c>
      <c r="H262" s="16"/>
      <c r="I262" s="16">
        <f t="shared" si="96"/>
        <v>8611779</v>
      </c>
      <c r="J262" s="16"/>
      <c r="K262" s="16">
        <v>398467</v>
      </c>
      <c r="L262" s="16"/>
      <c r="M262" s="16">
        <v>351935</v>
      </c>
      <c r="N262" s="16"/>
      <c r="O262" s="16">
        <f t="shared" si="97"/>
        <v>750402</v>
      </c>
      <c r="P262" s="16"/>
      <c r="Q262" s="16">
        <v>5578134</v>
      </c>
      <c r="R262" s="16"/>
      <c r="S262" s="16">
        <v>0</v>
      </c>
      <c r="T262" s="16"/>
      <c r="U262" s="16">
        <v>2283243</v>
      </c>
      <c r="V262" s="16"/>
      <c r="W262" s="16">
        <f t="shared" si="113"/>
        <v>7861377</v>
      </c>
      <c r="Z262" s="6" t="s">
        <v>274</v>
      </c>
      <c r="AA262" s="16"/>
      <c r="AB262" s="6" t="s">
        <v>36</v>
      </c>
      <c r="AD262" s="16">
        <v>1518840</v>
      </c>
      <c r="AE262" s="16"/>
      <c r="AF262" s="16">
        <f>1343184-246315</f>
        <v>1096869</v>
      </c>
      <c r="AG262" s="16"/>
      <c r="AH262" s="16">
        <v>246315</v>
      </c>
      <c r="AI262" s="16"/>
      <c r="AJ262" s="8">
        <f t="shared" si="114"/>
        <v>175656</v>
      </c>
      <c r="AK262" s="8"/>
      <c r="AL262" s="16">
        <v>-4209</v>
      </c>
      <c r="AM262" s="8"/>
      <c r="AN262" s="16">
        <v>0</v>
      </c>
      <c r="AO262" s="16"/>
      <c r="AP262" s="16">
        <v>0</v>
      </c>
      <c r="AQ262" s="16"/>
      <c r="AR262" s="16">
        <v>11600</v>
      </c>
      <c r="AS262" s="16"/>
      <c r="AT262" s="8">
        <f t="shared" si="115"/>
        <v>183047</v>
      </c>
      <c r="AU262" s="8"/>
      <c r="AV262" s="16">
        <v>0</v>
      </c>
      <c r="AW262" s="16"/>
      <c r="AX262" s="16">
        <v>0</v>
      </c>
      <c r="AY262" s="16"/>
      <c r="AZ262" s="16">
        <f t="shared" si="116"/>
        <v>2123761</v>
      </c>
      <c r="BB262" s="6" t="s">
        <v>274</v>
      </c>
      <c r="BC262" s="6"/>
      <c r="BD262" s="6" t="s">
        <v>36</v>
      </c>
      <c r="BE262" s="16"/>
      <c r="BF262" s="16">
        <v>0</v>
      </c>
      <c r="BG262" s="16"/>
      <c r="BH262" s="16">
        <v>0</v>
      </c>
      <c r="BI262" s="16"/>
      <c r="BJ262" s="16">
        <f>174752+96808+24934+10923</f>
        <v>307417</v>
      </c>
      <c r="BK262" s="16"/>
      <c r="BL262" s="16">
        <f>80375+55539</f>
        <v>135914</v>
      </c>
      <c r="BM262" s="16"/>
      <c r="BN262" s="16">
        <f t="shared" si="117"/>
        <v>443331</v>
      </c>
      <c r="BO262" s="17"/>
      <c r="BP262" s="6"/>
      <c r="BQ262" s="6"/>
      <c r="BR262" s="6"/>
    </row>
    <row r="263" spans="1:95" ht="12.75" hidden="1" customHeight="1" x14ac:dyDescent="0.2">
      <c r="A263" s="6" t="s">
        <v>275</v>
      </c>
      <c r="C263" s="6" t="s">
        <v>90</v>
      </c>
      <c r="E263" s="16">
        <v>0</v>
      </c>
      <c r="F263" s="16"/>
      <c r="G263" s="16"/>
      <c r="H263" s="16"/>
      <c r="I263" s="16">
        <f t="shared" si="96"/>
        <v>0</v>
      </c>
      <c r="J263" s="16"/>
      <c r="K263" s="16">
        <v>0</v>
      </c>
      <c r="L263" s="16"/>
      <c r="M263" s="16"/>
      <c r="N263" s="16"/>
      <c r="O263" s="16">
        <f t="shared" si="97"/>
        <v>0</v>
      </c>
      <c r="P263" s="16"/>
      <c r="Q263" s="16"/>
      <c r="R263" s="16"/>
      <c r="S263" s="16"/>
      <c r="T263" s="16"/>
      <c r="U263" s="16"/>
      <c r="V263" s="16"/>
      <c r="W263" s="16">
        <f t="shared" si="113"/>
        <v>0</v>
      </c>
      <c r="Z263" s="6" t="s">
        <v>275</v>
      </c>
      <c r="AA263" s="16"/>
      <c r="AB263" s="6" t="s">
        <v>90</v>
      </c>
      <c r="AD263" s="16"/>
      <c r="AE263" s="16"/>
      <c r="AF263" s="16"/>
      <c r="AG263" s="16"/>
      <c r="AH263" s="16"/>
      <c r="AI263" s="16"/>
      <c r="AJ263" s="8">
        <f t="shared" si="114"/>
        <v>0</v>
      </c>
      <c r="AK263" s="8"/>
      <c r="AL263" s="16"/>
      <c r="AM263" s="8"/>
      <c r="AN263" s="16"/>
      <c r="AO263" s="16"/>
      <c r="AP263" s="16"/>
      <c r="AQ263" s="16"/>
      <c r="AR263" s="16"/>
      <c r="AS263" s="16"/>
      <c r="AT263" s="8">
        <f t="shared" si="115"/>
        <v>0</v>
      </c>
      <c r="AU263" s="8"/>
      <c r="AV263" s="16">
        <v>0</v>
      </c>
      <c r="AW263" s="16"/>
      <c r="AX263" s="16">
        <v>0</v>
      </c>
      <c r="AY263" s="16"/>
      <c r="AZ263" s="16">
        <f t="shared" si="116"/>
        <v>0</v>
      </c>
      <c r="BB263" s="6" t="s">
        <v>275</v>
      </c>
      <c r="BC263" s="6"/>
      <c r="BD263" s="6" t="s">
        <v>90</v>
      </c>
      <c r="BE263" s="16"/>
      <c r="BF263" s="16"/>
      <c r="BG263" s="16"/>
      <c r="BH263" s="16"/>
      <c r="BI263" s="16"/>
      <c r="BJ263" s="16"/>
      <c r="BK263" s="16"/>
      <c r="BL263" s="16"/>
      <c r="BM263" s="16"/>
      <c r="BN263" s="16">
        <f t="shared" si="117"/>
        <v>0</v>
      </c>
      <c r="BO263" s="17"/>
      <c r="BQ263" s="6"/>
      <c r="BR263" s="6"/>
    </row>
    <row r="264" spans="1:95" ht="12.75" hidden="1" customHeight="1" x14ac:dyDescent="0.2">
      <c r="A264" s="6" t="s">
        <v>276</v>
      </c>
      <c r="C264" s="6" t="s">
        <v>90</v>
      </c>
      <c r="E264" s="16">
        <v>0</v>
      </c>
      <c r="F264" s="16"/>
      <c r="G264" s="16"/>
      <c r="H264" s="16"/>
      <c r="I264" s="16">
        <f t="shared" si="96"/>
        <v>0</v>
      </c>
      <c r="J264" s="16"/>
      <c r="K264" s="16">
        <v>0</v>
      </c>
      <c r="L264" s="16"/>
      <c r="M264" s="16"/>
      <c r="N264" s="16"/>
      <c r="O264" s="16">
        <f t="shared" si="97"/>
        <v>0</v>
      </c>
      <c r="P264" s="16"/>
      <c r="Q264" s="16"/>
      <c r="R264" s="16"/>
      <c r="S264" s="16"/>
      <c r="T264" s="16"/>
      <c r="U264" s="16"/>
      <c r="V264" s="16"/>
      <c r="W264" s="16">
        <f t="shared" si="113"/>
        <v>0</v>
      </c>
      <c r="Z264" s="6" t="s">
        <v>276</v>
      </c>
      <c r="AA264" s="16"/>
      <c r="AB264" s="6" t="s">
        <v>90</v>
      </c>
      <c r="AD264" s="16"/>
      <c r="AE264" s="16"/>
      <c r="AF264" s="16"/>
      <c r="AG264" s="16"/>
      <c r="AH264" s="16"/>
      <c r="AI264" s="16"/>
      <c r="AJ264" s="8">
        <f t="shared" si="114"/>
        <v>0</v>
      </c>
      <c r="AK264" s="8"/>
      <c r="AL264" s="16"/>
      <c r="AM264" s="8"/>
      <c r="AN264" s="16"/>
      <c r="AO264" s="16"/>
      <c r="AP264" s="16"/>
      <c r="AQ264" s="16"/>
      <c r="AR264" s="16"/>
      <c r="AS264" s="16"/>
      <c r="AT264" s="8">
        <f t="shared" si="115"/>
        <v>0</v>
      </c>
      <c r="AU264" s="8"/>
      <c r="AV264" s="16">
        <v>0</v>
      </c>
      <c r="AW264" s="16"/>
      <c r="AX264" s="16">
        <v>0</v>
      </c>
      <c r="AY264" s="16"/>
      <c r="AZ264" s="16">
        <f t="shared" si="116"/>
        <v>0</v>
      </c>
      <c r="BB264" s="6" t="s">
        <v>276</v>
      </c>
      <c r="BC264" s="6"/>
      <c r="BD264" s="6" t="s">
        <v>90</v>
      </c>
      <c r="BE264" s="16"/>
      <c r="BF264" s="16"/>
      <c r="BG264" s="16"/>
      <c r="BH264" s="16"/>
      <c r="BI264" s="16"/>
      <c r="BJ264" s="16"/>
      <c r="BK264" s="16"/>
      <c r="BL264" s="16"/>
      <c r="BM264" s="16"/>
      <c r="BN264" s="16">
        <f t="shared" si="117"/>
        <v>0</v>
      </c>
      <c r="BO264" s="17"/>
      <c r="BP264" s="6"/>
      <c r="BQ264" s="6"/>
      <c r="BR264" s="6"/>
    </row>
    <row r="265" spans="1:95" ht="12.75" hidden="1" customHeight="1" x14ac:dyDescent="0.2">
      <c r="A265" s="6" t="s">
        <v>277</v>
      </c>
      <c r="C265" s="6" t="s">
        <v>90</v>
      </c>
      <c r="E265" s="16">
        <v>0</v>
      </c>
      <c r="F265" s="16"/>
      <c r="G265" s="16"/>
      <c r="H265" s="16"/>
      <c r="I265" s="16">
        <f t="shared" si="96"/>
        <v>0</v>
      </c>
      <c r="J265" s="16"/>
      <c r="K265" s="16">
        <v>0</v>
      </c>
      <c r="L265" s="16"/>
      <c r="M265" s="16"/>
      <c r="N265" s="16"/>
      <c r="O265" s="16">
        <f t="shared" si="97"/>
        <v>0</v>
      </c>
      <c r="P265" s="16"/>
      <c r="Q265" s="16"/>
      <c r="R265" s="16"/>
      <c r="S265" s="16"/>
      <c r="T265" s="16"/>
      <c r="U265" s="16"/>
      <c r="V265" s="16"/>
      <c r="W265" s="16">
        <f t="shared" si="113"/>
        <v>0</v>
      </c>
      <c r="Z265" s="6" t="s">
        <v>277</v>
      </c>
      <c r="AA265" s="16"/>
      <c r="AB265" s="6" t="s">
        <v>90</v>
      </c>
      <c r="AD265" s="16"/>
      <c r="AE265" s="16"/>
      <c r="AF265" s="16"/>
      <c r="AG265" s="16"/>
      <c r="AH265" s="16"/>
      <c r="AI265" s="16"/>
      <c r="AJ265" s="8">
        <f t="shared" si="114"/>
        <v>0</v>
      </c>
      <c r="AK265" s="8"/>
      <c r="AL265" s="16"/>
      <c r="AM265" s="8"/>
      <c r="AN265" s="16"/>
      <c r="AO265" s="16"/>
      <c r="AP265" s="16"/>
      <c r="AQ265" s="16"/>
      <c r="AR265" s="16"/>
      <c r="AS265" s="16"/>
      <c r="AT265" s="8">
        <f t="shared" si="115"/>
        <v>0</v>
      </c>
      <c r="AU265" s="8"/>
      <c r="AV265" s="16">
        <v>0</v>
      </c>
      <c r="AW265" s="16"/>
      <c r="AX265" s="16">
        <v>0</v>
      </c>
      <c r="AY265" s="16"/>
      <c r="AZ265" s="16">
        <f t="shared" si="116"/>
        <v>0</v>
      </c>
      <c r="BB265" s="6" t="s">
        <v>277</v>
      </c>
      <c r="BC265" s="6"/>
      <c r="BD265" s="6" t="s">
        <v>90</v>
      </c>
      <c r="BE265" s="16"/>
      <c r="BF265" s="16"/>
      <c r="BG265" s="16"/>
      <c r="BH265" s="16"/>
      <c r="BI265" s="16"/>
      <c r="BJ265" s="16"/>
      <c r="BK265" s="16"/>
      <c r="BL265" s="16"/>
      <c r="BM265" s="16"/>
      <c r="BN265" s="16">
        <f t="shared" si="117"/>
        <v>0</v>
      </c>
      <c r="BO265" s="17"/>
      <c r="BP265" s="6"/>
      <c r="BQ265" s="6"/>
      <c r="BR265" s="6"/>
    </row>
    <row r="266" spans="1:95" ht="12.75" customHeight="1" x14ac:dyDescent="0.2">
      <c r="A266" s="6" t="s">
        <v>278</v>
      </c>
      <c r="C266" s="6" t="s">
        <v>279</v>
      </c>
      <c r="E266" s="16">
        <v>2357521</v>
      </c>
      <c r="F266" s="16"/>
      <c r="G266" s="16">
        <v>20001612</v>
      </c>
      <c r="H266" s="16"/>
      <c r="I266" s="16">
        <f t="shared" si="96"/>
        <v>22359133</v>
      </c>
      <c r="J266" s="16"/>
      <c r="K266" s="16">
        <v>545941</v>
      </c>
      <c r="L266" s="16"/>
      <c r="M266" s="16">
        <v>11904861</v>
      </c>
      <c r="N266" s="16"/>
      <c r="O266" s="16">
        <f t="shared" si="97"/>
        <v>12450802</v>
      </c>
      <c r="P266" s="16"/>
      <c r="Q266" s="16">
        <v>7383080</v>
      </c>
      <c r="R266" s="16"/>
      <c r="S266" s="16">
        <v>447185</v>
      </c>
      <c r="T266" s="16"/>
      <c r="U266" s="16">
        <v>2078066</v>
      </c>
      <c r="V266" s="16"/>
      <c r="W266" s="16">
        <f t="shared" si="113"/>
        <v>9908331</v>
      </c>
      <c r="Z266" s="6" t="s">
        <v>278</v>
      </c>
      <c r="AA266" s="16"/>
      <c r="AB266" s="6" t="s">
        <v>279</v>
      </c>
      <c r="AD266" s="16">
        <v>2680571</v>
      </c>
      <c r="AE266" s="16"/>
      <c r="AF266" s="16">
        <f>2460600-671812</f>
        <v>1788788</v>
      </c>
      <c r="AG266" s="16"/>
      <c r="AH266" s="16">
        <v>671812</v>
      </c>
      <c r="AI266" s="16"/>
      <c r="AJ266" s="8">
        <f t="shared" si="114"/>
        <v>219971</v>
      </c>
      <c r="AK266" s="8"/>
      <c r="AL266" s="16">
        <v>-586488</v>
      </c>
      <c r="AM266" s="8"/>
      <c r="AN266" s="16">
        <v>0</v>
      </c>
      <c r="AO266" s="16"/>
      <c r="AP266" s="16">
        <v>0</v>
      </c>
      <c r="AQ266" s="16"/>
      <c r="AR266" s="16">
        <v>0</v>
      </c>
      <c r="AS266" s="16"/>
      <c r="AT266" s="8">
        <f t="shared" si="115"/>
        <v>-366517</v>
      </c>
      <c r="AU266" s="8"/>
      <c r="AV266" s="16">
        <v>0</v>
      </c>
      <c r="AW266" s="16"/>
      <c r="AX266" s="16">
        <v>0</v>
      </c>
      <c r="AY266" s="16"/>
      <c r="AZ266" s="16">
        <f t="shared" si="116"/>
        <v>1811580</v>
      </c>
      <c r="BB266" s="6" t="s">
        <v>278</v>
      </c>
      <c r="BC266" s="6"/>
      <c r="BD266" s="6" t="s">
        <v>279</v>
      </c>
      <c r="BE266" s="16"/>
      <c r="BF266" s="16">
        <v>0</v>
      </c>
      <c r="BG266" s="16"/>
      <c r="BH266" s="16">
        <f>12155000+410000</f>
        <v>12565000</v>
      </c>
      <c r="BI266" s="16"/>
      <c r="BJ266" s="16">
        <v>0</v>
      </c>
      <c r="BK266" s="16"/>
      <c r="BL266" s="16">
        <f>64918+30733-345790+55733</f>
        <v>-194406</v>
      </c>
      <c r="BM266" s="16"/>
      <c r="BN266" s="16">
        <f t="shared" si="117"/>
        <v>12370594</v>
      </c>
      <c r="BO266" s="17"/>
      <c r="BP266" s="6"/>
      <c r="BQ266" s="6"/>
      <c r="BR266" s="6"/>
    </row>
    <row r="267" spans="1:95" ht="12.75" customHeight="1" x14ac:dyDescent="0.2">
      <c r="A267" s="6" t="s">
        <v>280</v>
      </c>
      <c r="C267" s="6" t="s">
        <v>197</v>
      </c>
      <c r="E267" s="16">
        <v>4669580</v>
      </c>
      <c r="F267" s="16"/>
      <c r="G267" s="16">
        <v>24417691</v>
      </c>
      <c r="H267" s="16"/>
      <c r="I267" s="16">
        <f t="shared" si="96"/>
        <v>29087271</v>
      </c>
      <c r="J267" s="16"/>
      <c r="K267" s="16">
        <v>917320</v>
      </c>
      <c r="L267" s="16"/>
      <c r="M267" s="16">
        <v>6799125</v>
      </c>
      <c r="N267" s="16"/>
      <c r="O267" s="16">
        <f t="shared" si="97"/>
        <v>7716445</v>
      </c>
      <c r="P267" s="16"/>
      <c r="Q267" s="16">
        <v>17410879</v>
      </c>
      <c r="R267" s="16"/>
      <c r="S267" s="16">
        <v>0</v>
      </c>
      <c r="T267" s="16"/>
      <c r="U267" s="16">
        <v>3959947</v>
      </c>
      <c r="V267" s="16"/>
      <c r="W267" s="16">
        <f t="shared" si="113"/>
        <v>21370826</v>
      </c>
      <c r="Z267" s="6" t="s">
        <v>280</v>
      </c>
      <c r="AA267" s="16"/>
      <c r="AB267" s="6" t="s">
        <v>197</v>
      </c>
      <c r="AD267" s="16">
        <v>5415125</v>
      </c>
      <c r="AE267" s="16"/>
      <c r="AF267" s="16">
        <f>4597249-1064277</f>
        <v>3532972</v>
      </c>
      <c r="AG267" s="16"/>
      <c r="AH267" s="16">
        <v>1064277</v>
      </c>
      <c r="AI267" s="16"/>
      <c r="AJ267" s="8">
        <f t="shared" si="114"/>
        <v>817876</v>
      </c>
      <c r="AK267" s="8"/>
      <c r="AL267" s="16">
        <v>-189941</v>
      </c>
      <c r="AM267" s="8"/>
      <c r="AN267" s="16">
        <v>0</v>
      </c>
      <c r="AO267" s="16"/>
      <c r="AP267" s="16">
        <v>0</v>
      </c>
      <c r="AQ267" s="16"/>
      <c r="AR267" s="16">
        <v>20241</v>
      </c>
      <c r="AS267" s="16"/>
      <c r="AT267" s="8">
        <f t="shared" si="115"/>
        <v>648176</v>
      </c>
      <c r="AU267" s="8"/>
      <c r="AV267" s="16">
        <v>0</v>
      </c>
      <c r="AW267" s="16"/>
      <c r="AX267" s="16">
        <v>0</v>
      </c>
      <c r="AY267" s="16"/>
      <c r="AZ267" s="16">
        <f t="shared" si="116"/>
        <v>3752260</v>
      </c>
      <c r="BB267" s="6" t="s">
        <v>280</v>
      </c>
      <c r="BC267" s="6"/>
      <c r="BD267" s="6" t="s">
        <v>197</v>
      </c>
      <c r="BE267" s="16"/>
      <c r="BF267" s="16">
        <f>6666102+340710</f>
        <v>7006812</v>
      </c>
      <c r="BG267" s="16"/>
      <c r="BH267" s="16">
        <v>0</v>
      </c>
      <c r="BI267" s="16"/>
      <c r="BJ267" s="16">
        <v>0</v>
      </c>
      <c r="BK267" s="16"/>
      <c r="BL267" s="16">
        <f>133023+62109</f>
        <v>195132</v>
      </c>
      <c r="BM267" s="16"/>
      <c r="BN267" s="16">
        <f t="shared" si="117"/>
        <v>7201944</v>
      </c>
      <c r="BO267" s="17"/>
      <c r="BP267" s="6"/>
      <c r="BQ267" s="6"/>
      <c r="BR267" s="6"/>
    </row>
    <row r="268" spans="1:95" ht="12.75" hidden="1" customHeight="1" x14ac:dyDescent="0.2">
      <c r="A268" s="6" t="s">
        <v>281</v>
      </c>
      <c r="C268" s="6" t="s">
        <v>41</v>
      </c>
      <c r="E268" s="16">
        <v>0</v>
      </c>
      <c r="F268" s="16"/>
      <c r="G268" s="16"/>
      <c r="H268" s="16"/>
      <c r="I268" s="16">
        <f t="shared" si="96"/>
        <v>0</v>
      </c>
      <c r="J268" s="16"/>
      <c r="K268" s="16">
        <v>0</v>
      </c>
      <c r="L268" s="16"/>
      <c r="M268" s="16"/>
      <c r="N268" s="16"/>
      <c r="O268" s="16">
        <f t="shared" si="97"/>
        <v>0</v>
      </c>
      <c r="P268" s="16"/>
      <c r="Q268" s="16"/>
      <c r="R268" s="16"/>
      <c r="S268" s="16"/>
      <c r="T268" s="16"/>
      <c r="U268" s="16"/>
      <c r="V268" s="16"/>
      <c r="W268" s="16">
        <f t="shared" si="113"/>
        <v>0</v>
      </c>
      <c r="Z268" s="6" t="s">
        <v>281</v>
      </c>
      <c r="AA268" s="16"/>
      <c r="AB268" s="6" t="s">
        <v>41</v>
      </c>
      <c r="AD268" s="16"/>
      <c r="AE268" s="16"/>
      <c r="AF268" s="16"/>
      <c r="AG268" s="16"/>
      <c r="AH268" s="16"/>
      <c r="AI268" s="16"/>
      <c r="AJ268" s="8">
        <f t="shared" si="114"/>
        <v>0</v>
      </c>
      <c r="AK268" s="8"/>
      <c r="AL268" s="16"/>
      <c r="AM268" s="8"/>
      <c r="AN268" s="16"/>
      <c r="AO268" s="16"/>
      <c r="AP268" s="16"/>
      <c r="AQ268" s="16"/>
      <c r="AR268" s="16"/>
      <c r="AS268" s="16"/>
      <c r="AT268" s="8">
        <f t="shared" si="115"/>
        <v>0</v>
      </c>
      <c r="AU268" s="8"/>
      <c r="AV268" s="16">
        <v>0</v>
      </c>
      <c r="AW268" s="16"/>
      <c r="AX268" s="16">
        <v>0</v>
      </c>
      <c r="AY268" s="16"/>
      <c r="AZ268" s="16">
        <f t="shared" si="116"/>
        <v>0</v>
      </c>
      <c r="BB268" s="6" t="s">
        <v>281</v>
      </c>
      <c r="BC268" s="6"/>
      <c r="BD268" s="6" t="s">
        <v>41</v>
      </c>
      <c r="BE268" s="16"/>
      <c r="BF268" s="16">
        <f>375100+683750+2420000</f>
        <v>3478850</v>
      </c>
      <c r="BG268" s="16"/>
      <c r="BH268" s="16"/>
      <c r="BI268" s="16"/>
      <c r="BJ268" s="16">
        <f>388606+2279513+79698+358658+229749+302200</f>
        <v>3638424</v>
      </c>
      <c r="BK268" s="16"/>
      <c r="BL268" s="16">
        <f>188686+62871</f>
        <v>251557</v>
      </c>
      <c r="BM268" s="16"/>
      <c r="BN268" s="16">
        <f t="shared" si="117"/>
        <v>7368831</v>
      </c>
      <c r="BO268" s="17"/>
      <c r="BP268" s="6"/>
      <c r="BQ268" s="6"/>
      <c r="BR268" s="6"/>
    </row>
    <row r="269" spans="1:95" ht="12.75" customHeight="1" x14ac:dyDescent="0.2">
      <c r="A269" s="6" t="s">
        <v>282</v>
      </c>
      <c r="C269" s="6" t="s">
        <v>43</v>
      </c>
      <c r="E269" s="16">
        <v>2176918</v>
      </c>
      <c r="F269" s="16"/>
      <c r="G269" s="16">
        <v>8501092</v>
      </c>
      <c r="H269" s="16"/>
      <c r="I269" s="16">
        <f t="shared" si="96"/>
        <v>10678010</v>
      </c>
      <c r="J269" s="16"/>
      <c r="K269" s="16">
        <v>923114</v>
      </c>
      <c r="L269" s="16"/>
      <c r="M269" s="16">
        <v>4925911</v>
      </c>
      <c r="N269" s="16"/>
      <c r="O269" s="16">
        <f t="shared" si="97"/>
        <v>5849025</v>
      </c>
      <c r="P269" s="16"/>
      <c r="Q269" s="16">
        <v>3138806</v>
      </c>
      <c r="R269" s="16"/>
      <c r="S269" s="16">
        <v>0</v>
      </c>
      <c r="T269" s="16"/>
      <c r="U269" s="16">
        <v>1690179</v>
      </c>
      <c r="V269" s="16"/>
      <c r="W269" s="16">
        <f t="shared" si="113"/>
        <v>4828985</v>
      </c>
      <c r="Z269" s="6" t="s">
        <v>282</v>
      </c>
      <c r="AA269" s="16"/>
      <c r="AB269" s="6" t="s">
        <v>43</v>
      </c>
      <c r="AD269" s="16">
        <v>1909736</v>
      </c>
      <c r="AE269" s="16"/>
      <c r="AF269" s="16">
        <f>1487744-261130</f>
        <v>1226614</v>
      </c>
      <c r="AG269" s="16"/>
      <c r="AH269" s="16">
        <v>261130</v>
      </c>
      <c r="AI269" s="16"/>
      <c r="AJ269" s="8">
        <f t="shared" si="114"/>
        <v>421992</v>
      </c>
      <c r="AK269" s="8"/>
      <c r="AL269" s="16">
        <v>-145351</v>
      </c>
      <c r="AM269" s="8"/>
      <c r="AN269" s="16">
        <v>0</v>
      </c>
      <c r="AO269" s="16"/>
      <c r="AP269" s="16">
        <v>0</v>
      </c>
      <c r="AQ269" s="16"/>
      <c r="AR269" s="16">
        <v>1463832</v>
      </c>
      <c r="AS269" s="16"/>
      <c r="AT269" s="8">
        <f t="shared" si="115"/>
        <v>1740473</v>
      </c>
      <c r="AU269" s="8"/>
      <c r="AV269" s="16">
        <v>0</v>
      </c>
      <c r="AW269" s="16"/>
      <c r="AX269" s="16">
        <v>0</v>
      </c>
      <c r="AY269" s="16"/>
      <c r="AZ269" s="16">
        <f t="shared" si="116"/>
        <v>1253804</v>
      </c>
      <c r="BB269" s="6" t="s">
        <v>282</v>
      </c>
      <c r="BC269" s="6"/>
      <c r="BD269" s="6" t="s">
        <v>43</v>
      </c>
      <c r="BE269" s="16"/>
      <c r="BF269" s="16">
        <f>4898398+463888</f>
        <v>5362286</v>
      </c>
      <c r="BG269" s="16"/>
      <c r="BH269" s="16">
        <v>0</v>
      </c>
      <c r="BI269" s="16"/>
      <c r="BJ269" s="16">
        <v>0</v>
      </c>
      <c r="BK269" s="16"/>
      <c r="BL269" s="16">
        <f>27513+2506</f>
        <v>30019</v>
      </c>
      <c r="BM269" s="16"/>
      <c r="BN269" s="16">
        <f t="shared" si="117"/>
        <v>5392305</v>
      </c>
      <c r="BO269" s="17"/>
      <c r="BP269" s="6"/>
      <c r="BQ269" s="6"/>
      <c r="BR269" s="6"/>
    </row>
    <row r="270" spans="1:95" ht="12.75" customHeight="1" x14ac:dyDescent="0.2">
      <c r="A270" s="6" t="s">
        <v>283</v>
      </c>
      <c r="B270" s="6"/>
      <c r="C270" s="6" t="s">
        <v>28</v>
      </c>
      <c r="E270" s="16">
        <v>4126005</v>
      </c>
      <c r="F270" s="16"/>
      <c r="G270" s="16">
        <v>9234039</v>
      </c>
      <c r="H270" s="16"/>
      <c r="I270" s="16">
        <f t="shared" si="96"/>
        <v>13360044</v>
      </c>
      <c r="J270" s="16"/>
      <c r="K270" s="16">
        <v>229237</v>
      </c>
      <c r="L270" s="16"/>
      <c r="M270" s="16">
        <v>826682</v>
      </c>
      <c r="N270" s="16"/>
      <c r="O270" s="16">
        <f t="shared" si="97"/>
        <v>1055919</v>
      </c>
      <c r="P270" s="16"/>
      <c r="Q270" s="16">
        <v>8527270</v>
      </c>
      <c r="R270" s="16"/>
      <c r="S270" s="16">
        <v>0</v>
      </c>
      <c r="T270" s="16"/>
      <c r="U270" s="16">
        <v>3776855</v>
      </c>
      <c r="V270" s="16"/>
      <c r="W270" s="16">
        <f t="shared" si="113"/>
        <v>12304125</v>
      </c>
      <c r="X270" s="6"/>
      <c r="Y270" s="6"/>
      <c r="Z270" s="6" t="s">
        <v>283</v>
      </c>
      <c r="AA270" s="16"/>
      <c r="AB270" s="6" t="s">
        <v>28</v>
      </c>
      <c r="AC270" s="6"/>
      <c r="AD270" s="16">
        <v>3256364</v>
      </c>
      <c r="AE270" s="16"/>
      <c r="AF270" s="16">
        <f>3865614-1085695</f>
        <v>2779919</v>
      </c>
      <c r="AG270" s="16"/>
      <c r="AH270" s="16">
        <v>1085695</v>
      </c>
      <c r="AI270" s="16"/>
      <c r="AJ270" s="8">
        <f t="shared" si="114"/>
        <v>-609250</v>
      </c>
      <c r="AK270" s="8"/>
      <c r="AL270" s="16">
        <f>65572-31311</f>
        <v>34261</v>
      </c>
      <c r="AM270" s="8"/>
      <c r="AN270" s="16">
        <v>0</v>
      </c>
      <c r="AO270" s="16"/>
      <c r="AP270" s="16">
        <v>0</v>
      </c>
      <c r="AQ270" s="16"/>
      <c r="AR270" s="16">
        <v>901426</v>
      </c>
      <c r="AS270" s="16"/>
      <c r="AT270" s="8">
        <f t="shared" si="115"/>
        <v>326437</v>
      </c>
      <c r="AU270" s="8"/>
      <c r="AV270" s="16">
        <v>0</v>
      </c>
      <c r="AW270" s="16"/>
      <c r="AX270" s="16">
        <v>0</v>
      </c>
      <c r="AY270" s="16"/>
      <c r="AZ270" s="16">
        <f t="shared" si="116"/>
        <v>3896768</v>
      </c>
      <c r="BB270" s="6" t="s">
        <v>283</v>
      </c>
      <c r="BC270" s="6"/>
      <c r="BD270" s="6" t="s">
        <v>28</v>
      </c>
      <c r="BE270" s="16"/>
      <c r="BF270" s="16">
        <f>44559+5053</f>
        <v>49612</v>
      </c>
      <c r="BG270" s="16"/>
      <c r="BH270" s="16">
        <v>0</v>
      </c>
      <c r="BI270" s="16"/>
      <c r="BJ270" s="16">
        <v>0</v>
      </c>
      <c r="BK270" s="16"/>
      <c r="BL270" s="16">
        <f>178366+603757+12050+53400</f>
        <v>847573</v>
      </c>
      <c r="BM270" s="16"/>
      <c r="BN270" s="16">
        <f t="shared" si="117"/>
        <v>897185</v>
      </c>
      <c r="BO270" s="17"/>
      <c r="BP270" s="6"/>
      <c r="BQ270" s="6"/>
      <c r="BR270" s="6"/>
    </row>
    <row r="271" spans="1:95" ht="12.75" customHeight="1" x14ac:dyDescent="0.2">
      <c r="A271" s="6" t="s">
        <v>284</v>
      </c>
      <c r="B271" s="6"/>
      <c r="C271" s="6" t="s">
        <v>59</v>
      </c>
      <c r="E271" s="16">
        <v>10242969</v>
      </c>
      <c r="F271" s="16"/>
      <c r="G271" s="16">
        <v>33535605</v>
      </c>
      <c r="H271" s="16"/>
      <c r="I271" s="16">
        <f t="shared" si="96"/>
        <v>43778574</v>
      </c>
      <c r="J271" s="16"/>
      <c r="K271" s="16">
        <v>1402956</v>
      </c>
      <c r="L271" s="16"/>
      <c r="M271" s="16">
        <v>11617508</v>
      </c>
      <c r="N271" s="16"/>
      <c r="O271" s="16">
        <f t="shared" si="97"/>
        <v>13020464</v>
      </c>
      <c r="P271" s="16"/>
      <c r="Q271" s="16">
        <v>22134788</v>
      </c>
      <c r="R271" s="16"/>
      <c r="S271" s="16">
        <v>0</v>
      </c>
      <c r="T271" s="16"/>
      <c r="U271" s="16">
        <v>8623322</v>
      </c>
      <c r="V271" s="16"/>
      <c r="W271" s="16">
        <f t="shared" si="113"/>
        <v>30758110</v>
      </c>
      <c r="Z271" s="6" t="s">
        <v>284</v>
      </c>
      <c r="AA271" s="16"/>
      <c r="AB271" s="6" t="s">
        <v>59</v>
      </c>
      <c r="AD271" s="16">
        <v>34523059</v>
      </c>
      <c r="AE271" s="16"/>
      <c r="AF271" s="16">
        <f>30764898-888052</f>
        <v>29876846</v>
      </c>
      <c r="AG271" s="16"/>
      <c r="AH271" s="16">
        <v>888052</v>
      </c>
      <c r="AI271" s="16"/>
      <c r="AJ271" s="8">
        <f t="shared" si="114"/>
        <v>3758161</v>
      </c>
      <c r="AK271" s="8"/>
      <c r="AL271" s="16">
        <v>-272202</v>
      </c>
      <c r="AM271" s="8"/>
      <c r="AN271" s="16">
        <v>0</v>
      </c>
      <c r="AO271" s="16"/>
      <c r="AP271" s="16">
        <v>3330</v>
      </c>
      <c r="AQ271" s="16"/>
      <c r="AR271" s="16">
        <v>0</v>
      </c>
      <c r="AS271" s="16"/>
      <c r="AT271" s="8">
        <f t="shared" si="115"/>
        <v>3482629</v>
      </c>
      <c r="AU271" s="8"/>
      <c r="AV271" s="16">
        <v>0</v>
      </c>
      <c r="AW271" s="16"/>
      <c r="AX271" s="16">
        <v>0</v>
      </c>
      <c r="AY271" s="16"/>
      <c r="AZ271" s="16">
        <f t="shared" si="116"/>
        <v>8840013</v>
      </c>
      <c r="BB271" s="6" t="s">
        <v>284</v>
      </c>
      <c r="BC271" s="6"/>
      <c r="BD271" s="6" t="s">
        <v>59</v>
      </c>
      <c r="BE271" s="16"/>
      <c r="BF271" s="16">
        <v>0</v>
      </c>
      <c r="BG271" s="16"/>
      <c r="BH271" s="16">
        <v>0</v>
      </c>
      <c r="BI271" s="16"/>
      <c r="BJ271" s="16">
        <f>7686375+2414546+737028+347438+101261+114169</f>
        <v>11400817</v>
      </c>
      <c r="BK271" s="16"/>
      <c r="BL271" s="16">
        <f>779559+158032</f>
        <v>937591</v>
      </c>
      <c r="BM271" s="16"/>
      <c r="BN271" s="16">
        <f t="shared" si="117"/>
        <v>12338408</v>
      </c>
      <c r="BO271" s="17"/>
      <c r="BP271" s="6"/>
      <c r="BQ271" s="6"/>
      <c r="BR271" s="6"/>
    </row>
    <row r="272" spans="1:95" ht="12.75" customHeight="1" x14ac:dyDescent="0.2">
      <c r="A272" s="6" t="s">
        <v>285</v>
      </c>
      <c r="B272" s="6"/>
      <c r="C272" s="6" t="s">
        <v>286</v>
      </c>
      <c r="E272" s="16">
        <v>2219125</v>
      </c>
      <c r="F272" s="16"/>
      <c r="G272" s="16">
        <v>25701916</v>
      </c>
      <c r="H272" s="16"/>
      <c r="I272" s="16">
        <f t="shared" si="96"/>
        <v>27921041</v>
      </c>
      <c r="J272" s="16"/>
      <c r="K272" s="16">
        <v>1244653</v>
      </c>
      <c r="L272" s="16"/>
      <c r="M272" s="16">
        <v>13207611</v>
      </c>
      <c r="N272" s="16"/>
      <c r="O272" s="16">
        <f t="shared" si="97"/>
        <v>14452264</v>
      </c>
      <c r="P272" s="16"/>
      <c r="Q272" s="16">
        <v>12010127</v>
      </c>
      <c r="R272" s="16"/>
      <c r="S272" s="16">
        <v>0</v>
      </c>
      <c r="T272" s="16"/>
      <c r="U272" s="16">
        <v>1458650</v>
      </c>
      <c r="V272" s="16"/>
      <c r="W272" s="16">
        <f t="shared" si="113"/>
        <v>13468777</v>
      </c>
      <c r="Z272" s="6" t="s">
        <v>285</v>
      </c>
      <c r="AA272" s="16"/>
      <c r="AB272" s="6" t="s">
        <v>286</v>
      </c>
      <c r="AC272" s="6"/>
      <c r="AD272" s="16">
        <v>5124558</v>
      </c>
      <c r="AE272" s="16"/>
      <c r="AF272" s="16">
        <f>3992863-219448</f>
        <v>3773415</v>
      </c>
      <c r="AG272" s="16"/>
      <c r="AH272" s="16">
        <v>219448</v>
      </c>
      <c r="AI272" s="16"/>
      <c r="AJ272" s="8">
        <f t="shared" si="114"/>
        <v>1131695</v>
      </c>
      <c r="AK272" s="8"/>
      <c r="AL272" s="16">
        <v>-319380</v>
      </c>
      <c r="AM272" s="8"/>
      <c r="AN272" s="16">
        <v>0</v>
      </c>
      <c r="AO272" s="16"/>
      <c r="AP272" s="16">
        <v>0</v>
      </c>
      <c r="AQ272" s="16"/>
      <c r="AR272" s="16">
        <v>0</v>
      </c>
      <c r="AS272" s="16"/>
      <c r="AT272" s="8">
        <f t="shared" si="115"/>
        <v>812315</v>
      </c>
      <c r="AU272" s="8"/>
      <c r="AV272" s="16">
        <v>0</v>
      </c>
      <c r="AW272" s="16"/>
      <c r="AX272" s="16">
        <v>0</v>
      </c>
      <c r="AY272" s="16"/>
      <c r="AZ272" s="16">
        <f t="shared" si="116"/>
        <v>974472</v>
      </c>
      <c r="BB272" s="6" t="s">
        <v>285</v>
      </c>
      <c r="BC272" s="6"/>
      <c r="BD272" s="6" t="s">
        <v>286</v>
      </c>
      <c r="BE272" s="16"/>
      <c r="BF272" s="16">
        <v>0</v>
      </c>
      <c r="BG272" s="16"/>
      <c r="BH272" s="16">
        <f>37784+12724026+37039+453440</f>
        <v>13252289</v>
      </c>
      <c r="BI272" s="16"/>
      <c r="BJ272" s="16">
        <f>111132+11742577</f>
        <v>11853709</v>
      </c>
      <c r="BK272" s="16"/>
      <c r="BL272" s="16">
        <f>72301+373500+131223</f>
        <v>577024</v>
      </c>
      <c r="BM272" s="16"/>
      <c r="BN272" s="16">
        <f t="shared" si="117"/>
        <v>25683022</v>
      </c>
      <c r="BO272" s="17"/>
      <c r="BP272" s="6"/>
      <c r="BQ272" s="6"/>
      <c r="BR272" s="6"/>
    </row>
    <row r="273" spans="2:70" ht="12.75" customHeight="1" x14ac:dyDescent="0.2"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AA273" s="16"/>
      <c r="AD273" s="16"/>
      <c r="AE273" s="16"/>
      <c r="AF273" s="16"/>
      <c r="AG273" s="16"/>
      <c r="AH273" s="16"/>
      <c r="AI273" s="16"/>
      <c r="AJ273" s="8"/>
      <c r="AK273" s="8"/>
      <c r="AL273" s="16"/>
      <c r="AM273" s="8"/>
      <c r="AN273" s="16"/>
      <c r="AO273" s="16"/>
      <c r="AP273" s="16"/>
      <c r="AQ273" s="16"/>
      <c r="AR273" s="16"/>
      <c r="AS273" s="16"/>
      <c r="AT273" s="8"/>
      <c r="AU273" s="8"/>
      <c r="AV273" s="16"/>
      <c r="AW273" s="16"/>
      <c r="AX273" s="16"/>
      <c r="AY273" s="16"/>
      <c r="AZ273" s="16"/>
      <c r="BB273" s="6"/>
      <c r="BC273" s="6"/>
      <c r="BD273" s="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7"/>
      <c r="BP273" s="6"/>
      <c r="BQ273" s="6"/>
      <c r="BR273" s="6"/>
    </row>
    <row r="274" spans="2:70" ht="12.75" customHeight="1" x14ac:dyDescent="0.2"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AD274" s="16"/>
      <c r="AE274" s="16"/>
      <c r="AF274" s="16"/>
      <c r="AG274" s="16"/>
      <c r="AH274" s="16"/>
      <c r="AI274" s="16"/>
      <c r="AJ274" s="8"/>
      <c r="AK274" s="8"/>
      <c r="AL274" s="8"/>
      <c r="AM274" s="8"/>
      <c r="AN274" s="16"/>
      <c r="AO274" s="16"/>
      <c r="AP274" s="16"/>
      <c r="AQ274" s="16"/>
      <c r="AR274" s="16"/>
      <c r="AS274" s="16"/>
      <c r="AT274" s="8"/>
      <c r="AU274" s="8"/>
      <c r="AV274" s="16"/>
      <c r="AW274" s="16"/>
      <c r="AX274" s="16"/>
      <c r="AY274" s="16"/>
      <c r="AZ274" s="16"/>
      <c r="BF274" s="16"/>
      <c r="BG274" s="16"/>
      <c r="BH274" s="16"/>
      <c r="BI274" s="16"/>
      <c r="BJ274" s="16"/>
      <c r="BK274" s="16"/>
      <c r="BL274" s="16"/>
      <c r="BM274" s="16"/>
      <c r="BN274" s="16"/>
    </row>
    <row r="275" spans="2:70" ht="12.75" customHeight="1" x14ac:dyDescent="0.2"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AD275" s="16"/>
      <c r="AE275" s="16"/>
      <c r="AF275" s="16"/>
      <c r="AG275" s="16"/>
      <c r="AH275" s="16"/>
      <c r="AI275" s="16"/>
      <c r="AJ275" s="8"/>
      <c r="AK275" s="8"/>
      <c r="AL275" s="8"/>
      <c r="AM275" s="8"/>
      <c r="AN275" s="16"/>
      <c r="AO275" s="16"/>
      <c r="AP275" s="16"/>
      <c r="AQ275" s="16"/>
      <c r="AR275" s="16"/>
      <c r="AS275" s="16"/>
      <c r="AT275" s="8"/>
      <c r="AU275" s="8"/>
      <c r="AV275" s="16"/>
      <c r="AW275" s="16"/>
      <c r="AX275" s="16"/>
      <c r="AY275" s="16"/>
      <c r="AZ275" s="16"/>
      <c r="BF275" s="16"/>
      <c r="BG275" s="16"/>
      <c r="BH275" s="16"/>
      <c r="BI275" s="16"/>
      <c r="BJ275" s="16"/>
      <c r="BK275" s="16"/>
      <c r="BL275" s="16"/>
      <c r="BM275" s="16"/>
      <c r="BN275" s="16"/>
    </row>
    <row r="276" spans="2:70" ht="12.75" customHeight="1" x14ac:dyDescent="0.2">
      <c r="B276" s="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6"/>
      <c r="Y276" s="6"/>
      <c r="AA276" s="16"/>
      <c r="AC276" s="6"/>
      <c r="AD276" s="16"/>
      <c r="AE276" s="16"/>
      <c r="AF276" s="16"/>
      <c r="AG276" s="16"/>
      <c r="AH276" s="16"/>
      <c r="AI276" s="16"/>
      <c r="AJ276" s="8"/>
      <c r="AK276" s="8"/>
      <c r="AL276" s="8"/>
      <c r="AM276" s="8"/>
      <c r="AN276" s="16"/>
      <c r="AO276" s="16"/>
      <c r="AP276" s="16"/>
      <c r="AQ276" s="16"/>
      <c r="AR276" s="16"/>
      <c r="AS276" s="16"/>
      <c r="AT276" s="8"/>
      <c r="AU276" s="8"/>
      <c r="AV276" s="16"/>
      <c r="AW276" s="16"/>
      <c r="AX276" s="16"/>
      <c r="AY276" s="16"/>
      <c r="AZ276" s="16"/>
      <c r="BB276" s="6"/>
      <c r="BC276" s="6"/>
      <c r="BD276" s="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7"/>
      <c r="BP276" s="6"/>
      <c r="BQ276" s="6"/>
      <c r="BR276" s="6"/>
    </row>
    <row r="277" spans="2:70" ht="12.75" customHeight="1" x14ac:dyDescent="0.2">
      <c r="B277" s="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6"/>
      <c r="Y277" s="6"/>
      <c r="AA277" s="16"/>
      <c r="AC277" s="6"/>
      <c r="AD277" s="16"/>
      <c r="AE277" s="16"/>
      <c r="AF277" s="16"/>
      <c r="AG277" s="16"/>
      <c r="AH277" s="16"/>
      <c r="AI277" s="16"/>
      <c r="AJ277" s="8"/>
      <c r="AK277" s="8"/>
      <c r="AL277" s="8"/>
      <c r="AM277" s="8"/>
      <c r="AN277" s="16"/>
      <c r="AO277" s="16"/>
      <c r="AP277" s="16"/>
      <c r="AQ277" s="16"/>
      <c r="AR277" s="16"/>
      <c r="AS277" s="16"/>
      <c r="AT277" s="8"/>
      <c r="AU277" s="8"/>
      <c r="AV277" s="16"/>
      <c r="AW277" s="16"/>
      <c r="AX277" s="16"/>
      <c r="AY277" s="16"/>
      <c r="AZ277" s="16"/>
      <c r="BB277" s="6"/>
      <c r="BC277" s="6"/>
      <c r="BD277" s="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7"/>
      <c r="BP277" s="6"/>
      <c r="BQ277" s="6"/>
      <c r="BR277" s="6"/>
    </row>
    <row r="278" spans="2:70" ht="12.75" customHeight="1" x14ac:dyDescent="0.2">
      <c r="AN278" s="6"/>
      <c r="AO278" s="6"/>
      <c r="AP278" s="6"/>
      <c r="AQ278" s="6"/>
      <c r="AR278" s="6"/>
      <c r="AS278" s="6"/>
      <c r="AT278" s="8"/>
      <c r="AU278" s="8"/>
      <c r="AV278" s="6"/>
      <c r="AW278" s="6"/>
      <c r="AX278" s="6"/>
      <c r="AY278" s="6"/>
      <c r="AZ278" s="6"/>
      <c r="BB278" s="6"/>
      <c r="BC278" s="10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17"/>
      <c r="BP278" s="6"/>
      <c r="BQ278" s="6"/>
      <c r="BR278" s="6"/>
    </row>
    <row r="279" spans="2:70" ht="12.75" customHeight="1" x14ac:dyDescent="0.2"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</row>
    <row r="280" spans="2:70" ht="12.75" customHeight="1" x14ac:dyDescent="0.2"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</row>
    <row r="282" spans="2:70" ht="12.75" customHeight="1" x14ac:dyDescent="0.2">
      <c r="M282" s="16"/>
    </row>
  </sheetData>
  <mergeCells count="2">
    <mergeCell ref="Q7:U7"/>
    <mergeCell ref="Q122:U122"/>
  </mergeCells>
  <phoneticPr fontId="4" type="noConversion"/>
  <pageMargins left="0.75" right="0.75" top="0.5" bottom="0.5" header="0" footer="0.25"/>
  <pageSetup scale="74" firstPageNumber="76" pageOrder="overThenDown" orientation="portrait" useFirstPageNumber="1" r:id="rId1"/>
  <headerFooter alignWithMargins="0">
    <oddFooter>&amp;C&amp;"Times New Roman,Regular"&amp;11&amp;P</oddFooter>
  </headerFooter>
  <colBreaks count="2" manualBreakCount="2">
    <brk id="13" max="272" man="1"/>
    <brk id="39" max="272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315"/>
  <sheetViews>
    <sheetView view="pageBreakPreview" zoomScale="80" zoomScaleNormal="100" zoomScaleSheetLayoutView="80" workbookViewId="0">
      <pane xSplit="4" ySplit="8" topLeftCell="AN23" activePane="bottomRight" state="frozen"/>
      <selection activeCell="A49" sqref="A49:IV50"/>
      <selection pane="topRight" activeCell="A49" sqref="A49:IV50"/>
      <selection pane="bottomLeft" activeCell="A49" sqref="A49:IV50"/>
      <selection pane="bottomRight" activeCell="BF53" sqref="BF53"/>
    </sheetView>
  </sheetViews>
  <sheetFormatPr defaultColWidth="8.42578125" defaultRowHeight="12.75" customHeight="1" x14ac:dyDescent="0.2"/>
  <cols>
    <col min="1" max="1" width="18.28515625" style="18" customWidth="1"/>
    <col min="2" max="2" width="2.140625" style="14" customWidth="1"/>
    <col min="3" max="3" width="11.28515625" style="18" customWidth="1"/>
    <col min="4" max="4" width="2.140625" style="7" customWidth="1"/>
    <col min="5" max="5" width="12.42578125" style="18" bestFit="1" customWidth="1"/>
    <col min="6" max="6" width="2" style="18" customWidth="1"/>
    <col min="7" max="7" width="13.7109375" style="18" bestFit="1" customWidth="1"/>
    <col min="8" max="8" width="2" style="18" customWidth="1"/>
    <col min="9" max="9" width="14.28515625" style="18" bestFit="1" customWidth="1"/>
    <col min="10" max="10" width="2" style="18" customWidth="1"/>
    <col min="11" max="11" width="11.7109375" style="18" customWidth="1"/>
    <col min="12" max="12" width="2" style="18" customWidth="1"/>
    <col min="13" max="13" width="13.7109375" style="18" bestFit="1" customWidth="1"/>
    <col min="14" max="14" width="1.7109375" style="18" customWidth="1"/>
    <col min="15" max="15" width="13.42578125" style="18" bestFit="1" customWidth="1"/>
    <col min="16" max="16" width="1.7109375" style="18" customWidth="1"/>
    <col min="17" max="17" width="13.140625" style="18" bestFit="1" customWidth="1"/>
    <col min="18" max="18" width="1.7109375" style="18" customWidth="1"/>
    <col min="19" max="19" width="11.7109375" style="18" customWidth="1"/>
    <col min="20" max="20" width="1.7109375" style="18" customWidth="1"/>
    <col min="21" max="21" width="12.42578125" style="18" bestFit="1" customWidth="1"/>
    <col min="22" max="22" width="1.7109375" style="18" customWidth="1"/>
    <col min="23" max="23" width="13.5703125" style="18" bestFit="1" customWidth="1"/>
    <col min="24" max="24" width="11.7109375" style="18" customWidth="1"/>
    <col min="25" max="25" width="18" style="18" customWidth="1"/>
    <col min="26" max="26" width="1.7109375" style="18" customWidth="1"/>
    <col min="27" max="27" width="11.5703125" style="18" customWidth="1"/>
    <col min="28" max="28" width="1.7109375" style="18" customWidth="1"/>
    <col min="29" max="29" width="12.42578125" style="18" bestFit="1" customWidth="1"/>
    <col min="30" max="30" width="1.7109375" style="18" customWidth="1"/>
    <col min="31" max="31" width="13.5703125" style="18" bestFit="1" customWidth="1"/>
    <col min="32" max="32" width="1.7109375" style="18" customWidth="1"/>
    <col min="33" max="33" width="11.7109375" style="18" customWidth="1"/>
    <col min="34" max="34" width="1.7109375" style="18" customWidth="1"/>
    <col min="35" max="35" width="11.7109375" style="18" customWidth="1"/>
    <col min="36" max="36" width="1.7109375" style="18" customWidth="1"/>
    <col min="37" max="37" width="11.7109375" style="18" customWidth="1"/>
    <col min="38" max="38" width="1.7109375" style="18" customWidth="1"/>
    <col min="39" max="39" width="11.7109375" style="18" customWidth="1"/>
    <col min="40" max="40" width="1.7109375" style="18" customWidth="1"/>
    <col min="41" max="41" width="11.7109375" style="18" customWidth="1"/>
    <col min="42" max="42" width="1.7109375" style="18" customWidth="1"/>
    <col min="43" max="43" width="11.7109375" style="18" customWidth="1"/>
    <col min="44" max="44" width="1.7109375" style="18" customWidth="1"/>
    <col min="45" max="45" width="11.7109375" style="18" customWidth="1"/>
    <col min="46" max="46" width="1.7109375" style="18" customWidth="1"/>
    <col min="47" max="47" width="10.85546875" style="18" hidden="1" customWidth="1"/>
    <col min="48" max="48" width="1.7109375" style="18" hidden="1" customWidth="1"/>
    <col min="49" max="49" width="10.85546875" style="18" hidden="1" customWidth="1"/>
    <col min="50" max="50" width="1.7109375" style="18" hidden="1" customWidth="1"/>
    <col min="51" max="51" width="11.7109375" style="18" customWidth="1"/>
    <col min="52" max="52" width="11.85546875" style="18" customWidth="1"/>
    <col min="53" max="53" width="21.7109375" style="18" customWidth="1"/>
    <col min="54" max="54" width="1.7109375" style="18" customWidth="1"/>
    <col min="55" max="55" width="11.5703125" style="18" customWidth="1"/>
    <col min="56" max="56" width="1.7109375" style="18" customWidth="1"/>
    <col min="57" max="57" width="13.42578125" style="10" bestFit="1" customWidth="1"/>
    <col min="58" max="58" width="1.7109375" style="18" customWidth="1"/>
    <col min="59" max="59" width="11.7109375" style="18" customWidth="1"/>
    <col min="60" max="60" width="1.7109375" style="18" customWidth="1"/>
    <col min="61" max="61" width="11.7109375" style="18" customWidth="1"/>
    <col min="62" max="62" width="1.7109375" style="18" customWidth="1"/>
    <col min="63" max="63" width="11.7109375" style="18" customWidth="1"/>
    <col min="64" max="64" width="1.7109375" style="18" customWidth="1"/>
    <col min="65" max="65" width="13.42578125" style="18" bestFit="1" customWidth="1"/>
    <col min="66" max="66" width="1.7109375" style="18" hidden="1" customWidth="1"/>
    <col min="67" max="67" width="10.7109375" style="18" hidden="1" customWidth="1"/>
    <col min="68" max="68" width="11.7109375" style="8" hidden="1" customWidth="1"/>
    <col min="69" max="69" width="10.7109375" style="8" hidden="1" customWidth="1"/>
    <col min="70" max="70" width="1.7109375" style="8" customWidth="1"/>
    <col min="71" max="71" width="10.7109375" style="8" customWidth="1"/>
    <col min="72" max="72" width="11.7109375" style="8" customWidth="1"/>
    <col min="73" max="73" width="1.7109375" style="8" customWidth="1"/>
    <col min="74" max="74" width="11.7109375" style="8" customWidth="1"/>
    <col min="75" max="75" width="1.7109375" style="8" customWidth="1"/>
    <col min="76" max="76" width="11.7109375" style="18" customWidth="1"/>
    <col min="77" max="77" width="1.7109375" style="18" customWidth="1"/>
    <col min="78" max="78" width="11.7109375" style="18" customWidth="1"/>
    <col min="79" max="79" width="1.7109375" style="18" customWidth="1"/>
    <col min="80" max="80" width="11.7109375" style="18" customWidth="1"/>
    <col min="81" max="81" width="1.7109375" style="18" customWidth="1"/>
    <col min="82" max="82" width="11.7109375" style="18" customWidth="1"/>
    <col min="83" max="83" width="1.7109375" style="18" customWidth="1"/>
    <col min="84" max="84" width="15.42578125" style="18" customWidth="1"/>
    <col min="85" max="85" width="1.7109375" style="10" customWidth="1"/>
    <col min="86" max="86" width="10.140625" style="18" customWidth="1"/>
    <col min="87" max="87" width="1.7109375" style="18" customWidth="1"/>
    <col min="88" max="88" width="11.7109375" style="18" customWidth="1"/>
    <col min="89" max="89" width="1.7109375" style="18" customWidth="1"/>
    <col min="90" max="90" width="11.7109375" style="18" customWidth="1"/>
    <col min="91" max="91" width="1.7109375" style="18" customWidth="1"/>
    <col min="92" max="92" width="11.7109375" style="18" customWidth="1"/>
    <col min="93" max="93" width="1.7109375" style="18" customWidth="1"/>
    <col min="94" max="94" width="11.7109375" style="18" customWidth="1"/>
    <col min="95" max="95" width="2.7109375" style="18" customWidth="1"/>
    <col min="96" max="96" width="11.7109375" style="18" customWidth="1"/>
    <col min="97" max="97" width="1.7109375" style="18" customWidth="1"/>
    <col min="98" max="16384" width="8.42578125" style="18"/>
  </cols>
  <sheetData>
    <row r="1" spans="1:97" s="31" customFormat="1" ht="12.75" customHeight="1" x14ac:dyDescent="0.2">
      <c r="A1" s="23" t="s">
        <v>390</v>
      </c>
      <c r="C1" s="32"/>
      <c r="D1" s="7"/>
      <c r="E1" s="24"/>
      <c r="F1" s="24"/>
      <c r="G1" s="24"/>
      <c r="H1" s="24"/>
      <c r="I1" s="24"/>
      <c r="J1" s="24"/>
      <c r="K1" s="24"/>
      <c r="L1" s="24"/>
      <c r="N1" s="24"/>
      <c r="O1" s="23"/>
      <c r="P1" s="24"/>
      <c r="Q1" s="24"/>
      <c r="R1" s="24"/>
      <c r="S1" s="24"/>
      <c r="T1" s="24"/>
      <c r="U1" s="24"/>
      <c r="V1" s="24"/>
      <c r="W1" s="24"/>
      <c r="X1" s="24"/>
      <c r="Y1" s="23" t="s">
        <v>390</v>
      </c>
      <c r="AA1" s="32"/>
      <c r="AB1" s="32"/>
      <c r="AD1" s="6"/>
      <c r="AE1" s="23"/>
      <c r="AF1" s="6"/>
      <c r="AG1" s="6"/>
      <c r="AH1" s="6"/>
      <c r="AI1" s="6"/>
      <c r="AJ1" s="6"/>
      <c r="AK1" s="6"/>
      <c r="AL1" s="6"/>
      <c r="AM1" s="6"/>
      <c r="AN1" s="6"/>
      <c r="AP1" s="6"/>
      <c r="AQ1" s="6"/>
      <c r="AR1" s="6"/>
      <c r="AS1" s="23"/>
      <c r="AT1" s="6"/>
      <c r="AU1" s="6"/>
      <c r="AV1" s="6"/>
      <c r="AW1" s="6"/>
      <c r="AX1" s="6"/>
      <c r="AY1" s="6"/>
      <c r="AZ1" s="6"/>
      <c r="BA1" s="23" t="s">
        <v>390</v>
      </c>
      <c r="BC1" s="32"/>
      <c r="BD1" s="6"/>
      <c r="BF1" s="6"/>
      <c r="BG1" s="6"/>
      <c r="BH1" s="6"/>
      <c r="BI1" s="6"/>
      <c r="BJ1" s="6"/>
      <c r="BK1" s="23"/>
      <c r="BL1" s="6"/>
      <c r="BM1" s="24"/>
      <c r="BN1" s="24"/>
      <c r="BR1" s="14"/>
      <c r="BS1" s="6"/>
      <c r="BU1" s="6"/>
      <c r="BV1" s="6"/>
      <c r="BW1" s="6"/>
      <c r="BX1" s="23"/>
      <c r="BY1" s="6"/>
      <c r="BZ1" s="6"/>
      <c r="CA1" s="6"/>
      <c r="CB1" s="6"/>
      <c r="CC1" s="6"/>
      <c r="CD1" s="6"/>
      <c r="CE1" s="6"/>
      <c r="CF1" s="23"/>
      <c r="CH1" s="32"/>
      <c r="CI1" s="6"/>
      <c r="CK1" s="6"/>
      <c r="CL1" s="6"/>
      <c r="CM1" s="6"/>
      <c r="CN1" s="6"/>
      <c r="CO1" s="6"/>
      <c r="CP1" s="23"/>
      <c r="CQ1" s="6"/>
      <c r="CR1" s="24"/>
      <c r="CS1" s="24"/>
    </row>
    <row r="2" spans="1:97" s="31" customFormat="1" ht="12.75" customHeight="1" x14ac:dyDescent="0.2">
      <c r="A2" s="38" t="s">
        <v>515</v>
      </c>
      <c r="C2" s="32"/>
      <c r="D2" s="7"/>
      <c r="E2" s="24"/>
      <c r="F2" s="24"/>
      <c r="G2" s="24"/>
      <c r="H2" s="24"/>
      <c r="I2" s="24"/>
      <c r="J2" s="24"/>
      <c r="K2" s="24"/>
      <c r="L2" s="24"/>
      <c r="N2" s="24"/>
      <c r="O2" s="23"/>
      <c r="P2" s="24"/>
      <c r="Q2" s="24"/>
      <c r="R2" s="24"/>
      <c r="S2" s="24"/>
      <c r="T2" s="24"/>
      <c r="U2" s="24"/>
      <c r="V2" s="24"/>
      <c r="W2" s="24"/>
      <c r="X2" s="24"/>
      <c r="Y2" s="38" t="s">
        <v>518</v>
      </c>
      <c r="AA2" s="32"/>
      <c r="AB2" s="32"/>
      <c r="AD2" s="6"/>
      <c r="AE2" s="23"/>
      <c r="AF2" s="6"/>
      <c r="AG2" s="6"/>
      <c r="AH2" s="6"/>
      <c r="AI2" s="6"/>
      <c r="AJ2" s="6"/>
      <c r="AK2" s="6"/>
      <c r="AL2" s="6"/>
      <c r="AM2" s="6"/>
      <c r="AN2" s="6"/>
      <c r="AP2" s="6"/>
      <c r="AQ2" s="6"/>
      <c r="AR2" s="6"/>
      <c r="AS2" s="23"/>
      <c r="AT2" s="6"/>
      <c r="AU2" s="6"/>
      <c r="AV2" s="6"/>
      <c r="AW2" s="6"/>
      <c r="AX2" s="6"/>
      <c r="AY2" s="6"/>
      <c r="AZ2" s="6"/>
      <c r="BA2" s="25" t="s">
        <v>346</v>
      </c>
      <c r="BC2" s="32"/>
      <c r="BD2" s="6"/>
      <c r="BF2" s="6"/>
      <c r="BG2" s="6"/>
      <c r="BH2" s="6"/>
      <c r="BI2" s="6"/>
      <c r="BJ2" s="6"/>
      <c r="BK2" s="23"/>
      <c r="BL2" s="6"/>
      <c r="BM2" s="24"/>
      <c r="BN2" s="24"/>
      <c r="BR2" s="14"/>
      <c r="BS2" s="6"/>
      <c r="BU2" s="6"/>
      <c r="BV2" s="6"/>
      <c r="BW2" s="6"/>
      <c r="BX2" s="23"/>
      <c r="BY2" s="6"/>
      <c r="BZ2" s="6"/>
      <c r="CA2" s="6"/>
      <c r="CB2" s="6"/>
      <c r="CC2" s="6"/>
      <c r="CD2" s="6"/>
      <c r="CE2" s="6"/>
      <c r="CF2" s="25"/>
      <c r="CH2" s="32"/>
      <c r="CI2" s="6"/>
      <c r="CK2" s="6"/>
      <c r="CL2" s="6"/>
      <c r="CM2" s="6"/>
      <c r="CN2" s="6"/>
      <c r="CO2" s="6"/>
      <c r="CP2" s="23"/>
      <c r="CQ2" s="6"/>
      <c r="CR2" s="24"/>
      <c r="CS2" s="24"/>
    </row>
    <row r="3" spans="1:97" s="31" customFormat="1" ht="12.75" customHeight="1" x14ac:dyDescent="0.2">
      <c r="A3" s="23" t="s">
        <v>504</v>
      </c>
      <c r="C3" s="32"/>
      <c r="D3" s="7"/>
      <c r="E3" s="24"/>
      <c r="F3" s="24"/>
      <c r="G3" s="24"/>
      <c r="H3" s="24"/>
      <c r="I3" s="24"/>
      <c r="J3" s="24"/>
      <c r="K3" s="24"/>
      <c r="L3" s="24"/>
      <c r="N3" s="24"/>
      <c r="O3" s="23"/>
      <c r="P3" s="24"/>
      <c r="Q3" s="24"/>
      <c r="R3" s="24"/>
      <c r="S3" s="24"/>
      <c r="T3" s="24"/>
      <c r="U3" s="24"/>
      <c r="V3" s="24"/>
      <c r="W3" s="24"/>
      <c r="X3" s="24"/>
      <c r="Y3" s="23" t="s">
        <v>504</v>
      </c>
      <c r="AA3" s="32"/>
      <c r="AB3" s="32"/>
      <c r="AD3" s="6"/>
      <c r="AE3" s="23"/>
      <c r="AF3" s="6"/>
      <c r="AG3" s="6"/>
      <c r="AH3" s="6"/>
      <c r="AI3" s="6"/>
      <c r="AJ3" s="6"/>
      <c r="AK3" s="6"/>
      <c r="AL3" s="6"/>
      <c r="AM3" s="6"/>
      <c r="AN3" s="6"/>
      <c r="AP3" s="6"/>
      <c r="AQ3" s="6"/>
      <c r="AR3" s="6"/>
      <c r="AS3" s="23"/>
      <c r="AT3" s="6"/>
      <c r="AU3" s="6"/>
      <c r="AV3" s="6"/>
      <c r="AW3" s="6"/>
      <c r="AX3" s="6"/>
      <c r="AY3" s="6"/>
      <c r="AZ3" s="6"/>
      <c r="BA3" s="23" t="s">
        <v>504</v>
      </c>
      <c r="BC3" s="32"/>
      <c r="BD3" s="6"/>
      <c r="BF3" s="6"/>
      <c r="BG3" s="6"/>
      <c r="BH3" s="6"/>
      <c r="BI3" s="6"/>
      <c r="BJ3" s="6"/>
      <c r="BK3" s="23"/>
      <c r="BL3" s="6"/>
      <c r="BM3" s="24"/>
      <c r="BN3" s="24"/>
      <c r="BR3" s="14"/>
      <c r="BS3" s="6"/>
      <c r="BU3" s="6"/>
      <c r="BV3" s="6"/>
      <c r="BW3" s="6"/>
      <c r="BX3" s="23"/>
      <c r="BY3" s="6"/>
      <c r="BZ3" s="6"/>
      <c r="CA3" s="6"/>
      <c r="CB3" s="6"/>
      <c r="CC3" s="6"/>
      <c r="CD3" s="6"/>
      <c r="CE3" s="6"/>
      <c r="CF3" s="23"/>
      <c r="CH3" s="32"/>
      <c r="CI3" s="6"/>
      <c r="CK3" s="6"/>
      <c r="CL3" s="6"/>
      <c r="CM3" s="6"/>
      <c r="CN3" s="6"/>
      <c r="CO3" s="6"/>
      <c r="CP3" s="23"/>
      <c r="CQ3" s="6"/>
      <c r="CR3" s="24"/>
      <c r="CS3" s="24"/>
    </row>
    <row r="4" spans="1:97" ht="12.75" customHeight="1" x14ac:dyDescent="0.2">
      <c r="A4" s="34" t="s">
        <v>287</v>
      </c>
      <c r="C4" s="33"/>
      <c r="E4" s="6"/>
      <c r="F4" s="6"/>
      <c r="G4" s="6"/>
      <c r="H4" s="6"/>
      <c r="I4" s="6"/>
      <c r="J4" s="6"/>
      <c r="K4" s="6"/>
      <c r="L4" s="6"/>
      <c r="N4" s="6"/>
      <c r="O4" s="34"/>
      <c r="P4" s="6"/>
      <c r="Q4" s="6"/>
      <c r="R4" s="6"/>
      <c r="S4" s="6"/>
      <c r="T4" s="6"/>
      <c r="U4" s="6"/>
      <c r="V4" s="6"/>
      <c r="W4" s="6"/>
      <c r="X4" s="6"/>
      <c r="Y4" s="34" t="s">
        <v>287</v>
      </c>
      <c r="Z4" s="10"/>
      <c r="AA4" s="33"/>
      <c r="AB4" s="33"/>
      <c r="AD4" s="6"/>
      <c r="AE4" s="34"/>
      <c r="AF4" s="6"/>
      <c r="AG4" s="6"/>
      <c r="AH4" s="6"/>
      <c r="AI4" s="6"/>
      <c r="AJ4" s="6"/>
      <c r="AK4" s="6"/>
      <c r="AL4" s="6"/>
      <c r="AM4" s="6"/>
      <c r="AN4" s="6"/>
      <c r="AP4" s="6"/>
      <c r="AQ4" s="6"/>
      <c r="AR4" s="6"/>
      <c r="AS4" s="34"/>
      <c r="AT4" s="6"/>
      <c r="AU4" s="6"/>
      <c r="AV4" s="6"/>
      <c r="AW4" s="6"/>
      <c r="AX4" s="6"/>
      <c r="AY4" s="6"/>
      <c r="AZ4" s="6"/>
      <c r="BA4" s="34" t="s">
        <v>287</v>
      </c>
      <c r="BB4" s="10"/>
      <c r="BC4" s="33"/>
      <c r="BD4" s="6"/>
      <c r="BE4" s="18"/>
      <c r="BF4" s="6"/>
      <c r="BG4" s="6"/>
      <c r="BH4" s="6"/>
      <c r="BI4" s="6"/>
      <c r="BJ4" s="6"/>
      <c r="BK4" s="34"/>
      <c r="BL4" s="6"/>
      <c r="BM4" s="6"/>
      <c r="BN4" s="6"/>
      <c r="BP4" s="18"/>
      <c r="BQ4" s="18"/>
      <c r="BR4" s="14"/>
      <c r="BS4" s="6"/>
      <c r="BT4" s="18"/>
      <c r="BU4" s="6"/>
      <c r="BV4" s="6"/>
      <c r="BW4" s="6"/>
      <c r="BX4" s="34"/>
      <c r="BY4" s="6"/>
      <c r="BZ4" s="6"/>
      <c r="CA4" s="6"/>
      <c r="CB4" s="6"/>
      <c r="CC4" s="6"/>
      <c r="CD4" s="6"/>
      <c r="CE4" s="6"/>
      <c r="CF4" s="34"/>
      <c r="CH4" s="33"/>
      <c r="CI4" s="6"/>
      <c r="CK4" s="6"/>
      <c r="CL4" s="6"/>
      <c r="CM4" s="6"/>
      <c r="CN4" s="6"/>
      <c r="CO4" s="6"/>
      <c r="CP4" s="34"/>
      <c r="CQ4" s="6"/>
      <c r="CR4" s="6"/>
      <c r="CS4" s="6"/>
    </row>
    <row r="5" spans="1:97" ht="12.75" customHeight="1" x14ac:dyDescent="0.2">
      <c r="A5" s="23"/>
      <c r="Q5" s="93" t="s">
        <v>512</v>
      </c>
      <c r="R5" s="93"/>
      <c r="S5" s="93"/>
      <c r="T5" s="93"/>
      <c r="U5" s="93"/>
      <c r="Y5" s="23"/>
      <c r="AU5" s="35" t="s">
        <v>409</v>
      </c>
      <c r="AW5" s="35" t="s">
        <v>410</v>
      </c>
      <c r="BA5" s="23"/>
      <c r="BE5" s="5" t="s">
        <v>346</v>
      </c>
      <c r="BF5" s="5"/>
      <c r="BG5" s="5"/>
      <c r="BH5" s="5"/>
      <c r="BI5" s="5"/>
      <c r="BJ5" s="5"/>
      <c r="BK5" s="5"/>
      <c r="CG5" s="4"/>
    </row>
    <row r="6" spans="1:97" s="35" customFormat="1" ht="12.75" customHeight="1" x14ac:dyDescent="0.2">
      <c r="D6" s="63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 t="s">
        <v>516</v>
      </c>
      <c r="W6" s="68"/>
      <c r="X6" s="68"/>
      <c r="Z6" s="43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 t="s">
        <v>347</v>
      </c>
      <c r="AV6" s="68"/>
      <c r="AW6" s="68" t="s">
        <v>347</v>
      </c>
      <c r="AX6" s="68"/>
      <c r="AY6" s="68"/>
      <c r="AZ6" s="68"/>
      <c r="BB6" s="43"/>
      <c r="BD6" s="68"/>
      <c r="BE6" s="68" t="s">
        <v>294</v>
      </c>
      <c r="BF6" s="68"/>
      <c r="BG6" s="68" t="s">
        <v>348</v>
      </c>
      <c r="BH6" s="68"/>
      <c r="BI6" s="68"/>
      <c r="BJ6" s="68"/>
      <c r="BK6" s="68" t="s">
        <v>292</v>
      </c>
      <c r="BL6" s="68"/>
      <c r="BM6" s="68" t="s">
        <v>5</v>
      </c>
      <c r="BN6" s="17"/>
      <c r="BR6" s="14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G6" s="2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17"/>
    </row>
    <row r="7" spans="1:97" s="35" customFormat="1" ht="12.75" customHeight="1" x14ac:dyDescent="0.2">
      <c r="D7" s="68"/>
      <c r="E7" s="68" t="s">
        <v>2</v>
      </c>
      <c r="F7" s="68"/>
      <c r="G7" s="68" t="s">
        <v>349</v>
      </c>
      <c r="H7" s="68"/>
      <c r="I7" s="68" t="s">
        <v>5</v>
      </c>
      <c r="J7" s="68"/>
      <c r="K7" s="68" t="s">
        <v>2</v>
      </c>
      <c r="L7" s="68"/>
      <c r="M7" s="68" t="s">
        <v>349</v>
      </c>
      <c r="N7" s="68"/>
      <c r="O7" s="68" t="s">
        <v>5</v>
      </c>
      <c r="P7" s="68"/>
      <c r="Q7" s="35" t="s">
        <v>519</v>
      </c>
      <c r="R7" s="68"/>
      <c r="S7" s="68"/>
      <c r="T7" s="68"/>
      <c r="U7" s="68"/>
      <c r="V7" s="68"/>
      <c r="W7" s="68" t="s">
        <v>5</v>
      </c>
      <c r="X7" s="68"/>
      <c r="AC7" s="68" t="s">
        <v>343</v>
      </c>
      <c r="AD7" s="68"/>
      <c r="AE7" s="68" t="s">
        <v>351</v>
      </c>
      <c r="AF7" s="68"/>
      <c r="AG7" s="68"/>
      <c r="AH7" s="68"/>
      <c r="AI7" s="68" t="s">
        <v>343</v>
      </c>
      <c r="AJ7" s="68"/>
      <c r="AK7" s="68" t="s">
        <v>352</v>
      </c>
      <c r="AL7" s="68"/>
      <c r="AM7" s="68"/>
      <c r="AN7" s="68"/>
      <c r="AO7" s="68"/>
      <c r="AP7" s="68"/>
      <c r="AQ7" s="68" t="s">
        <v>3</v>
      </c>
      <c r="AR7" s="68"/>
      <c r="AS7" s="68" t="s">
        <v>366</v>
      </c>
      <c r="AT7" s="68"/>
      <c r="AU7" s="68" t="s">
        <v>411</v>
      </c>
      <c r="AV7" s="68"/>
      <c r="AW7" s="68" t="s">
        <v>411</v>
      </c>
      <c r="AX7" s="68"/>
      <c r="AY7" s="68" t="s">
        <v>353</v>
      </c>
      <c r="AZ7" s="68"/>
      <c r="BD7" s="68"/>
      <c r="BE7" s="68" t="s">
        <v>354</v>
      </c>
      <c r="BF7" s="68"/>
      <c r="BG7" s="68" t="s">
        <v>300</v>
      </c>
      <c r="BH7" s="68"/>
      <c r="BI7" s="68"/>
      <c r="BJ7" s="68"/>
      <c r="BK7" s="68" t="s">
        <v>350</v>
      </c>
      <c r="BL7" s="68"/>
      <c r="BM7" s="68" t="s">
        <v>350</v>
      </c>
      <c r="BN7" s="17"/>
      <c r="BR7" s="14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17"/>
    </row>
    <row r="8" spans="1:97" s="35" customFormat="1" ht="12.75" customHeight="1" x14ac:dyDescent="0.2">
      <c r="A8" s="67" t="s">
        <v>6</v>
      </c>
      <c r="C8" s="67" t="s">
        <v>7</v>
      </c>
      <c r="D8" s="68"/>
      <c r="E8" s="67" t="s">
        <v>0</v>
      </c>
      <c r="F8" s="68"/>
      <c r="G8" s="67" t="s">
        <v>0</v>
      </c>
      <c r="H8" s="68"/>
      <c r="I8" s="67" t="s">
        <v>0</v>
      </c>
      <c r="J8" s="68"/>
      <c r="K8" s="67" t="s">
        <v>1</v>
      </c>
      <c r="L8" s="68"/>
      <c r="M8" s="67" t="s">
        <v>1</v>
      </c>
      <c r="N8" s="68"/>
      <c r="O8" s="67" t="s">
        <v>1</v>
      </c>
      <c r="P8" s="68"/>
      <c r="Q8" s="67" t="s">
        <v>0</v>
      </c>
      <c r="R8" s="68"/>
      <c r="S8" s="67" t="s">
        <v>8</v>
      </c>
      <c r="T8" s="68"/>
      <c r="U8" s="67" t="s">
        <v>9</v>
      </c>
      <c r="V8" s="68"/>
      <c r="W8" s="51" t="s">
        <v>512</v>
      </c>
      <c r="Y8" s="67" t="s">
        <v>6</v>
      </c>
      <c r="AA8" s="67" t="s">
        <v>7</v>
      </c>
      <c r="AB8" s="68"/>
      <c r="AC8" s="27" t="s">
        <v>300</v>
      </c>
      <c r="AD8" s="68"/>
      <c r="AE8" s="27" t="s">
        <v>355</v>
      </c>
      <c r="AF8" s="68"/>
      <c r="AG8" s="27" t="s">
        <v>355</v>
      </c>
      <c r="AH8" s="68"/>
      <c r="AI8" s="27" t="s">
        <v>356</v>
      </c>
      <c r="AJ8" s="68"/>
      <c r="AK8" s="27" t="s">
        <v>412</v>
      </c>
      <c r="AL8" s="68"/>
      <c r="AM8" s="27" t="s">
        <v>357</v>
      </c>
      <c r="AN8" s="68"/>
      <c r="AO8" s="27" t="s">
        <v>358</v>
      </c>
      <c r="AP8" s="68"/>
      <c r="AQ8" s="27" t="s">
        <v>359</v>
      </c>
      <c r="AR8" s="68"/>
      <c r="AS8" s="27" t="s">
        <v>512</v>
      </c>
      <c r="AT8" s="68"/>
      <c r="AU8" s="67" t="s">
        <v>413</v>
      </c>
      <c r="AV8" s="68"/>
      <c r="AW8" s="67" t="s">
        <v>413</v>
      </c>
      <c r="AX8" s="68"/>
      <c r="AY8" s="27" t="s">
        <v>3</v>
      </c>
      <c r="AZ8" s="68"/>
      <c r="BA8" s="67" t="s">
        <v>6</v>
      </c>
      <c r="BC8" s="67" t="s">
        <v>7</v>
      </c>
      <c r="BD8" s="68"/>
      <c r="BE8" s="27" t="s">
        <v>360</v>
      </c>
      <c r="BF8" s="68"/>
      <c r="BG8" s="27" t="s">
        <v>360</v>
      </c>
      <c r="BH8" s="68"/>
      <c r="BI8" s="27" t="s">
        <v>361</v>
      </c>
      <c r="BJ8" s="68"/>
      <c r="BK8" s="27" t="s">
        <v>362</v>
      </c>
      <c r="BL8" s="68"/>
      <c r="BM8" s="67" t="s">
        <v>362</v>
      </c>
      <c r="BN8" s="17"/>
      <c r="BR8" s="14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17"/>
    </row>
    <row r="9" spans="1:97" s="35" customFormat="1" ht="12.75" customHeight="1" x14ac:dyDescent="0.2">
      <c r="A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Y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17"/>
      <c r="BR9" s="14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17"/>
    </row>
    <row r="10" spans="1:97" s="36" customFormat="1" ht="12.75" hidden="1" customHeight="1" x14ac:dyDescent="0.2">
      <c r="A10" s="6" t="s">
        <v>10</v>
      </c>
      <c r="B10" s="14"/>
      <c r="C10" s="6" t="s">
        <v>11</v>
      </c>
      <c r="D10" s="7"/>
      <c r="E10" s="28">
        <v>22643413</v>
      </c>
      <c r="F10" s="28"/>
      <c r="G10" s="28">
        <v>255457564</v>
      </c>
      <c r="H10" s="28"/>
      <c r="I10" s="28">
        <f t="shared" ref="I10:I20" si="0">+E10+G10</f>
        <v>278100977</v>
      </c>
      <c r="J10" s="28"/>
      <c r="K10" s="28">
        <v>15711419</v>
      </c>
      <c r="L10" s="28"/>
      <c r="M10" s="28">
        <v>55661283</v>
      </c>
      <c r="N10" s="28"/>
      <c r="O10" s="28">
        <f>+K10+M10</f>
        <v>71372702</v>
      </c>
      <c r="P10" s="28"/>
      <c r="Q10" s="28">
        <v>192220884</v>
      </c>
      <c r="R10" s="28"/>
      <c r="S10" s="28">
        <v>6662636</v>
      </c>
      <c r="T10" s="28"/>
      <c r="U10" s="28">
        <v>7720298</v>
      </c>
      <c r="V10" s="28"/>
      <c r="W10" s="28">
        <f t="shared" ref="W10:W22" si="1">SUM(Q10:U10)</f>
        <v>206603818</v>
      </c>
      <c r="X10" s="16"/>
      <c r="Y10" s="6" t="s">
        <v>10</v>
      </c>
      <c r="Z10" s="18"/>
      <c r="AA10" s="6" t="s">
        <v>11</v>
      </c>
      <c r="AB10" s="6"/>
      <c r="AC10" s="28">
        <v>57228743</v>
      </c>
      <c r="AD10" s="28"/>
      <c r="AE10" s="28">
        <f>56038979-8468433</f>
        <v>47570546</v>
      </c>
      <c r="AF10" s="28"/>
      <c r="AG10" s="28">
        <v>8468433</v>
      </c>
      <c r="AH10" s="28"/>
      <c r="AI10" s="40">
        <f t="shared" ref="AI10:AI11" si="2">+AC10-AE10-AG10</f>
        <v>1189764</v>
      </c>
      <c r="AJ10" s="40"/>
      <c r="AK10" s="40">
        <v>-2430855</v>
      </c>
      <c r="AL10" s="40"/>
      <c r="AM10" s="28">
        <v>0</v>
      </c>
      <c r="AN10" s="28"/>
      <c r="AO10" s="28">
        <v>0</v>
      </c>
      <c r="AP10" s="28"/>
      <c r="AQ10" s="28">
        <v>6896987</v>
      </c>
      <c r="AR10" s="28"/>
      <c r="AS10" s="40">
        <f t="shared" ref="AS10:AS74" si="3">+AI10+AK10+AM10-AO10+AQ10</f>
        <v>5655896</v>
      </c>
      <c r="AT10" s="40"/>
      <c r="AU10" s="28">
        <v>0</v>
      </c>
      <c r="AV10" s="28"/>
      <c r="AW10" s="28">
        <v>0</v>
      </c>
      <c r="AX10" s="28"/>
      <c r="AY10" s="28">
        <f t="shared" ref="AY10:AY72" si="4">+E10-K10</f>
        <v>6931994</v>
      </c>
      <c r="AZ10" s="16"/>
      <c r="BA10" s="6" t="s">
        <v>10</v>
      </c>
      <c r="BB10" s="18"/>
      <c r="BC10" s="6" t="s">
        <v>11</v>
      </c>
      <c r="BD10" s="16"/>
      <c r="BE10" s="28">
        <v>0</v>
      </c>
      <c r="BF10" s="28"/>
      <c r="BG10" s="28">
        <v>4130000</v>
      </c>
      <c r="BH10" s="28"/>
      <c r="BI10" s="28">
        <f>6625852+105556</f>
        <v>6731408</v>
      </c>
      <c r="BJ10" s="28"/>
      <c r="BK10" s="28">
        <v>55661283</v>
      </c>
      <c r="BL10" s="28"/>
      <c r="BM10" s="28">
        <f t="shared" ref="BM10:BM17" si="5">SUM(BE10:BK10)</f>
        <v>66522691</v>
      </c>
      <c r="BN10" s="37" t="s">
        <v>345</v>
      </c>
      <c r="BR10" s="21"/>
      <c r="BS10" s="28"/>
      <c r="BT10" s="28"/>
      <c r="BU10" s="28"/>
      <c r="BV10" s="28"/>
      <c r="BW10" s="28"/>
      <c r="BX10" s="40"/>
      <c r="BY10" s="40"/>
      <c r="BZ10" s="28"/>
      <c r="CA10" s="28"/>
      <c r="CB10" s="28"/>
      <c r="CC10" s="28"/>
      <c r="CD10" s="28"/>
      <c r="CE10" s="28"/>
      <c r="CF10" s="19"/>
      <c r="CH10" s="19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37"/>
    </row>
    <row r="11" spans="1:97" s="36" customFormat="1" ht="12.75" customHeight="1" x14ac:dyDescent="0.2">
      <c r="A11" s="6" t="s">
        <v>12</v>
      </c>
      <c r="B11" s="14"/>
      <c r="C11" s="6" t="s">
        <v>13</v>
      </c>
      <c r="D11" s="7"/>
      <c r="E11" s="28">
        <v>6394673</v>
      </c>
      <c r="F11" s="28"/>
      <c r="G11" s="28">
        <v>10130957</v>
      </c>
      <c r="H11" s="28"/>
      <c r="I11" s="28">
        <f t="shared" si="0"/>
        <v>16525630</v>
      </c>
      <c r="J11" s="28"/>
      <c r="K11" s="28">
        <v>452074</v>
      </c>
      <c r="L11" s="28"/>
      <c r="M11" s="28">
        <v>1900281</v>
      </c>
      <c r="N11" s="28"/>
      <c r="O11" s="28">
        <f>+K11+M11</f>
        <v>2352355</v>
      </c>
      <c r="P11" s="28"/>
      <c r="Q11" s="28">
        <v>8397733</v>
      </c>
      <c r="R11" s="28"/>
      <c r="S11" s="28">
        <v>0</v>
      </c>
      <c r="T11" s="28"/>
      <c r="U11" s="28">
        <v>5775542</v>
      </c>
      <c r="V11" s="28"/>
      <c r="W11" s="28">
        <f t="shared" si="1"/>
        <v>14173275</v>
      </c>
      <c r="X11" s="16"/>
      <c r="Y11" s="6" t="s">
        <v>12</v>
      </c>
      <c r="Z11" s="18"/>
      <c r="AA11" s="6" t="s">
        <v>13</v>
      </c>
      <c r="AB11" s="6"/>
      <c r="AC11" s="28">
        <v>3716822</v>
      </c>
      <c r="AD11" s="28"/>
      <c r="AE11" s="28">
        <f>3704491-551070</f>
        <v>3153421</v>
      </c>
      <c r="AF11" s="28"/>
      <c r="AG11" s="28">
        <v>551070</v>
      </c>
      <c r="AH11" s="28"/>
      <c r="AI11" s="40">
        <f t="shared" si="2"/>
        <v>12331</v>
      </c>
      <c r="AJ11" s="40"/>
      <c r="AK11" s="40">
        <v>-46179</v>
      </c>
      <c r="AL11" s="40"/>
      <c r="AM11" s="28">
        <v>0</v>
      </c>
      <c r="AN11" s="28"/>
      <c r="AO11" s="28">
        <v>0</v>
      </c>
      <c r="AP11" s="28"/>
      <c r="AQ11" s="28">
        <v>1741568</v>
      </c>
      <c r="AR11" s="28"/>
      <c r="AS11" s="40">
        <f>+AI11+AK11+AM11-AO11+AQ11</f>
        <v>1707720</v>
      </c>
      <c r="AT11" s="40"/>
      <c r="AU11" s="28">
        <v>0</v>
      </c>
      <c r="AV11" s="28"/>
      <c r="AW11" s="28">
        <v>0</v>
      </c>
      <c r="AX11" s="28"/>
      <c r="AY11" s="28">
        <f t="shared" si="4"/>
        <v>5942599</v>
      </c>
      <c r="AZ11" s="16"/>
      <c r="BA11" s="6" t="s">
        <v>12</v>
      </c>
      <c r="BB11" s="18"/>
      <c r="BC11" s="6" t="s">
        <v>13</v>
      </c>
      <c r="BD11" s="16"/>
      <c r="BE11" s="28">
        <f>1062000+40000</f>
        <v>1102000</v>
      </c>
      <c r="BF11" s="28"/>
      <c r="BG11" s="28">
        <v>0</v>
      </c>
      <c r="BH11" s="28"/>
      <c r="BI11" s="28">
        <f>588239+40000</f>
        <v>628239</v>
      </c>
      <c r="BJ11" s="28"/>
      <c r="BK11" s="28">
        <f>250042+217239</f>
        <v>467281</v>
      </c>
      <c r="BL11" s="28"/>
      <c r="BM11" s="28">
        <f t="shared" si="5"/>
        <v>2197520</v>
      </c>
      <c r="BN11" s="37" t="s">
        <v>345</v>
      </c>
      <c r="BR11" s="21"/>
      <c r="BS11" s="28"/>
      <c r="BT11" s="28"/>
      <c r="BU11" s="28"/>
      <c r="BV11" s="28"/>
      <c r="BW11" s="28"/>
      <c r="BX11" s="40"/>
      <c r="BY11" s="40"/>
      <c r="BZ11" s="28"/>
      <c r="CA11" s="28"/>
      <c r="CB11" s="28"/>
      <c r="CC11" s="28"/>
      <c r="CD11" s="28"/>
      <c r="CE11" s="28"/>
      <c r="CF11" s="19"/>
      <c r="CH11" s="19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37"/>
    </row>
    <row r="12" spans="1:97" ht="12.75" customHeight="1" x14ac:dyDescent="0.2">
      <c r="A12" s="6" t="s">
        <v>14</v>
      </c>
      <c r="B12" s="20"/>
      <c r="C12" s="6" t="s">
        <v>15</v>
      </c>
      <c r="E12" s="16">
        <v>3750437</v>
      </c>
      <c r="F12" s="16"/>
      <c r="G12" s="16">
        <v>14130482</v>
      </c>
      <c r="H12" s="16"/>
      <c r="I12" s="16">
        <f t="shared" si="0"/>
        <v>17880919</v>
      </c>
      <c r="J12" s="16"/>
      <c r="K12" s="16">
        <v>547692</v>
      </c>
      <c r="L12" s="16"/>
      <c r="M12" s="16">
        <v>5738060</v>
      </c>
      <c r="N12" s="16"/>
      <c r="O12" s="16">
        <f>+K12+M12</f>
        <v>6285752</v>
      </c>
      <c r="P12" s="16"/>
      <c r="Q12" s="16">
        <v>7981096</v>
      </c>
      <c r="R12" s="16"/>
      <c r="S12" s="16">
        <v>0</v>
      </c>
      <c r="T12" s="16"/>
      <c r="U12" s="16">
        <v>3614071</v>
      </c>
      <c r="V12" s="16"/>
      <c r="W12" s="16">
        <f t="shared" si="1"/>
        <v>11595167</v>
      </c>
      <c r="X12" s="16"/>
      <c r="Y12" s="6" t="s">
        <v>14</v>
      </c>
      <c r="AA12" s="6" t="s">
        <v>15</v>
      </c>
      <c r="AB12" s="6"/>
      <c r="AC12" s="16">
        <v>2628066</v>
      </c>
      <c r="AD12" s="16"/>
      <c r="AE12" s="16">
        <f>2211439-580486</f>
        <v>1630953</v>
      </c>
      <c r="AF12" s="16"/>
      <c r="AG12" s="16">
        <v>580486</v>
      </c>
      <c r="AH12" s="16"/>
      <c r="AI12" s="8">
        <f t="shared" ref="AI12:AI76" si="6">+AC12-AE12-AG12</f>
        <v>416627</v>
      </c>
      <c r="AJ12" s="8"/>
      <c r="AK12" s="16">
        <v>-246313</v>
      </c>
      <c r="AL12" s="8"/>
      <c r="AM12" s="16">
        <v>0</v>
      </c>
      <c r="AN12" s="16"/>
      <c r="AO12" s="16">
        <v>0</v>
      </c>
      <c r="AP12" s="16"/>
      <c r="AQ12" s="16">
        <v>0</v>
      </c>
      <c r="AR12" s="16"/>
      <c r="AS12" s="8">
        <f t="shared" si="3"/>
        <v>170314</v>
      </c>
      <c r="AT12" s="8"/>
      <c r="AU12" s="16">
        <v>0</v>
      </c>
      <c r="AV12" s="16"/>
      <c r="AW12" s="16">
        <v>0</v>
      </c>
      <c r="AX12" s="16"/>
      <c r="AY12" s="16">
        <f t="shared" si="4"/>
        <v>3202745</v>
      </c>
      <c r="AZ12" s="16"/>
      <c r="BA12" s="6" t="s">
        <v>14</v>
      </c>
      <c r="BC12" s="6" t="s">
        <v>15</v>
      </c>
      <c r="BD12" s="16"/>
      <c r="BE12" s="16">
        <f>280000+50000</f>
        <v>330000</v>
      </c>
      <c r="BF12" s="16"/>
      <c r="BG12" s="16">
        <v>0</v>
      </c>
      <c r="BH12" s="16"/>
      <c r="BI12" s="16">
        <f>5367582+52948+8648+390208</f>
        <v>5819386</v>
      </c>
      <c r="BJ12" s="16"/>
      <c r="BK12" s="16">
        <f>32294+1851</f>
        <v>34145</v>
      </c>
      <c r="BL12" s="16"/>
      <c r="BM12" s="16">
        <f t="shared" si="5"/>
        <v>6183531</v>
      </c>
      <c r="BN12" s="17" t="s">
        <v>345</v>
      </c>
      <c r="BP12" s="18"/>
      <c r="BQ12" s="18"/>
      <c r="BR12" s="20"/>
      <c r="BS12" s="16"/>
      <c r="BT12" s="16"/>
      <c r="BU12" s="16"/>
      <c r="BV12" s="16"/>
      <c r="BW12" s="16"/>
      <c r="BX12" s="8"/>
      <c r="BY12" s="8"/>
      <c r="BZ12" s="16"/>
      <c r="CA12" s="16"/>
      <c r="CB12" s="16"/>
      <c r="CC12" s="16"/>
      <c r="CD12" s="16"/>
      <c r="CE12" s="16"/>
      <c r="CF12" s="6"/>
      <c r="CG12" s="18"/>
      <c r="CH12" s="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7"/>
    </row>
    <row r="13" spans="1:97" ht="12.75" customHeight="1" x14ac:dyDescent="0.2">
      <c r="A13" s="6" t="s">
        <v>16</v>
      </c>
      <c r="B13" s="20"/>
      <c r="C13" s="6" t="s">
        <v>16</v>
      </c>
      <c r="E13" s="16">
        <v>3081099</v>
      </c>
      <c r="F13" s="16"/>
      <c r="G13" s="16">
        <v>19348711</v>
      </c>
      <c r="H13" s="16"/>
      <c r="I13" s="16">
        <f t="shared" si="0"/>
        <v>22429810</v>
      </c>
      <c r="J13" s="16"/>
      <c r="K13" s="16">
        <v>523271</v>
      </c>
      <c r="L13" s="16"/>
      <c r="M13" s="16">
        <v>7390358</v>
      </c>
      <c r="N13" s="16"/>
      <c r="O13" s="16">
        <f>+K13+M13</f>
        <v>7913629</v>
      </c>
      <c r="P13" s="16"/>
      <c r="Q13" s="16">
        <v>11605039</v>
      </c>
      <c r="R13" s="16"/>
      <c r="S13" s="16">
        <v>0</v>
      </c>
      <c r="T13" s="16"/>
      <c r="U13" s="16">
        <v>2911142</v>
      </c>
      <c r="V13" s="16"/>
      <c r="W13" s="16">
        <f t="shared" si="1"/>
        <v>14516181</v>
      </c>
      <c r="X13" s="16"/>
      <c r="Y13" s="6" t="s">
        <v>16</v>
      </c>
      <c r="AA13" s="6" t="s">
        <v>16</v>
      </c>
      <c r="AB13" s="6"/>
      <c r="AC13" s="16">
        <v>3751473</v>
      </c>
      <c r="AD13" s="16"/>
      <c r="AE13" s="16">
        <f>2617424-579210</f>
        <v>2038214</v>
      </c>
      <c r="AF13" s="16"/>
      <c r="AG13" s="16">
        <v>579210</v>
      </c>
      <c r="AH13" s="16"/>
      <c r="AI13" s="8">
        <f t="shared" si="6"/>
        <v>1134049</v>
      </c>
      <c r="AJ13" s="8"/>
      <c r="AK13" s="16">
        <v>-96705</v>
      </c>
      <c r="AL13" s="8"/>
      <c r="AM13" s="16">
        <v>0</v>
      </c>
      <c r="AN13" s="16"/>
      <c r="AO13" s="16">
        <v>17065</v>
      </c>
      <c r="AP13" s="16"/>
      <c r="AQ13" s="16">
        <v>12542</v>
      </c>
      <c r="AR13" s="16"/>
      <c r="AS13" s="8">
        <f t="shared" si="3"/>
        <v>1032821</v>
      </c>
      <c r="AT13" s="8"/>
      <c r="AU13" s="16">
        <v>0</v>
      </c>
      <c r="AV13" s="16"/>
      <c r="AW13" s="16">
        <v>0</v>
      </c>
      <c r="AX13" s="16"/>
      <c r="AY13" s="16">
        <f t="shared" si="4"/>
        <v>2557828</v>
      </c>
      <c r="AZ13" s="16"/>
      <c r="BA13" s="6" t="s">
        <v>16</v>
      </c>
      <c r="BC13" s="6" t="s">
        <v>16</v>
      </c>
      <c r="BD13" s="16"/>
      <c r="BE13" s="16">
        <f>7341672+402000</f>
        <v>7743672</v>
      </c>
      <c r="BF13" s="16"/>
      <c r="BG13" s="16">
        <v>0</v>
      </c>
      <c r="BH13" s="16"/>
      <c r="BI13" s="16">
        <v>0</v>
      </c>
      <c r="BJ13" s="16"/>
      <c r="BK13" s="16">
        <f>48686+6350</f>
        <v>55036</v>
      </c>
      <c r="BL13" s="16"/>
      <c r="BM13" s="16">
        <f t="shared" si="5"/>
        <v>7798708</v>
      </c>
      <c r="BN13" s="17" t="s">
        <v>345</v>
      </c>
      <c r="BP13" s="18"/>
      <c r="BQ13" s="18"/>
      <c r="BR13" s="20"/>
      <c r="BS13" s="16"/>
      <c r="BT13" s="16"/>
      <c r="BU13" s="16"/>
      <c r="BV13" s="16"/>
      <c r="BW13" s="16"/>
      <c r="BX13" s="8"/>
      <c r="BY13" s="8"/>
      <c r="BZ13" s="16"/>
      <c r="CA13" s="16"/>
      <c r="CB13" s="16"/>
      <c r="CC13" s="16"/>
      <c r="CD13" s="16"/>
      <c r="CE13" s="16"/>
      <c r="CF13" s="6"/>
      <c r="CG13" s="18"/>
      <c r="CH13" s="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7"/>
    </row>
    <row r="14" spans="1:97" ht="12.75" customHeight="1" x14ac:dyDescent="0.2">
      <c r="A14" s="6" t="s">
        <v>17</v>
      </c>
      <c r="B14" s="20"/>
      <c r="C14" s="6" t="s">
        <v>17</v>
      </c>
      <c r="E14" s="16">
        <v>1893272</v>
      </c>
      <c r="F14" s="16"/>
      <c r="G14" s="16">
        <v>13300390</v>
      </c>
      <c r="H14" s="16"/>
      <c r="I14" s="16">
        <f t="shared" si="0"/>
        <v>15193662</v>
      </c>
      <c r="J14" s="16"/>
      <c r="K14" s="16">
        <v>725398</v>
      </c>
      <c r="L14" s="16"/>
      <c r="M14" s="16">
        <v>1934390</v>
      </c>
      <c r="N14" s="16"/>
      <c r="O14" s="16">
        <f>+K14+M14</f>
        <v>2659788</v>
      </c>
      <c r="P14" s="16"/>
      <c r="Q14" s="16">
        <v>11001315</v>
      </c>
      <c r="R14" s="16"/>
      <c r="S14" s="16">
        <v>0</v>
      </c>
      <c r="T14" s="16"/>
      <c r="U14" s="16">
        <v>1532559</v>
      </c>
      <c r="V14" s="16"/>
      <c r="W14" s="16">
        <f t="shared" si="1"/>
        <v>12533874</v>
      </c>
      <c r="X14" s="16"/>
      <c r="Y14" s="6" t="s">
        <v>17</v>
      </c>
      <c r="AA14" s="6" t="s">
        <v>17</v>
      </c>
      <c r="AB14" s="6"/>
      <c r="AC14" s="16">
        <v>3148190</v>
      </c>
      <c r="AD14" s="16"/>
      <c r="AE14" s="16">
        <f>2981083-502033</f>
        <v>2479050</v>
      </c>
      <c r="AF14" s="16"/>
      <c r="AG14" s="16">
        <v>502033</v>
      </c>
      <c r="AH14" s="16"/>
      <c r="AI14" s="8">
        <f t="shared" si="6"/>
        <v>167107</v>
      </c>
      <c r="AJ14" s="8"/>
      <c r="AK14" s="16">
        <v>545594</v>
      </c>
      <c r="AL14" s="8"/>
      <c r="AM14" s="16">
        <v>0</v>
      </c>
      <c r="AN14" s="16"/>
      <c r="AO14" s="16">
        <v>0</v>
      </c>
      <c r="AP14" s="16"/>
      <c r="AQ14" s="16">
        <v>0</v>
      </c>
      <c r="AR14" s="16"/>
      <c r="AS14" s="8">
        <f t="shared" si="3"/>
        <v>712701</v>
      </c>
      <c r="AT14" s="8"/>
      <c r="AU14" s="16">
        <v>0</v>
      </c>
      <c r="AV14" s="16"/>
      <c r="AW14" s="16">
        <v>0</v>
      </c>
      <c r="AX14" s="16"/>
      <c r="AY14" s="16">
        <f t="shared" si="4"/>
        <v>1167874</v>
      </c>
      <c r="AZ14" s="16"/>
      <c r="BA14" s="6" t="s">
        <v>17</v>
      </c>
      <c r="BC14" s="6" t="s">
        <v>17</v>
      </c>
      <c r="BD14" s="16"/>
      <c r="BE14" s="16">
        <v>0</v>
      </c>
      <c r="BF14" s="16"/>
      <c r="BG14" s="16">
        <v>0</v>
      </c>
      <c r="BH14" s="16"/>
      <c r="BI14" s="16">
        <f>1809331+489744</f>
        <v>2299075</v>
      </c>
      <c r="BJ14" s="16"/>
      <c r="BK14" s="16">
        <f>125059+120597</f>
        <v>245656</v>
      </c>
      <c r="BL14" s="16"/>
      <c r="BM14" s="16">
        <f t="shared" si="5"/>
        <v>2544731</v>
      </c>
      <c r="BN14" s="17" t="s">
        <v>345</v>
      </c>
      <c r="BP14" s="18"/>
      <c r="BQ14" s="18"/>
      <c r="BR14" s="20"/>
      <c r="BS14" s="7"/>
      <c r="BT14" s="16"/>
      <c r="BU14" s="16"/>
      <c r="BV14" s="16"/>
      <c r="BW14" s="16"/>
      <c r="BX14" s="8"/>
      <c r="BY14" s="8"/>
      <c r="BZ14" s="16"/>
      <c r="CA14" s="16"/>
      <c r="CB14" s="16"/>
      <c r="CC14" s="16"/>
      <c r="CD14" s="16"/>
      <c r="CE14" s="16"/>
      <c r="CF14" s="6"/>
      <c r="CG14" s="18"/>
      <c r="CH14" s="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7"/>
    </row>
    <row r="15" spans="1:97" ht="12.75" customHeight="1" x14ac:dyDescent="0.2">
      <c r="A15" s="6" t="s">
        <v>18</v>
      </c>
      <c r="B15" s="20"/>
      <c r="C15" s="6" t="s">
        <v>18</v>
      </c>
      <c r="E15" s="16">
        <f>1475039+342422+2434+10709</f>
        <v>1830604</v>
      </c>
      <c r="F15" s="16"/>
      <c r="G15" s="16">
        <f>826768+10021454</f>
        <v>10848222</v>
      </c>
      <c r="H15" s="16"/>
      <c r="I15" s="16">
        <f t="shared" si="0"/>
        <v>12678826</v>
      </c>
      <c r="J15" s="16"/>
      <c r="K15" s="16">
        <f t="shared" ref="K15:K74" si="7">O15-M15</f>
        <v>1392683</v>
      </c>
      <c r="L15" s="16"/>
      <c r="M15" s="16">
        <f>46118+1731962</f>
        <v>1778080</v>
      </c>
      <c r="N15" s="16"/>
      <c r="O15" s="16">
        <v>3170763</v>
      </c>
      <c r="P15" s="16"/>
      <c r="Q15" s="16">
        <v>8031952</v>
      </c>
      <c r="R15" s="16"/>
      <c r="S15" s="16">
        <v>0</v>
      </c>
      <c r="T15" s="16"/>
      <c r="U15" s="16">
        <v>1476111</v>
      </c>
      <c r="V15" s="16"/>
      <c r="W15" s="16">
        <f t="shared" si="1"/>
        <v>9508063</v>
      </c>
      <c r="X15" s="16"/>
      <c r="Y15" s="6" t="s">
        <v>18</v>
      </c>
      <c r="AA15" s="6" t="s">
        <v>18</v>
      </c>
      <c r="AB15" s="6"/>
      <c r="AC15" s="16">
        <v>3573055</v>
      </c>
      <c r="AD15" s="16"/>
      <c r="AE15" s="16">
        <f>2987814-361465</f>
        <v>2626349</v>
      </c>
      <c r="AF15" s="16"/>
      <c r="AG15" s="16">
        <v>361465</v>
      </c>
      <c r="AH15" s="16"/>
      <c r="AI15" s="8">
        <f t="shared" si="6"/>
        <v>585241</v>
      </c>
      <c r="AJ15" s="8"/>
      <c r="AK15" s="16">
        <v>271535</v>
      </c>
      <c r="AL15" s="8"/>
      <c r="AM15" s="16">
        <v>1536</v>
      </c>
      <c r="AN15" s="16"/>
      <c r="AO15" s="16">
        <v>0</v>
      </c>
      <c r="AP15" s="16"/>
      <c r="AQ15" s="16">
        <v>0</v>
      </c>
      <c r="AR15" s="16"/>
      <c r="AS15" s="8">
        <f t="shared" si="3"/>
        <v>858312</v>
      </c>
      <c r="AT15" s="8"/>
      <c r="AU15" s="16">
        <v>0</v>
      </c>
      <c r="AV15" s="16"/>
      <c r="AW15" s="16">
        <v>0</v>
      </c>
      <c r="AX15" s="16"/>
      <c r="AY15" s="16">
        <f t="shared" si="4"/>
        <v>437921</v>
      </c>
      <c r="AZ15" s="16"/>
      <c r="BA15" s="6" t="s">
        <v>18</v>
      </c>
      <c r="BC15" s="6" t="s">
        <v>18</v>
      </c>
      <c r="BD15" s="16"/>
      <c r="BE15" s="16">
        <v>0</v>
      </c>
      <c r="BF15" s="16"/>
      <c r="BG15" s="16">
        <v>0</v>
      </c>
      <c r="BH15" s="16"/>
      <c r="BI15" s="16">
        <f>1731962+284308</f>
        <v>2016270</v>
      </c>
      <c r="BJ15" s="16"/>
      <c r="BK15" s="16">
        <f>46118+105284</f>
        <v>151402</v>
      </c>
      <c r="BL15" s="16"/>
      <c r="BM15" s="16">
        <f t="shared" si="5"/>
        <v>2167672</v>
      </c>
      <c r="BN15" s="17" t="s">
        <v>345</v>
      </c>
      <c r="BO15" s="18" t="s">
        <v>401</v>
      </c>
      <c r="BP15" s="18"/>
      <c r="BQ15" s="18"/>
      <c r="BR15" s="20"/>
      <c r="BS15" s="16"/>
      <c r="BT15" s="16"/>
      <c r="BU15" s="16"/>
      <c r="BV15" s="16"/>
      <c r="BW15" s="16"/>
      <c r="BX15" s="8"/>
      <c r="BY15" s="8"/>
      <c r="BZ15" s="16"/>
      <c r="CA15" s="16"/>
      <c r="CB15" s="16"/>
      <c r="CC15" s="16"/>
      <c r="CD15" s="16"/>
      <c r="CE15" s="16"/>
      <c r="CF15" s="6"/>
      <c r="CG15" s="18"/>
      <c r="CH15" s="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7"/>
    </row>
    <row r="16" spans="1:97" ht="12.75" customHeight="1" x14ac:dyDescent="0.2">
      <c r="A16" s="6" t="s">
        <v>19</v>
      </c>
      <c r="B16" s="20"/>
      <c r="C16" s="6" t="s">
        <v>20</v>
      </c>
      <c r="E16" s="16">
        <v>2891969</v>
      </c>
      <c r="F16" s="16"/>
      <c r="G16" s="16">
        <v>27936429</v>
      </c>
      <c r="H16" s="16"/>
      <c r="I16" s="16">
        <f t="shared" si="0"/>
        <v>30828398</v>
      </c>
      <c r="J16" s="16"/>
      <c r="K16" s="16">
        <v>823327</v>
      </c>
      <c r="L16" s="16"/>
      <c r="M16" s="16">
        <v>4076420</v>
      </c>
      <c r="N16" s="16"/>
      <c r="O16" s="16">
        <f>+K16+M16</f>
        <v>4899747</v>
      </c>
      <c r="P16" s="16"/>
      <c r="Q16" s="16">
        <v>23146387</v>
      </c>
      <c r="R16" s="16"/>
      <c r="S16" s="16">
        <v>0</v>
      </c>
      <c r="T16" s="16"/>
      <c r="U16" s="16">
        <v>2795375</v>
      </c>
      <c r="V16" s="16"/>
      <c r="W16" s="16">
        <f t="shared" si="1"/>
        <v>25941762</v>
      </c>
      <c r="X16" s="16"/>
      <c r="Y16" s="6" t="s">
        <v>19</v>
      </c>
      <c r="AA16" s="6" t="s">
        <v>20</v>
      </c>
      <c r="AB16" s="6"/>
      <c r="AC16" s="16">
        <v>2596162</v>
      </c>
      <c r="AD16" s="16"/>
      <c r="AE16" s="16">
        <f>2154278-854181</f>
        <v>1300097</v>
      </c>
      <c r="AF16" s="16"/>
      <c r="AG16" s="16">
        <v>854181</v>
      </c>
      <c r="AH16" s="16"/>
      <c r="AI16" s="8">
        <f t="shared" si="6"/>
        <v>441884</v>
      </c>
      <c r="AJ16" s="8"/>
      <c r="AK16" s="16">
        <v>-184977</v>
      </c>
      <c r="AL16" s="8"/>
      <c r="AM16" s="16">
        <v>160000</v>
      </c>
      <c r="AN16" s="16"/>
      <c r="AO16" s="16">
        <v>0</v>
      </c>
      <c r="AP16" s="16"/>
      <c r="AQ16" s="16">
        <v>0</v>
      </c>
      <c r="AR16" s="16"/>
      <c r="AS16" s="8">
        <f t="shared" si="3"/>
        <v>416907</v>
      </c>
      <c r="AT16" s="8"/>
      <c r="AU16" s="16">
        <v>0</v>
      </c>
      <c r="AV16" s="16"/>
      <c r="AW16" s="16">
        <v>0</v>
      </c>
      <c r="AX16" s="16"/>
      <c r="AY16" s="16">
        <f t="shared" si="4"/>
        <v>2068642</v>
      </c>
      <c r="AZ16" s="16"/>
      <c r="BA16" s="6" t="s">
        <v>19</v>
      </c>
      <c r="BC16" s="6" t="s">
        <v>20</v>
      </c>
      <c r="BD16" s="16"/>
      <c r="BE16" s="16">
        <f>534785+54889</f>
        <v>589674</v>
      </c>
      <c r="BF16" s="16"/>
      <c r="BG16" s="16">
        <v>0</v>
      </c>
      <c r="BH16" s="16"/>
      <c r="BI16" s="16">
        <f>97500+3444135+40000+631844</f>
        <v>4213479</v>
      </c>
      <c r="BJ16" s="16"/>
      <c r="BK16" s="16">
        <v>1007</v>
      </c>
      <c r="BL16" s="16"/>
      <c r="BM16" s="16">
        <f t="shared" si="5"/>
        <v>4804160</v>
      </c>
      <c r="BN16" s="17" t="s">
        <v>345</v>
      </c>
      <c r="BP16" s="18"/>
      <c r="BQ16" s="18"/>
      <c r="BR16" s="20"/>
      <c r="BS16" s="16"/>
      <c r="BT16" s="16"/>
      <c r="BU16" s="16"/>
      <c r="BV16" s="16"/>
      <c r="BW16" s="16"/>
      <c r="BX16" s="8"/>
      <c r="BY16" s="8"/>
      <c r="BZ16" s="16"/>
      <c r="CA16" s="16"/>
      <c r="CB16" s="16"/>
      <c r="CC16" s="16"/>
      <c r="CD16" s="16"/>
      <c r="CE16" s="16"/>
      <c r="CF16" s="6"/>
      <c r="CG16" s="18"/>
      <c r="CH16" s="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7"/>
    </row>
    <row r="17" spans="1:97" ht="12.75" customHeight="1" x14ac:dyDescent="0.2">
      <c r="A17" s="6" t="s">
        <v>21</v>
      </c>
      <c r="B17" s="20"/>
      <c r="C17" s="6" t="s">
        <v>15</v>
      </c>
      <c r="E17" s="16">
        <v>1325601</v>
      </c>
      <c r="F17" s="16"/>
      <c r="G17" s="16">
        <v>19067503</v>
      </c>
      <c r="H17" s="16"/>
      <c r="I17" s="16">
        <f t="shared" si="0"/>
        <v>20393104</v>
      </c>
      <c r="J17" s="16"/>
      <c r="K17" s="16">
        <v>298746</v>
      </c>
      <c r="L17" s="16"/>
      <c r="M17" s="16">
        <v>2458010</v>
      </c>
      <c r="N17" s="16"/>
      <c r="O17" s="16">
        <f>+K17+M17</f>
        <v>2756756</v>
      </c>
      <c r="P17" s="16"/>
      <c r="Q17" s="16">
        <v>16616663</v>
      </c>
      <c r="R17" s="16"/>
      <c r="S17" s="16">
        <v>0</v>
      </c>
      <c r="T17" s="16"/>
      <c r="U17" s="16">
        <v>1019685</v>
      </c>
      <c r="V17" s="16"/>
      <c r="W17" s="16">
        <f t="shared" si="1"/>
        <v>17636348</v>
      </c>
      <c r="X17" s="16"/>
      <c r="Y17" s="6" t="s">
        <v>21</v>
      </c>
      <c r="AA17" s="6" t="s">
        <v>15</v>
      </c>
      <c r="AB17" s="6"/>
      <c r="AC17" s="16">
        <v>1865145</v>
      </c>
      <c r="AD17" s="16"/>
      <c r="AE17" s="16">
        <f>989254-32746</f>
        <v>956508</v>
      </c>
      <c r="AF17" s="16"/>
      <c r="AG17" s="16">
        <v>32746</v>
      </c>
      <c r="AH17" s="16"/>
      <c r="AI17" s="8">
        <f t="shared" si="6"/>
        <v>875891</v>
      </c>
      <c r="AJ17" s="8"/>
      <c r="AK17" s="16">
        <v>-127259</v>
      </c>
      <c r="AL17" s="8"/>
      <c r="AM17" s="16">
        <v>18337</v>
      </c>
      <c r="AN17" s="16"/>
      <c r="AO17" s="16">
        <v>0</v>
      </c>
      <c r="AP17" s="16"/>
      <c r="AQ17" s="16">
        <v>185721</v>
      </c>
      <c r="AR17" s="16"/>
      <c r="AS17" s="8">
        <f t="shared" si="3"/>
        <v>952690</v>
      </c>
      <c r="AT17" s="8"/>
      <c r="AU17" s="16">
        <v>0</v>
      </c>
      <c r="AV17" s="16"/>
      <c r="AW17" s="16">
        <v>0</v>
      </c>
      <c r="AX17" s="16"/>
      <c r="AY17" s="16">
        <f t="shared" si="4"/>
        <v>1026855</v>
      </c>
      <c r="AZ17" s="16"/>
      <c r="BA17" s="6" t="s">
        <v>21</v>
      </c>
      <c r="BC17" s="6" t="s">
        <v>15</v>
      </c>
      <c r="BD17" s="16"/>
      <c r="BE17" s="16">
        <f>2393254+18976</f>
        <v>2412230</v>
      </c>
      <c r="BF17" s="16"/>
      <c r="BG17" s="16">
        <v>0</v>
      </c>
      <c r="BH17" s="16"/>
      <c r="BI17" s="16">
        <v>0</v>
      </c>
      <c r="BJ17" s="16"/>
      <c r="BK17" s="16">
        <f>64756+9039</f>
        <v>73795</v>
      </c>
      <c r="BL17" s="16"/>
      <c r="BM17" s="16">
        <f t="shared" si="5"/>
        <v>2486025</v>
      </c>
      <c r="BN17" s="17" t="s">
        <v>345</v>
      </c>
      <c r="BP17" s="18"/>
      <c r="BQ17" s="18"/>
      <c r="BR17" s="20"/>
      <c r="BS17" s="16"/>
      <c r="BT17" s="16"/>
      <c r="BU17" s="16"/>
      <c r="BV17" s="16"/>
      <c r="BW17" s="16"/>
      <c r="BX17" s="8"/>
      <c r="BY17" s="8"/>
      <c r="BZ17" s="16"/>
      <c r="CA17" s="16"/>
      <c r="CB17" s="16"/>
      <c r="CC17" s="16"/>
      <c r="CD17" s="16"/>
      <c r="CE17" s="16"/>
      <c r="CF17" s="6"/>
      <c r="CG17" s="18"/>
      <c r="CH17" s="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7"/>
    </row>
    <row r="18" spans="1:97" ht="12.75" customHeight="1" x14ac:dyDescent="0.2">
      <c r="A18" s="6" t="s">
        <v>22</v>
      </c>
      <c r="B18" s="20"/>
      <c r="C18" s="6" t="s">
        <v>15</v>
      </c>
      <c r="E18" s="16">
        <v>3133481</v>
      </c>
      <c r="F18" s="16"/>
      <c r="G18" s="16">
        <v>14541943</v>
      </c>
      <c r="H18" s="16"/>
      <c r="I18" s="16">
        <f t="shared" si="0"/>
        <v>17675424</v>
      </c>
      <c r="J18" s="16"/>
      <c r="K18" s="16">
        <v>546072</v>
      </c>
      <c r="L18" s="16"/>
      <c r="M18" s="16">
        <v>983275</v>
      </c>
      <c r="N18" s="16"/>
      <c r="O18" s="16">
        <f>+K18+M18</f>
        <v>1529347</v>
      </c>
      <c r="P18" s="16"/>
      <c r="Q18" s="16">
        <v>13121080</v>
      </c>
      <c r="R18" s="16"/>
      <c r="S18" s="16">
        <v>0</v>
      </c>
      <c r="T18" s="16"/>
      <c r="U18" s="16">
        <v>3024997</v>
      </c>
      <c r="V18" s="16"/>
      <c r="W18" s="16">
        <f t="shared" ref="W18" si="8">SUM(Q18:U18)</f>
        <v>16146077</v>
      </c>
      <c r="X18" s="16"/>
      <c r="Y18" s="6" t="s">
        <v>21</v>
      </c>
      <c r="AA18" s="6" t="s">
        <v>15</v>
      </c>
      <c r="AB18" s="6"/>
      <c r="AC18" s="16">
        <v>826219</v>
      </c>
      <c r="AD18" s="16"/>
      <c r="AE18" s="16">
        <f>1270876-392983</f>
        <v>877893</v>
      </c>
      <c r="AF18" s="16"/>
      <c r="AG18" s="16">
        <v>392983</v>
      </c>
      <c r="AH18" s="16"/>
      <c r="AI18" s="8">
        <f t="shared" ref="AI18" si="9">+AC18-AE18-AG18</f>
        <v>-444657</v>
      </c>
      <c r="AJ18" s="8"/>
      <c r="AK18" s="16">
        <v>-14406</v>
      </c>
      <c r="AL18" s="8"/>
      <c r="AM18" s="16">
        <v>20333</v>
      </c>
      <c r="AN18" s="16"/>
      <c r="AO18" s="16">
        <v>0</v>
      </c>
      <c r="AP18" s="16"/>
      <c r="AQ18" s="16">
        <v>2243380</v>
      </c>
      <c r="AR18" s="16"/>
      <c r="AS18" s="8">
        <f t="shared" ref="AS18" si="10">+AI18+AK18+AM18-AO18+AQ18</f>
        <v>1804650</v>
      </c>
      <c r="AT18" s="8"/>
      <c r="AU18" s="16">
        <v>0</v>
      </c>
      <c r="AV18" s="16"/>
      <c r="AW18" s="16">
        <v>0</v>
      </c>
      <c r="AX18" s="16"/>
      <c r="AY18" s="16">
        <f t="shared" ref="AY18" si="11">+E18-K18</f>
        <v>2587409</v>
      </c>
      <c r="AZ18" s="16"/>
      <c r="BA18" s="6" t="s">
        <v>22</v>
      </c>
      <c r="BC18" s="6" t="s">
        <v>15</v>
      </c>
      <c r="BD18" s="16"/>
      <c r="BE18" s="16">
        <f>169107+29400</f>
        <v>198507</v>
      </c>
      <c r="BF18" s="16"/>
      <c r="BG18" s="16">
        <v>0</v>
      </c>
      <c r="BH18" s="16"/>
      <c r="BI18" s="16">
        <f>767198+105158</f>
        <v>872356</v>
      </c>
      <c r="BJ18" s="16"/>
      <c r="BK18" s="16">
        <f>46970+0+21096+4409</f>
        <v>72475</v>
      </c>
      <c r="BL18" s="16"/>
      <c r="BM18" s="16">
        <f t="shared" ref="BM18" si="12">SUM(BE18:BK18)</f>
        <v>1143338</v>
      </c>
      <c r="BN18" s="17" t="s">
        <v>345</v>
      </c>
      <c r="BP18" s="18"/>
      <c r="BQ18" s="18"/>
      <c r="BR18" s="20"/>
      <c r="BS18" s="16"/>
      <c r="BT18" s="16"/>
      <c r="BU18" s="16"/>
      <c r="BV18" s="16"/>
      <c r="BW18" s="16"/>
      <c r="BX18" s="8"/>
      <c r="BY18" s="8"/>
      <c r="BZ18" s="16"/>
      <c r="CA18" s="16"/>
      <c r="CB18" s="16"/>
      <c r="CC18" s="16"/>
      <c r="CD18" s="16"/>
      <c r="CE18" s="16"/>
      <c r="CF18" s="6"/>
      <c r="CG18" s="18"/>
      <c r="CH18" s="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7"/>
    </row>
    <row r="19" spans="1:97" ht="12.75" customHeight="1" x14ac:dyDescent="0.2">
      <c r="A19" s="6" t="s">
        <v>23</v>
      </c>
      <c r="B19" s="18"/>
      <c r="C19" s="6" t="s">
        <v>11</v>
      </c>
      <c r="E19" s="16">
        <v>2150730</v>
      </c>
      <c r="F19" s="16"/>
      <c r="G19" s="16">
        <v>24824585</v>
      </c>
      <c r="H19" s="16"/>
      <c r="I19" s="16">
        <f t="shared" si="0"/>
        <v>26975315</v>
      </c>
      <c r="J19" s="16"/>
      <c r="K19" s="16">
        <v>508290</v>
      </c>
      <c r="L19" s="16"/>
      <c r="M19" s="16">
        <v>2601025</v>
      </c>
      <c r="N19" s="16"/>
      <c r="O19" s="16">
        <f>+K19+M19</f>
        <v>3109315</v>
      </c>
      <c r="P19" s="16"/>
      <c r="Q19" s="16">
        <v>21932082</v>
      </c>
      <c r="R19" s="16"/>
      <c r="S19" s="16">
        <v>345427</v>
      </c>
      <c r="T19" s="16"/>
      <c r="U19" s="16">
        <v>1588491</v>
      </c>
      <c r="V19" s="16"/>
      <c r="W19" s="16">
        <f t="shared" si="1"/>
        <v>23866000</v>
      </c>
      <c r="X19" s="16"/>
      <c r="Y19" s="6" t="s">
        <v>23</v>
      </c>
      <c r="AA19" s="6" t="s">
        <v>11</v>
      </c>
      <c r="AB19" s="6"/>
      <c r="AC19" s="16">
        <v>4120440</v>
      </c>
      <c r="AD19" s="16"/>
      <c r="AE19" s="16">
        <f>4847914-1116898</f>
        <v>3731016</v>
      </c>
      <c r="AF19" s="16"/>
      <c r="AG19" s="16">
        <v>1116898</v>
      </c>
      <c r="AH19" s="16"/>
      <c r="AI19" s="8">
        <f t="shared" si="6"/>
        <v>-727474</v>
      </c>
      <c r="AJ19" s="8"/>
      <c r="AK19" s="16">
        <v>-116284</v>
      </c>
      <c r="AL19" s="8"/>
      <c r="AM19" s="16">
        <v>0</v>
      </c>
      <c r="AN19" s="16"/>
      <c r="AO19" s="16">
        <v>0</v>
      </c>
      <c r="AP19" s="16"/>
      <c r="AQ19" s="16">
        <v>0</v>
      </c>
      <c r="AR19" s="16"/>
      <c r="AS19" s="8">
        <f t="shared" si="3"/>
        <v>-843758</v>
      </c>
      <c r="AT19" s="8"/>
      <c r="AU19" s="16">
        <v>0</v>
      </c>
      <c r="AV19" s="16"/>
      <c r="AW19" s="16">
        <v>0</v>
      </c>
      <c r="AX19" s="16"/>
      <c r="AY19" s="16">
        <f t="shared" si="4"/>
        <v>1642440</v>
      </c>
      <c r="AZ19" s="16"/>
      <c r="BA19" s="6" t="s">
        <v>23</v>
      </c>
      <c r="BC19" s="6" t="s">
        <v>11</v>
      </c>
      <c r="BD19" s="16"/>
      <c r="BE19" s="16">
        <f>88765+69110</f>
        <v>157875</v>
      </c>
      <c r="BF19" s="16"/>
      <c r="BG19" s="16">
        <v>0</v>
      </c>
      <c r="BH19" s="16"/>
      <c r="BI19" s="16">
        <f>2088699+100946</f>
        <v>2189645</v>
      </c>
      <c r="BJ19" s="16"/>
      <c r="BK19" s="16">
        <f>77440+48179+272184+151377</f>
        <v>549180</v>
      </c>
      <c r="BL19" s="16"/>
      <c r="BM19" s="16">
        <f>SUM(BE19:BK19)</f>
        <v>2896700</v>
      </c>
      <c r="BN19" s="17" t="s">
        <v>345</v>
      </c>
      <c r="BP19" s="18"/>
      <c r="BQ19" s="18"/>
      <c r="BR19" s="20"/>
      <c r="BS19" s="16"/>
      <c r="BT19" s="16"/>
      <c r="BU19" s="16"/>
      <c r="BV19" s="16"/>
      <c r="BW19" s="16"/>
      <c r="BX19" s="8"/>
      <c r="BY19" s="8"/>
      <c r="BZ19" s="16"/>
      <c r="CA19" s="16"/>
      <c r="CB19" s="16"/>
      <c r="CC19" s="16"/>
      <c r="CD19" s="16"/>
      <c r="CE19" s="16"/>
      <c r="CF19" s="6"/>
      <c r="CG19" s="18"/>
      <c r="CH19" s="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7"/>
    </row>
    <row r="20" spans="1:97" ht="12.75" customHeight="1" x14ac:dyDescent="0.2">
      <c r="A20" s="6" t="s">
        <v>24</v>
      </c>
      <c r="B20" s="20"/>
      <c r="C20" s="6" t="s">
        <v>25</v>
      </c>
      <c r="E20" s="16">
        <v>1491584</v>
      </c>
      <c r="F20" s="16"/>
      <c r="G20" s="16">
        <v>9804461</v>
      </c>
      <c r="H20" s="16"/>
      <c r="I20" s="16">
        <f t="shared" si="0"/>
        <v>11296045</v>
      </c>
      <c r="J20" s="16"/>
      <c r="K20" s="16">
        <v>1689916</v>
      </c>
      <c r="L20" s="16"/>
      <c r="M20" s="16">
        <v>433421</v>
      </c>
      <c r="N20" s="16"/>
      <c r="O20" s="16">
        <f>+K20+M20</f>
        <v>2123337</v>
      </c>
      <c r="P20" s="16"/>
      <c r="Q20" s="16">
        <v>4785518</v>
      </c>
      <c r="R20" s="16"/>
      <c r="S20" s="16">
        <v>0</v>
      </c>
      <c r="T20" s="16"/>
      <c r="U20" s="16">
        <v>4387190</v>
      </c>
      <c r="V20" s="16"/>
      <c r="W20" s="16">
        <f t="shared" si="1"/>
        <v>9172708</v>
      </c>
      <c r="X20" s="16"/>
      <c r="Y20" s="6" t="s">
        <v>24</v>
      </c>
      <c r="AA20" s="6" t="s">
        <v>25</v>
      </c>
      <c r="AB20" s="6"/>
      <c r="AC20" s="16">
        <v>1713083</v>
      </c>
      <c r="AD20" s="16"/>
      <c r="AE20" s="16">
        <f>1767121-208133</f>
        <v>1558988</v>
      </c>
      <c r="AF20" s="16"/>
      <c r="AG20" s="16">
        <v>208133</v>
      </c>
      <c r="AH20" s="16"/>
      <c r="AI20" s="8">
        <f t="shared" si="6"/>
        <v>-54038</v>
      </c>
      <c r="AJ20" s="8"/>
      <c r="AK20" s="16">
        <v>-311961</v>
      </c>
      <c r="AL20" s="8"/>
      <c r="AM20" s="16">
        <v>89000</v>
      </c>
      <c r="AN20" s="16"/>
      <c r="AO20" s="16">
        <v>0</v>
      </c>
      <c r="AP20" s="16"/>
      <c r="AQ20" s="16">
        <v>0</v>
      </c>
      <c r="AR20" s="16"/>
      <c r="AS20" s="8">
        <f t="shared" si="3"/>
        <v>-276999</v>
      </c>
      <c r="AT20" s="8"/>
      <c r="AU20" s="16">
        <v>0</v>
      </c>
      <c r="AV20" s="16"/>
      <c r="AW20" s="16">
        <v>0</v>
      </c>
      <c r="AX20" s="16"/>
      <c r="AY20" s="16">
        <f t="shared" si="4"/>
        <v>-198332</v>
      </c>
      <c r="AZ20" s="16"/>
      <c r="BA20" s="6" t="s">
        <v>24</v>
      </c>
      <c r="BC20" s="6" t="s">
        <v>25</v>
      </c>
      <c r="BD20" s="16"/>
      <c r="BE20" s="16">
        <v>50000</v>
      </c>
      <c r="BF20" s="16"/>
      <c r="BG20" s="16">
        <v>0</v>
      </c>
      <c r="BH20" s="16"/>
      <c r="BI20" s="16">
        <f>238048+34007</f>
        <v>272055</v>
      </c>
      <c r="BJ20" s="16"/>
      <c r="BK20" s="16">
        <f>50373+145000+22922+50000</f>
        <v>268295</v>
      </c>
      <c r="BL20" s="16"/>
      <c r="BM20" s="16">
        <f t="shared" ref="BM20:BM22" si="13">SUM(BE20:BK20)</f>
        <v>590350</v>
      </c>
      <c r="BN20" s="17" t="s">
        <v>345</v>
      </c>
      <c r="BP20" s="18"/>
      <c r="BQ20" s="18"/>
      <c r="BR20" s="20"/>
      <c r="BS20" s="16"/>
      <c r="BT20" s="16"/>
      <c r="BU20" s="16"/>
      <c r="BV20" s="16"/>
      <c r="BW20" s="16"/>
      <c r="BX20" s="8"/>
      <c r="BY20" s="8"/>
      <c r="BZ20" s="16"/>
      <c r="CA20" s="16"/>
      <c r="CB20" s="16"/>
      <c r="CC20" s="16"/>
      <c r="CD20" s="16"/>
      <c r="CE20" s="16"/>
      <c r="CF20" s="6"/>
      <c r="CG20" s="18"/>
      <c r="CH20" s="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7"/>
    </row>
    <row r="21" spans="1:97" ht="12.75" hidden="1" customHeight="1" x14ac:dyDescent="0.2">
      <c r="A21" s="6" t="s">
        <v>26</v>
      </c>
      <c r="B21" s="20"/>
      <c r="C21" s="6" t="s">
        <v>25</v>
      </c>
      <c r="E21" s="16">
        <f t="shared" ref="E21:E74" si="14">I21-G21</f>
        <v>0</v>
      </c>
      <c r="F21" s="16"/>
      <c r="G21" s="16"/>
      <c r="H21" s="16"/>
      <c r="I21" s="16"/>
      <c r="J21" s="16"/>
      <c r="K21" s="16">
        <f t="shared" si="7"/>
        <v>0</v>
      </c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>
        <f t="shared" si="1"/>
        <v>0</v>
      </c>
      <c r="X21" s="16"/>
      <c r="Y21" s="6" t="s">
        <v>26</v>
      </c>
      <c r="AA21" s="6" t="s">
        <v>25</v>
      </c>
      <c r="AB21" s="6"/>
      <c r="AC21" s="16"/>
      <c r="AD21" s="16"/>
      <c r="AE21" s="16"/>
      <c r="AF21" s="16"/>
      <c r="AG21" s="16"/>
      <c r="AH21" s="16"/>
      <c r="AI21" s="8">
        <f t="shared" si="6"/>
        <v>0</v>
      </c>
      <c r="AJ21" s="8"/>
      <c r="AK21" s="16"/>
      <c r="AL21" s="8"/>
      <c r="AM21" s="16"/>
      <c r="AN21" s="16"/>
      <c r="AO21" s="16"/>
      <c r="AP21" s="16"/>
      <c r="AQ21" s="16"/>
      <c r="AR21" s="16"/>
      <c r="AS21" s="8">
        <f t="shared" si="3"/>
        <v>0</v>
      </c>
      <c r="AT21" s="8"/>
      <c r="AU21" s="16">
        <v>0</v>
      </c>
      <c r="AV21" s="16"/>
      <c r="AW21" s="16">
        <v>0</v>
      </c>
      <c r="AX21" s="16"/>
      <c r="AY21" s="16">
        <f t="shared" si="4"/>
        <v>0</v>
      </c>
      <c r="AZ21" s="16"/>
      <c r="BA21" s="6" t="s">
        <v>26</v>
      </c>
      <c r="BC21" s="6" t="s">
        <v>25</v>
      </c>
      <c r="BD21" s="16"/>
      <c r="BE21" s="16"/>
      <c r="BF21" s="16"/>
      <c r="BG21" s="16"/>
      <c r="BH21" s="16"/>
      <c r="BI21" s="16"/>
      <c r="BJ21" s="16"/>
      <c r="BK21" s="16"/>
      <c r="BL21" s="16"/>
      <c r="BM21" s="16">
        <f t="shared" si="13"/>
        <v>0</v>
      </c>
      <c r="BN21" s="17" t="s">
        <v>345</v>
      </c>
      <c r="BP21" s="18"/>
      <c r="BQ21" s="18"/>
      <c r="BR21" s="20"/>
      <c r="BS21" s="16"/>
      <c r="BT21" s="16"/>
      <c r="BU21" s="16"/>
      <c r="BV21" s="16"/>
      <c r="BW21" s="16"/>
      <c r="BX21" s="8"/>
      <c r="BY21" s="8"/>
      <c r="BZ21" s="16"/>
      <c r="CA21" s="16"/>
      <c r="CB21" s="16"/>
      <c r="CC21" s="16"/>
      <c r="CD21" s="16"/>
      <c r="CE21" s="16"/>
      <c r="CF21" s="6"/>
      <c r="CG21" s="18"/>
      <c r="CH21" s="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7"/>
    </row>
    <row r="22" spans="1:97" ht="12.75" hidden="1" customHeight="1" x14ac:dyDescent="0.2">
      <c r="A22" s="6" t="s">
        <v>27</v>
      </c>
      <c r="B22" s="20"/>
      <c r="C22" s="6" t="s">
        <v>28</v>
      </c>
      <c r="E22" s="16">
        <f t="shared" si="14"/>
        <v>0</v>
      </c>
      <c r="F22" s="16"/>
      <c r="G22" s="16"/>
      <c r="H22" s="16"/>
      <c r="I22" s="16"/>
      <c r="J22" s="16"/>
      <c r="K22" s="16">
        <f t="shared" si="7"/>
        <v>0</v>
      </c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>
        <f t="shared" si="1"/>
        <v>0</v>
      </c>
      <c r="X22" s="16"/>
      <c r="Y22" s="6" t="s">
        <v>27</v>
      </c>
      <c r="AA22" s="6" t="s">
        <v>28</v>
      </c>
      <c r="AB22" s="6"/>
      <c r="AC22" s="16"/>
      <c r="AD22" s="16"/>
      <c r="AE22" s="16"/>
      <c r="AF22" s="16"/>
      <c r="AG22" s="16"/>
      <c r="AH22" s="16"/>
      <c r="AI22" s="8">
        <f t="shared" si="6"/>
        <v>0</v>
      </c>
      <c r="AJ22" s="8"/>
      <c r="AK22" s="16"/>
      <c r="AL22" s="8"/>
      <c r="AM22" s="16"/>
      <c r="AN22" s="16"/>
      <c r="AO22" s="16"/>
      <c r="AP22" s="16"/>
      <c r="AQ22" s="16"/>
      <c r="AR22" s="16"/>
      <c r="AS22" s="8">
        <f t="shared" si="3"/>
        <v>0</v>
      </c>
      <c r="AT22" s="8"/>
      <c r="AU22" s="16">
        <v>0</v>
      </c>
      <c r="AV22" s="16"/>
      <c r="AW22" s="16">
        <v>0</v>
      </c>
      <c r="AX22" s="16"/>
      <c r="AY22" s="16">
        <f t="shared" si="4"/>
        <v>0</v>
      </c>
      <c r="AZ22" s="16"/>
      <c r="BA22" s="6" t="s">
        <v>27</v>
      </c>
      <c r="BC22" s="6" t="s">
        <v>28</v>
      </c>
      <c r="BD22" s="16"/>
      <c r="BE22" s="16"/>
      <c r="BF22" s="16"/>
      <c r="BG22" s="16"/>
      <c r="BH22" s="16"/>
      <c r="BI22" s="16"/>
      <c r="BJ22" s="16"/>
      <c r="BK22" s="16"/>
      <c r="BL22" s="16"/>
      <c r="BM22" s="16">
        <f t="shared" si="13"/>
        <v>0</v>
      </c>
      <c r="BN22" s="17" t="s">
        <v>345</v>
      </c>
      <c r="BP22" s="18"/>
      <c r="BQ22" s="18"/>
      <c r="BR22" s="20"/>
      <c r="BS22" s="16"/>
      <c r="BT22" s="16"/>
      <c r="BU22" s="16"/>
      <c r="BV22" s="16"/>
      <c r="BW22" s="16"/>
      <c r="BX22" s="8"/>
      <c r="BY22" s="8"/>
      <c r="BZ22" s="16"/>
      <c r="CA22" s="16"/>
      <c r="CB22" s="16"/>
      <c r="CC22" s="16"/>
      <c r="CD22" s="16"/>
      <c r="CE22" s="16"/>
      <c r="CF22" s="6"/>
      <c r="CG22" s="18"/>
      <c r="CH22" s="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7"/>
    </row>
    <row r="23" spans="1:97" ht="12.75" customHeight="1" x14ac:dyDescent="0.2">
      <c r="A23" s="6" t="s">
        <v>29</v>
      </c>
      <c r="B23" s="20"/>
      <c r="C23" s="6" t="s">
        <v>25</v>
      </c>
      <c r="E23" s="16">
        <v>2066395</v>
      </c>
      <c r="F23" s="16"/>
      <c r="G23" s="16">
        <v>9994887</v>
      </c>
      <c r="H23" s="16"/>
      <c r="I23" s="16">
        <f>+E23+G23</f>
        <v>12061282</v>
      </c>
      <c r="J23" s="16"/>
      <c r="K23" s="16">
        <v>1279828</v>
      </c>
      <c r="L23" s="16"/>
      <c r="M23" s="16">
        <v>3782517</v>
      </c>
      <c r="N23" s="16"/>
      <c r="O23" s="16">
        <f>+K23+M23</f>
        <v>5062345</v>
      </c>
      <c r="P23" s="16"/>
      <c r="Q23" s="16">
        <v>5234857</v>
      </c>
      <c r="R23" s="16"/>
      <c r="S23" s="16">
        <v>0</v>
      </c>
      <c r="T23" s="16"/>
      <c r="U23" s="16">
        <v>1814203</v>
      </c>
      <c r="V23" s="16"/>
      <c r="W23" s="16">
        <f>SUM(Q23:U23)</f>
        <v>7049060</v>
      </c>
      <c r="X23" s="16"/>
      <c r="Y23" s="6" t="s">
        <v>29</v>
      </c>
      <c r="AA23" s="6" t="s">
        <v>25</v>
      </c>
      <c r="AB23" s="6"/>
      <c r="AC23" s="16">
        <v>2386595</v>
      </c>
      <c r="AD23" s="16"/>
      <c r="AE23" s="16">
        <f>1699834-299255</f>
        <v>1400579</v>
      </c>
      <c r="AF23" s="16"/>
      <c r="AG23" s="16">
        <v>299255</v>
      </c>
      <c r="AH23" s="16"/>
      <c r="AI23" s="8">
        <f t="shared" si="6"/>
        <v>686761</v>
      </c>
      <c r="AJ23" s="8"/>
      <c r="AK23" s="16">
        <v>15153</v>
      </c>
      <c r="AL23" s="8"/>
      <c r="AM23" s="16">
        <v>0</v>
      </c>
      <c r="AN23" s="16"/>
      <c r="AO23" s="16">
        <v>0</v>
      </c>
      <c r="AP23" s="16"/>
      <c r="AQ23" s="16">
        <v>0</v>
      </c>
      <c r="AR23" s="16"/>
      <c r="AS23" s="8">
        <f>+AI23+AK23+AM23-AO23+AQ23</f>
        <v>701914</v>
      </c>
      <c r="AT23" s="8"/>
      <c r="AU23" s="16">
        <v>0</v>
      </c>
      <c r="AV23" s="16"/>
      <c r="AW23" s="16">
        <v>0</v>
      </c>
      <c r="AX23" s="16"/>
      <c r="AY23" s="16">
        <f t="shared" si="4"/>
        <v>786567</v>
      </c>
      <c r="AZ23" s="16"/>
      <c r="BA23" s="6" t="s">
        <v>29</v>
      </c>
      <c r="BC23" s="6" t="s">
        <v>25</v>
      </c>
      <c r="BD23" s="16"/>
      <c r="BE23" s="16">
        <f>1660566+75000</f>
        <v>1735566</v>
      </c>
      <c r="BF23" s="16"/>
      <c r="BG23" s="16">
        <v>0</v>
      </c>
      <c r="BH23" s="16"/>
      <c r="BI23" s="16">
        <f>632242+1444998+55294+948184</f>
        <v>3080718</v>
      </c>
      <c r="BJ23" s="16"/>
      <c r="BK23" s="16">
        <f>24548+44711</f>
        <v>69259</v>
      </c>
      <c r="BL23" s="16"/>
      <c r="BM23" s="16">
        <f>SUM(BE23:BK23)</f>
        <v>4885543</v>
      </c>
      <c r="BN23" s="17" t="s">
        <v>345</v>
      </c>
      <c r="BO23" s="18" t="s">
        <v>402</v>
      </c>
      <c r="BP23" s="18"/>
      <c r="BQ23" s="18"/>
      <c r="BR23" s="20"/>
      <c r="BS23" s="16"/>
      <c r="BT23" s="16"/>
      <c r="BU23" s="16"/>
      <c r="BV23" s="16"/>
      <c r="BW23" s="16"/>
      <c r="BX23" s="8"/>
      <c r="BY23" s="8"/>
      <c r="BZ23" s="16"/>
      <c r="CA23" s="16"/>
      <c r="CB23" s="16"/>
      <c r="CC23" s="16"/>
      <c r="CD23" s="16"/>
      <c r="CE23" s="16"/>
      <c r="CF23" s="7"/>
      <c r="CG23" s="18"/>
      <c r="CH23" s="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7"/>
    </row>
    <row r="24" spans="1:97" ht="12.75" customHeight="1" x14ac:dyDescent="0.2">
      <c r="A24" s="6" t="s">
        <v>30</v>
      </c>
      <c r="B24" s="20"/>
      <c r="C24" s="6" t="s">
        <v>25</v>
      </c>
      <c r="E24" s="16">
        <v>1717953</v>
      </c>
      <c r="F24" s="16"/>
      <c r="G24" s="16">
        <v>7293834</v>
      </c>
      <c r="H24" s="16"/>
      <c r="I24" s="16">
        <f>+E24+G24</f>
        <v>9011787</v>
      </c>
      <c r="J24" s="16"/>
      <c r="K24" s="16">
        <v>353592</v>
      </c>
      <c r="L24" s="16"/>
      <c r="M24" s="16">
        <v>710494</v>
      </c>
      <c r="N24" s="16"/>
      <c r="O24" s="16">
        <f>+K24+M24</f>
        <v>1064086</v>
      </c>
      <c r="P24" s="16"/>
      <c r="Q24" s="16">
        <v>6655234</v>
      </c>
      <c r="R24" s="16"/>
      <c r="S24" s="16">
        <v>0</v>
      </c>
      <c r="T24" s="16"/>
      <c r="U24" s="16">
        <v>1292467</v>
      </c>
      <c r="V24" s="16"/>
      <c r="W24" s="16">
        <f t="shared" ref="W24:W41" si="15">SUM(Q24:U24)</f>
        <v>7947701</v>
      </c>
      <c r="X24" s="16"/>
      <c r="Y24" s="6" t="s">
        <v>30</v>
      </c>
      <c r="AA24" s="6" t="s">
        <v>25</v>
      </c>
      <c r="AB24" s="6"/>
      <c r="AC24" s="16">
        <v>2246083</v>
      </c>
      <c r="AD24" s="16"/>
      <c r="AE24" s="16">
        <f>2856699-408495</f>
        <v>2448204</v>
      </c>
      <c r="AF24" s="16"/>
      <c r="AG24" s="16">
        <v>408495</v>
      </c>
      <c r="AH24" s="16"/>
      <c r="AI24" s="8">
        <f t="shared" si="6"/>
        <v>-610616</v>
      </c>
      <c r="AJ24" s="8"/>
      <c r="AK24" s="16">
        <v>-23691</v>
      </c>
      <c r="AL24" s="8"/>
      <c r="AM24" s="16">
        <v>0</v>
      </c>
      <c r="AN24" s="16"/>
      <c r="AO24" s="16">
        <v>0</v>
      </c>
      <c r="AP24" s="16"/>
      <c r="AQ24" s="16">
        <v>0</v>
      </c>
      <c r="AR24" s="16"/>
      <c r="AS24" s="8">
        <f t="shared" ref="AS24:AS54" si="16">+AI24+AK24+AM24-AO24+AQ24</f>
        <v>-634307</v>
      </c>
      <c r="AT24" s="8"/>
      <c r="AU24" s="16">
        <v>0</v>
      </c>
      <c r="AV24" s="16"/>
      <c r="AW24" s="16">
        <v>0</v>
      </c>
      <c r="AX24" s="16"/>
      <c r="AY24" s="16">
        <f t="shared" ref="AY24:AY54" si="17">+E24-K24</f>
        <v>1364361</v>
      </c>
      <c r="AZ24" s="16"/>
      <c r="BA24" s="6" t="s">
        <v>30</v>
      </c>
      <c r="BC24" s="6" t="s">
        <v>25</v>
      </c>
      <c r="BD24" s="16"/>
      <c r="BE24" s="16">
        <f>638600+94500</f>
        <v>733100</v>
      </c>
      <c r="BF24" s="16"/>
      <c r="BG24" s="16">
        <f>541950+96650</f>
        <v>638600</v>
      </c>
      <c r="BH24" s="16"/>
      <c r="BI24" s="16">
        <v>0</v>
      </c>
      <c r="BJ24" s="16"/>
      <c r="BK24" s="16">
        <f>168544+107570</f>
        <v>276114</v>
      </c>
      <c r="BL24" s="16"/>
      <c r="BM24" s="16">
        <f t="shared" ref="BM24:BM47" si="18">SUM(BE24:BK24)</f>
        <v>1647814</v>
      </c>
      <c r="BN24" s="17" t="s">
        <v>345</v>
      </c>
      <c r="BP24" s="18"/>
      <c r="BQ24" s="18"/>
      <c r="BR24" s="20"/>
      <c r="BS24" s="16"/>
      <c r="BT24" s="16"/>
      <c r="BU24" s="16"/>
      <c r="BV24" s="16"/>
      <c r="BW24" s="16"/>
      <c r="BX24" s="8"/>
      <c r="BY24" s="8"/>
      <c r="BZ24" s="16"/>
      <c r="CA24" s="16"/>
      <c r="CB24" s="16"/>
      <c r="CC24" s="16"/>
      <c r="CD24" s="16"/>
      <c r="CE24" s="16"/>
      <c r="CF24" s="6"/>
      <c r="CG24" s="18"/>
      <c r="CH24" s="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7"/>
    </row>
    <row r="25" spans="1:97" ht="12.75" hidden="1" customHeight="1" x14ac:dyDescent="0.2">
      <c r="A25" s="6" t="s">
        <v>32</v>
      </c>
      <c r="B25" s="20"/>
      <c r="C25" s="6" t="s">
        <v>28</v>
      </c>
      <c r="E25" s="16">
        <f t="shared" si="14"/>
        <v>0</v>
      </c>
      <c r="F25" s="16"/>
      <c r="G25" s="16"/>
      <c r="H25" s="16"/>
      <c r="I25" s="16"/>
      <c r="J25" s="16"/>
      <c r="K25" s="16">
        <f t="shared" si="7"/>
        <v>0</v>
      </c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>
        <f t="shared" si="15"/>
        <v>0</v>
      </c>
      <c r="X25" s="16"/>
      <c r="Y25" s="6" t="s">
        <v>32</v>
      </c>
      <c r="AA25" s="6" t="s">
        <v>28</v>
      </c>
      <c r="AB25" s="6"/>
      <c r="AC25" s="16">
        <v>0</v>
      </c>
      <c r="AD25" s="16"/>
      <c r="AE25" s="16">
        <v>0</v>
      </c>
      <c r="AF25" s="16"/>
      <c r="AG25" s="16">
        <v>0</v>
      </c>
      <c r="AH25" s="16"/>
      <c r="AI25" s="8">
        <f t="shared" si="6"/>
        <v>0</v>
      </c>
      <c r="AJ25" s="8"/>
      <c r="AK25" s="16">
        <v>0</v>
      </c>
      <c r="AL25" s="8"/>
      <c r="AM25" s="16">
        <v>0</v>
      </c>
      <c r="AN25" s="16"/>
      <c r="AO25" s="16">
        <v>0</v>
      </c>
      <c r="AP25" s="16"/>
      <c r="AQ25" s="16">
        <v>0</v>
      </c>
      <c r="AR25" s="16"/>
      <c r="AS25" s="8">
        <f t="shared" si="16"/>
        <v>0</v>
      </c>
      <c r="AT25" s="8"/>
      <c r="AU25" s="16">
        <v>0</v>
      </c>
      <c r="AV25" s="16"/>
      <c r="AW25" s="16">
        <v>0</v>
      </c>
      <c r="AX25" s="16"/>
      <c r="AY25" s="16">
        <f t="shared" si="17"/>
        <v>0</v>
      </c>
      <c r="AZ25" s="16"/>
      <c r="BA25" s="6" t="s">
        <v>32</v>
      </c>
      <c r="BC25" s="6" t="s">
        <v>28</v>
      </c>
      <c r="BD25" s="16"/>
      <c r="BE25" s="16">
        <v>0</v>
      </c>
      <c r="BF25" s="16"/>
      <c r="BG25" s="16">
        <v>0</v>
      </c>
      <c r="BH25" s="16"/>
      <c r="BI25" s="16">
        <v>0</v>
      </c>
      <c r="BJ25" s="16"/>
      <c r="BK25" s="16">
        <v>0</v>
      </c>
      <c r="BL25" s="16"/>
      <c r="BM25" s="16">
        <f t="shared" si="18"/>
        <v>0</v>
      </c>
      <c r="BN25" s="17" t="s">
        <v>345</v>
      </c>
      <c r="BP25" s="18"/>
      <c r="BQ25" s="18"/>
      <c r="BR25" s="20"/>
      <c r="BS25" s="16"/>
      <c r="BT25" s="16"/>
      <c r="BU25" s="16"/>
      <c r="BV25" s="16"/>
      <c r="BW25" s="16"/>
      <c r="BX25" s="8"/>
      <c r="BY25" s="8"/>
      <c r="BZ25" s="16"/>
      <c r="CA25" s="16"/>
      <c r="CB25" s="16"/>
      <c r="CC25" s="16"/>
      <c r="CD25" s="16"/>
      <c r="CE25" s="16"/>
      <c r="CF25" s="6"/>
      <c r="CG25" s="18"/>
      <c r="CH25" s="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7"/>
    </row>
    <row r="26" spans="1:97" ht="12.75" customHeight="1" x14ac:dyDescent="0.2">
      <c r="A26" s="6" t="s">
        <v>33</v>
      </c>
      <c r="B26" s="20"/>
      <c r="C26" s="6" t="s">
        <v>34</v>
      </c>
      <c r="E26" s="16">
        <v>2693727</v>
      </c>
      <c r="F26" s="16"/>
      <c r="G26" s="16">
        <v>14693879</v>
      </c>
      <c r="H26" s="16"/>
      <c r="I26" s="16">
        <f>+E26+G26</f>
        <v>17387606</v>
      </c>
      <c r="J26" s="16"/>
      <c r="K26" s="16">
        <v>577297</v>
      </c>
      <c r="L26" s="16"/>
      <c r="M26" s="16">
        <v>2679050</v>
      </c>
      <c r="N26" s="16"/>
      <c r="O26" s="16">
        <f>+K26+M26</f>
        <v>3256347</v>
      </c>
      <c r="P26" s="16"/>
      <c r="Q26" s="16">
        <v>11920134</v>
      </c>
      <c r="R26" s="16"/>
      <c r="S26" s="16">
        <v>0</v>
      </c>
      <c r="T26" s="16"/>
      <c r="U26" s="16">
        <v>2211125</v>
      </c>
      <c r="V26" s="16"/>
      <c r="W26" s="16">
        <f t="shared" si="15"/>
        <v>14131259</v>
      </c>
      <c r="X26" s="16"/>
      <c r="Y26" s="6" t="s">
        <v>33</v>
      </c>
      <c r="AA26" s="6" t="s">
        <v>34</v>
      </c>
      <c r="AB26" s="6"/>
      <c r="AC26" s="16">
        <v>2808303</v>
      </c>
      <c r="AD26" s="16"/>
      <c r="AE26" s="16">
        <f>1866642-312548</f>
        <v>1554094</v>
      </c>
      <c r="AF26" s="16"/>
      <c r="AG26" s="16">
        <v>312548</v>
      </c>
      <c r="AH26" s="16"/>
      <c r="AI26" s="8">
        <f t="shared" si="6"/>
        <v>941661</v>
      </c>
      <c r="AJ26" s="8"/>
      <c r="AK26" s="16">
        <v>-65778</v>
      </c>
      <c r="AL26" s="8"/>
      <c r="AM26" s="16">
        <v>0</v>
      </c>
      <c r="AN26" s="16"/>
      <c r="AO26" s="16">
        <v>0</v>
      </c>
      <c r="AP26" s="16"/>
      <c r="AQ26" s="16">
        <v>0</v>
      </c>
      <c r="AR26" s="16"/>
      <c r="AS26" s="8">
        <f t="shared" si="16"/>
        <v>875883</v>
      </c>
      <c r="AT26" s="8"/>
      <c r="AU26" s="16">
        <v>0</v>
      </c>
      <c r="AV26" s="16"/>
      <c r="AW26" s="16">
        <v>0</v>
      </c>
      <c r="AX26" s="16"/>
      <c r="AY26" s="16">
        <f t="shared" si="17"/>
        <v>2116430</v>
      </c>
      <c r="AZ26" s="16"/>
      <c r="BA26" s="6" t="s">
        <v>33</v>
      </c>
      <c r="BC26" s="6" t="s">
        <v>34</v>
      </c>
      <c r="BD26" s="16"/>
      <c r="BE26" s="16">
        <f>2232937+407570</f>
        <v>2640507</v>
      </c>
      <c r="BF26" s="16"/>
      <c r="BG26" s="16">
        <v>0</v>
      </c>
      <c r="BH26" s="16"/>
      <c r="BI26" s="16">
        <v>0</v>
      </c>
      <c r="BJ26" s="16"/>
      <c r="BK26" s="16">
        <f>293160+52953+18400+32267</f>
        <v>396780</v>
      </c>
      <c r="BL26" s="16"/>
      <c r="BM26" s="16">
        <f t="shared" si="18"/>
        <v>3037287</v>
      </c>
      <c r="BN26" s="17" t="s">
        <v>345</v>
      </c>
      <c r="BP26" s="18"/>
      <c r="BQ26" s="18"/>
      <c r="BR26" s="20"/>
      <c r="BS26" s="16"/>
      <c r="BT26" s="16"/>
      <c r="BU26" s="16"/>
      <c r="BV26" s="16"/>
      <c r="BW26" s="16"/>
      <c r="BX26" s="8"/>
      <c r="BY26" s="8"/>
      <c r="BZ26" s="16"/>
      <c r="CA26" s="16"/>
      <c r="CB26" s="16"/>
      <c r="CC26" s="16"/>
      <c r="CD26" s="16"/>
      <c r="CE26" s="16"/>
      <c r="CF26" s="6"/>
      <c r="CG26" s="18"/>
      <c r="CH26" s="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7"/>
    </row>
    <row r="27" spans="1:97" ht="12.75" customHeight="1" x14ac:dyDescent="0.2">
      <c r="A27" s="6" t="s">
        <v>35</v>
      </c>
      <c r="B27" s="20"/>
      <c r="C27" s="6" t="s">
        <v>36</v>
      </c>
      <c r="E27" s="16">
        <v>1634003</v>
      </c>
      <c r="F27" s="16"/>
      <c r="G27" s="16">
        <f>497038+12242345</f>
        <v>12739383</v>
      </c>
      <c r="H27" s="16"/>
      <c r="I27" s="16">
        <f>+E27+G27</f>
        <v>14373386</v>
      </c>
      <c r="J27" s="16"/>
      <c r="K27" s="16">
        <v>885099</v>
      </c>
      <c r="L27" s="16"/>
      <c r="M27" s="16">
        <v>5624743</v>
      </c>
      <c r="N27" s="16"/>
      <c r="O27" s="16">
        <f>+K27+M27</f>
        <v>6509842</v>
      </c>
      <c r="P27" s="16"/>
      <c r="Q27" s="16">
        <v>6499300</v>
      </c>
      <c r="R27" s="16"/>
      <c r="S27" s="16">
        <v>0</v>
      </c>
      <c r="T27" s="16"/>
      <c r="U27" s="16">
        <v>1364244</v>
      </c>
      <c r="V27" s="16"/>
      <c r="W27" s="16">
        <f>SUM(Q27:U27)</f>
        <v>7863544</v>
      </c>
      <c r="X27" s="20"/>
      <c r="Y27" s="6" t="s">
        <v>35</v>
      </c>
      <c r="Z27" s="16"/>
      <c r="AA27" s="6" t="s">
        <v>36</v>
      </c>
      <c r="AB27" s="20"/>
      <c r="AC27" s="16">
        <v>2538764</v>
      </c>
      <c r="AD27" s="16"/>
      <c r="AE27" s="16">
        <f>1630736-302006</f>
        <v>1328730</v>
      </c>
      <c r="AF27" s="16"/>
      <c r="AG27" s="16">
        <v>302006</v>
      </c>
      <c r="AH27" s="16"/>
      <c r="AI27" s="8">
        <f t="shared" si="6"/>
        <v>908028</v>
      </c>
      <c r="AJ27" s="8"/>
      <c r="AK27" s="16">
        <v>-162317</v>
      </c>
      <c r="AL27" s="8"/>
      <c r="AM27" s="16">
        <v>0</v>
      </c>
      <c r="AN27" s="16"/>
      <c r="AO27" s="16">
        <v>0</v>
      </c>
      <c r="AP27" s="16"/>
      <c r="AQ27" s="16">
        <v>0</v>
      </c>
      <c r="AR27" s="16"/>
      <c r="AS27" s="8">
        <f t="shared" si="16"/>
        <v>745711</v>
      </c>
      <c r="AT27" s="8"/>
      <c r="AU27" s="16">
        <v>0</v>
      </c>
      <c r="AV27" s="16"/>
      <c r="AW27" s="16">
        <v>0</v>
      </c>
      <c r="AX27" s="16"/>
      <c r="AY27" s="16">
        <f>+E27-K27</f>
        <v>748904</v>
      </c>
      <c r="AZ27" s="20"/>
      <c r="BA27" s="6" t="s">
        <v>35</v>
      </c>
      <c r="BB27" s="6"/>
      <c r="BC27" s="6" t="s">
        <v>36</v>
      </c>
      <c r="BD27" s="16"/>
      <c r="BE27" s="16">
        <v>0</v>
      </c>
      <c r="BF27" s="16"/>
      <c r="BG27" s="16">
        <v>0</v>
      </c>
      <c r="BH27" s="16"/>
      <c r="BI27" s="16">
        <f>5550761+689322</f>
        <v>6240083</v>
      </c>
      <c r="BJ27" s="16"/>
      <c r="BK27" s="16">
        <f>73982+22079</f>
        <v>96061</v>
      </c>
      <c r="BL27" s="16"/>
      <c r="BM27" s="16">
        <f t="shared" si="18"/>
        <v>6336144</v>
      </c>
      <c r="BN27" s="17" t="s">
        <v>345</v>
      </c>
      <c r="BP27" s="18"/>
      <c r="BQ27" s="18"/>
      <c r="BR27" s="20"/>
      <c r="BS27" s="16"/>
      <c r="BT27" s="16"/>
      <c r="BU27" s="16"/>
      <c r="BV27" s="16"/>
      <c r="BW27" s="16"/>
      <c r="BX27" s="8"/>
      <c r="BY27" s="8"/>
      <c r="BZ27" s="16"/>
      <c r="CA27" s="16"/>
      <c r="CB27" s="16"/>
      <c r="CC27" s="16"/>
      <c r="CD27" s="16"/>
      <c r="CE27" s="16"/>
      <c r="CF27" s="6"/>
      <c r="CG27" s="18"/>
      <c r="CH27" s="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7"/>
    </row>
    <row r="28" spans="1:97" s="6" customFormat="1" ht="12.75" customHeight="1" x14ac:dyDescent="0.2">
      <c r="A28" s="6" t="s">
        <v>37</v>
      </c>
      <c r="B28" s="20"/>
      <c r="C28" s="6" t="s">
        <v>38</v>
      </c>
      <c r="D28" s="7"/>
      <c r="E28" s="16">
        <v>532576</v>
      </c>
      <c r="F28" s="16"/>
      <c r="G28" s="16">
        <v>6859092</v>
      </c>
      <c r="H28" s="16"/>
      <c r="I28" s="16">
        <f>+E28+G28</f>
        <v>7391668</v>
      </c>
      <c r="J28" s="16"/>
      <c r="K28" s="16">
        <v>474452</v>
      </c>
      <c r="L28" s="16"/>
      <c r="M28" s="16">
        <v>1826485</v>
      </c>
      <c r="N28" s="16"/>
      <c r="O28" s="16">
        <f>+K28+M28</f>
        <v>2300937</v>
      </c>
      <c r="P28" s="16"/>
      <c r="Q28" s="16">
        <v>4618873</v>
      </c>
      <c r="R28" s="16"/>
      <c r="S28" s="16">
        <v>0</v>
      </c>
      <c r="T28" s="16"/>
      <c r="U28" s="16">
        <v>471858</v>
      </c>
      <c r="V28" s="16"/>
      <c r="W28" s="16">
        <f>SUM(Q28:U28)</f>
        <v>5090731</v>
      </c>
      <c r="X28" s="16"/>
      <c r="Y28" s="6" t="s">
        <v>37</v>
      </c>
      <c r="Z28" s="18"/>
      <c r="AA28" s="6" t="s">
        <v>38</v>
      </c>
      <c r="AC28" s="16">
        <v>1532060</v>
      </c>
      <c r="AD28" s="16"/>
      <c r="AE28" s="16">
        <f>1064201-190944</f>
        <v>873257</v>
      </c>
      <c r="AF28" s="16"/>
      <c r="AG28" s="16">
        <v>190944</v>
      </c>
      <c r="AH28" s="16"/>
      <c r="AI28" s="8">
        <f t="shared" si="6"/>
        <v>467859</v>
      </c>
      <c r="AJ28" s="8"/>
      <c r="AK28" s="16">
        <v>-146763</v>
      </c>
      <c r="AL28" s="8"/>
      <c r="AM28" s="16">
        <v>0</v>
      </c>
      <c r="AN28" s="16"/>
      <c r="AO28" s="16">
        <v>0</v>
      </c>
      <c r="AP28" s="16"/>
      <c r="AQ28" s="16">
        <v>0</v>
      </c>
      <c r="AR28" s="16"/>
      <c r="AS28" s="8">
        <f t="shared" si="16"/>
        <v>321096</v>
      </c>
      <c r="AT28" s="8"/>
      <c r="AU28" s="16">
        <v>0</v>
      </c>
      <c r="AV28" s="16"/>
      <c r="AW28" s="16">
        <v>0</v>
      </c>
      <c r="AX28" s="16"/>
      <c r="AY28" s="16">
        <f>+E28-K28</f>
        <v>58124</v>
      </c>
      <c r="AZ28" s="16"/>
      <c r="BA28" s="6" t="s">
        <v>37</v>
      </c>
      <c r="BB28" s="18"/>
      <c r="BC28" s="6" t="s">
        <v>38</v>
      </c>
      <c r="BD28" s="16"/>
      <c r="BE28" s="16">
        <v>0</v>
      </c>
      <c r="BF28" s="16"/>
      <c r="BG28" s="16">
        <v>0</v>
      </c>
      <c r="BH28" s="16"/>
      <c r="BI28" s="16">
        <f>118880+10080</f>
        <v>128960</v>
      </c>
      <c r="BJ28" s="16"/>
      <c r="BK28" s="16">
        <f>7083+1700522+410737</f>
        <v>2118342</v>
      </c>
      <c r="BL28" s="16"/>
      <c r="BM28" s="16">
        <f t="shared" si="18"/>
        <v>2247302</v>
      </c>
      <c r="BN28" s="17"/>
      <c r="BR28" s="18"/>
      <c r="BS28" s="18"/>
      <c r="BT28" s="30"/>
      <c r="BU28" s="18"/>
      <c r="BV28" s="18"/>
      <c r="BW28" s="18"/>
      <c r="BX28" s="18"/>
      <c r="BY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</row>
    <row r="29" spans="1:97" ht="12.75" customHeight="1" x14ac:dyDescent="0.2">
      <c r="A29" s="6" t="s">
        <v>39</v>
      </c>
      <c r="B29" s="20"/>
      <c r="C29" s="6" t="s">
        <v>25</v>
      </c>
      <c r="E29" s="16">
        <v>1418721</v>
      </c>
      <c r="F29" s="16"/>
      <c r="G29" s="16">
        <v>11762679</v>
      </c>
      <c r="H29" s="16"/>
      <c r="I29" s="16">
        <f>+E29+G29</f>
        <v>13181400</v>
      </c>
      <c r="J29" s="16"/>
      <c r="K29" s="16">
        <v>1094841</v>
      </c>
      <c r="L29" s="16"/>
      <c r="M29" s="16">
        <v>3739103</v>
      </c>
      <c r="N29" s="16"/>
      <c r="O29" s="16">
        <f>+K29+M29</f>
        <v>4833944</v>
      </c>
      <c r="P29" s="16"/>
      <c r="Q29" s="16">
        <v>7729022</v>
      </c>
      <c r="R29" s="16"/>
      <c r="S29" s="16">
        <v>0</v>
      </c>
      <c r="T29" s="16"/>
      <c r="U29" s="16">
        <v>618434</v>
      </c>
      <c r="V29" s="16"/>
      <c r="W29" s="16">
        <f t="shared" si="15"/>
        <v>8347456</v>
      </c>
      <c r="X29" s="16"/>
      <c r="Y29" s="6" t="s">
        <v>39</v>
      </c>
      <c r="AA29" s="6" t="s">
        <v>25</v>
      </c>
      <c r="AB29" s="6"/>
      <c r="AC29" s="16">
        <v>757833</v>
      </c>
      <c r="AD29" s="16"/>
      <c r="AE29" s="16">
        <f>788571-303046</f>
        <v>485525</v>
      </c>
      <c r="AF29" s="16"/>
      <c r="AG29" s="16">
        <v>303046</v>
      </c>
      <c r="AH29" s="16"/>
      <c r="AI29" s="8">
        <f t="shared" si="6"/>
        <v>-30738</v>
      </c>
      <c r="AJ29" s="8"/>
      <c r="AK29" s="16">
        <v>-134414</v>
      </c>
      <c r="AL29" s="8"/>
      <c r="AM29" s="16">
        <v>100000</v>
      </c>
      <c r="AN29" s="16"/>
      <c r="AO29" s="16">
        <v>0</v>
      </c>
      <c r="AP29" s="16"/>
      <c r="AQ29" s="16">
        <v>75000</v>
      </c>
      <c r="AR29" s="16"/>
      <c r="AS29" s="8">
        <f t="shared" si="16"/>
        <v>9848</v>
      </c>
      <c r="AT29" s="8"/>
      <c r="AU29" s="16">
        <v>0</v>
      </c>
      <c r="AV29" s="16"/>
      <c r="AW29" s="16">
        <v>0</v>
      </c>
      <c r="AX29" s="16"/>
      <c r="AY29" s="16">
        <f t="shared" si="17"/>
        <v>323880</v>
      </c>
      <c r="AZ29" s="16"/>
      <c r="BA29" s="6" t="s">
        <v>39</v>
      </c>
      <c r="BC29" s="6" t="s">
        <v>25</v>
      </c>
      <c r="BD29" s="16"/>
      <c r="BE29" s="16">
        <v>0</v>
      </c>
      <c r="BF29" s="16"/>
      <c r="BG29" s="16">
        <v>0</v>
      </c>
      <c r="BH29" s="16"/>
      <c r="BI29" s="16">
        <f>310456+801903+2625418+38807+54004+175063</f>
        <v>4005651</v>
      </c>
      <c r="BJ29" s="16"/>
      <c r="BK29" s="16">
        <f>1326+1326</f>
        <v>2652</v>
      </c>
      <c r="BL29" s="16"/>
      <c r="BM29" s="16">
        <f t="shared" si="18"/>
        <v>4008303</v>
      </c>
      <c r="BN29" s="17" t="s">
        <v>345</v>
      </c>
      <c r="BP29" s="18"/>
      <c r="BQ29" s="18"/>
      <c r="BR29" s="20"/>
      <c r="BS29" s="16"/>
      <c r="BT29" s="16"/>
      <c r="BU29" s="16"/>
      <c r="BV29" s="16"/>
      <c r="BW29" s="16"/>
      <c r="BX29" s="8"/>
      <c r="BY29" s="8"/>
      <c r="BZ29" s="16"/>
      <c r="CA29" s="16"/>
      <c r="CB29" s="16"/>
      <c r="CC29" s="16"/>
      <c r="CD29" s="16"/>
      <c r="CE29" s="16"/>
      <c r="CF29" s="6"/>
      <c r="CG29" s="18"/>
      <c r="CH29" s="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7"/>
    </row>
    <row r="30" spans="1:97" ht="12.75" customHeight="1" x14ac:dyDescent="0.2">
      <c r="A30" s="6" t="s">
        <v>40</v>
      </c>
      <c r="B30" s="20"/>
      <c r="C30" s="6" t="s">
        <v>41</v>
      </c>
      <c r="E30" s="16">
        <v>2700051</v>
      </c>
      <c r="F30" s="16"/>
      <c r="G30" s="16">
        <v>3152806</v>
      </c>
      <c r="H30" s="16"/>
      <c r="I30" s="16">
        <f>+E30+G30</f>
        <v>5852857</v>
      </c>
      <c r="J30" s="16"/>
      <c r="K30" s="16">
        <v>525088</v>
      </c>
      <c r="L30" s="16"/>
      <c r="M30" s="16">
        <v>995187</v>
      </c>
      <c r="N30" s="16"/>
      <c r="O30" s="16">
        <f>+K30+M30</f>
        <v>1520275</v>
      </c>
      <c r="P30" s="16"/>
      <c r="Q30" s="16">
        <v>2107381</v>
      </c>
      <c r="R30" s="16"/>
      <c r="S30" s="16">
        <v>0</v>
      </c>
      <c r="T30" s="16"/>
      <c r="U30" s="16">
        <v>2225201</v>
      </c>
      <c r="V30" s="16"/>
      <c r="W30" s="16">
        <f t="shared" si="15"/>
        <v>4332582</v>
      </c>
      <c r="X30" s="16"/>
      <c r="Y30" s="6" t="s">
        <v>40</v>
      </c>
      <c r="AA30" s="6" t="s">
        <v>41</v>
      </c>
      <c r="AB30" s="6"/>
      <c r="AC30" s="16">
        <v>2409660</v>
      </c>
      <c r="AD30" s="16"/>
      <c r="AE30" s="16">
        <f>2082530-101577</f>
        <v>1980953</v>
      </c>
      <c r="AF30" s="16"/>
      <c r="AG30" s="16">
        <v>101577</v>
      </c>
      <c r="AH30" s="16"/>
      <c r="AI30" s="8">
        <f t="shared" si="6"/>
        <v>327130</v>
      </c>
      <c r="AJ30" s="8"/>
      <c r="AK30" s="16">
        <v>-25822</v>
      </c>
      <c r="AL30" s="8"/>
      <c r="AM30" s="16">
        <v>0</v>
      </c>
      <c r="AN30" s="16"/>
      <c r="AO30" s="16">
        <v>0</v>
      </c>
      <c r="AP30" s="16"/>
      <c r="AQ30" s="16">
        <v>0</v>
      </c>
      <c r="AR30" s="16"/>
      <c r="AS30" s="8">
        <f t="shared" si="16"/>
        <v>301308</v>
      </c>
      <c r="AT30" s="8"/>
      <c r="AU30" s="16">
        <v>0</v>
      </c>
      <c r="AV30" s="16"/>
      <c r="AW30" s="16">
        <v>0</v>
      </c>
      <c r="AX30" s="16"/>
      <c r="AY30" s="16">
        <f t="shared" si="17"/>
        <v>2174963</v>
      </c>
      <c r="AZ30" s="16"/>
      <c r="BA30" s="6" t="s">
        <v>40</v>
      </c>
      <c r="BC30" s="6" t="s">
        <v>41</v>
      </c>
      <c r="BD30" s="16"/>
      <c r="BE30" s="16">
        <f>699000+38000</f>
        <v>737000</v>
      </c>
      <c r="BF30" s="16"/>
      <c r="BG30" s="16">
        <v>0</v>
      </c>
      <c r="BH30" s="16"/>
      <c r="BI30" s="16">
        <f>284700+23725</f>
        <v>308425</v>
      </c>
      <c r="BJ30" s="16"/>
      <c r="BK30" s="16">
        <f>11487+870</f>
        <v>12357</v>
      </c>
      <c r="BL30" s="16"/>
      <c r="BM30" s="16">
        <f t="shared" si="18"/>
        <v>1057782</v>
      </c>
      <c r="BN30" s="17" t="s">
        <v>345</v>
      </c>
      <c r="BP30" s="18"/>
      <c r="BQ30" s="18"/>
      <c r="BR30" s="20"/>
      <c r="BS30" s="16"/>
      <c r="BT30" s="16"/>
      <c r="BU30" s="16"/>
      <c r="BV30" s="16"/>
      <c r="BW30" s="16"/>
      <c r="BX30" s="8"/>
      <c r="BY30" s="8"/>
      <c r="BZ30" s="16"/>
      <c r="CA30" s="16"/>
      <c r="CB30" s="16"/>
      <c r="CC30" s="16"/>
      <c r="CD30" s="16"/>
      <c r="CE30" s="16"/>
      <c r="CF30" s="6"/>
      <c r="CG30" s="18"/>
      <c r="CH30" s="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7"/>
    </row>
    <row r="31" spans="1:97" ht="12.75" hidden="1" customHeight="1" x14ac:dyDescent="0.2">
      <c r="A31" s="6" t="s">
        <v>42</v>
      </c>
      <c r="B31" s="20"/>
      <c r="C31" s="6" t="s">
        <v>43</v>
      </c>
      <c r="E31" s="16">
        <f t="shared" si="14"/>
        <v>0</v>
      </c>
      <c r="F31" s="16"/>
      <c r="G31" s="16"/>
      <c r="H31" s="16"/>
      <c r="I31" s="16"/>
      <c r="J31" s="16"/>
      <c r="K31" s="16">
        <f t="shared" si="7"/>
        <v>0</v>
      </c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>
        <f t="shared" si="15"/>
        <v>0</v>
      </c>
      <c r="X31" s="16"/>
      <c r="Y31" s="6" t="s">
        <v>42</v>
      </c>
      <c r="AA31" s="6" t="s">
        <v>43</v>
      </c>
      <c r="AB31" s="6"/>
      <c r="AC31" s="16"/>
      <c r="AD31" s="16"/>
      <c r="AE31" s="16"/>
      <c r="AF31" s="16"/>
      <c r="AG31" s="16"/>
      <c r="AH31" s="16"/>
      <c r="AI31" s="8">
        <f t="shared" si="6"/>
        <v>0</v>
      </c>
      <c r="AJ31" s="8"/>
      <c r="AK31" s="16"/>
      <c r="AL31" s="8"/>
      <c r="AM31" s="16"/>
      <c r="AN31" s="16"/>
      <c r="AO31" s="16"/>
      <c r="AP31" s="16"/>
      <c r="AQ31" s="16"/>
      <c r="AR31" s="16"/>
      <c r="AS31" s="8">
        <f t="shared" si="16"/>
        <v>0</v>
      </c>
      <c r="AT31" s="8"/>
      <c r="AU31" s="16">
        <v>0</v>
      </c>
      <c r="AV31" s="16"/>
      <c r="AW31" s="16">
        <v>0</v>
      </c>
      <c r="AX31" s="16"/>
      <c r="AY31" s="16">
        <f t="shared" si="17"/>
        <v>0</v>
      </c>
      <c r="AZ31" s="16"/>
      <c r="BA31" s="6" t="s">
        <v>42</v>
      </c>
      <c r="BC31" s="6" t="s">
        <v>43</v>
      </c>
      <c r="BD31" s="16"/>
      <c r="BE31" s="16"/>
      <c r="BF31" s="16"/>
      <c r="BG31" s="16"/>
      <c r="BH31" s="16"/>
      <c r="BI31" s="16"/>
      <c r="BJ31" s="16"/>
      <c r="BK31" s="16"/>
      <c r="BL31" s="16"/>
      <c r="BM31" s="16">
        <f t="shared" si="18"/>
        <v>0</v>
      </c>
      <c r="BN31" s="17" t="s">
        <v>345</v>
      </c>
      <c r="BP31" s="18"/>
      <c r="BQ31" s="18"/>
      <c r="BR31" s="20"/>
      <c r="BS31" s="16"/>
      <c r="BT31" s="16"/>
      <c r="BU31" s="16"/>
      <c r="BV31" s="16"/>
      <c r="BW31" s="16"/>
      <c r="BX31" s="8"/>
      <c r="BY31" s="8"/>
      <c r="BZ31" s="16"/>
      <c r="CA31" s="16"/>
      <c r="CB31" s="16"/>
      <c r="CC31" s="16"/>
      <c r="CD31" s="16"/>
      <c r="CE31" s="16"/>
      <c r="CF31" s="6"/>
      <c r="CG31" s="18"/>
      <c r="CH31" s="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7"/>
    </row>
    <row r="32" spans="1:97" ht="12.75" customHeight="1" x14ac:dyDescent="0.2">
      <c r="A32" s="6" t="s">
        <v>44</v>
      </c>
      <c r="B32" s="20"/>
      <c r="C32" s="6" t="s">
        <v>45</v>
      </c>
      <c r="E32" s="16">
        <v>3230941</v>
      </c>
      <c r="F32" s="16"/>
      <c r="G32" s="16">
        <v>46787109</v>
      </c>
      <c r="H32" s="16"/>
      <c r="I32" s="16">
        <f>+E32+G32</f>
        <v>50018050</v>
      </c>
      <c r="J32" s="16"/>
      <c r="K32" s="16">
        <v>505966</v>
      </c>
      <c r="L32" s="16"/>
      <c r="M32" s="16">
        <v>2769218</v>
      </c>
      <c r="N32" s="16"/>
      <c r="O32" s="16">
        <f>+K32+M32</f>
        <v>3275184</v>
      </c>
      <c r="P32" s="16"/>
      <c r="Q32" s="16">
        <v>44111721</v>
      </c>
      <c r="R32" s="16"/>
      <c r="S32" s="16">
        <v>0</v>
      </c>
      <c r="T32" s="16"/>
      <c r="U32" s="16">
        <v>2735757</v>
      </c>
      <c r="V32" s="16"/>
      <c r="W32" s="16">
        <f t="shared" si="15"/>
        <v>46847478</v>
      </c>
      <c r="X32" s="16"/>
      <c r="Y32" s="6" t="s">
        <v>44</v>
      </c>
      <c r="AA32" s="6" t="s">
        <v>45</v>
      </c>
      <c r="AB32" s="6"/>
      <c r="AC32" s="16">
        <v>3878503</v>
      </c>
      <c r="AD32" s="16"/>
      <c r="AE32" s="16">
        <f>4611343-1412277</f>
        <v>3199066</v>
      </c>
      <c r="AF32" s="16"/>
      <c r="AG32" s="16">
        <v>1412277</v>
      </c>
      <c r="AH32" s="16"/>
      <c r="AI32" s="8">
        <f t="shared" si="6"/>
        <v>-732840</v>
      </c>
      <c r="AJ32" s="8"/>
      <c r="AK32" s="16">
        <v>58128</v>
      </c>
      <c r="AL32" s="8"/>
      <c r="AM32" s="16">
        <v>0</v>
      </c>
      <c r="AN32" s="16"/>
      <c r="AO32" s="16">
        <v>0</v>
      </c>
      <c r="AP32" s="16"/>
      <c r="AQ32" s="16">
        <v>1792678</v>
      </c>
      <c r="AR32" s="16"/>
      <c r="AS32" s="8">
        <f t="shared" si="16"/>
        <v>1117966</v>
      </c>
      <c r="AT32" s="8"/>
      <c r="AU32" s="16">
        <v>0</v>
      </c>
      <c r="AV32" s="16"/>
      <c r="AW32" s="16">
        <v>0</v>
      </c>
      <c r="AX32" s="16"/>
      <c r="AY32" s="16">
        <f t="shared" si="17"/>
        <v>2724975</v>
      </c>
      <c r="AZ32" s="16"/>
      <c r="BA32" s="6" t="s">
        <v>44</v>
      </c>
      <c r="BC32" s="6" t="s">
        <v>45</v>
      </c>
      <c r="BD32" s="16"/>
      <c r="BE32" s="16">
        <f>2560000+220000</f>
        <v>2780000</v>
      </c>
      <c r="BF32" s="16"/>
      <c r="BG32" s="16">
        <v>0</v>
      </c>
      <c r="BH32" s="16"/>
      <c r="BI32" s="16">
        <v>0</v>
      </c>
      <c r="BJ32" s="16"/>
      <c r="BK32" s="16">
        <f>209218+98327</f>
        <v>307545</v>
      </c>
      <c r="BL32" s="16"/>
      <c r="BM32" s="16">
        <f t="shared" si="18"/>
        <v>3087545</v>
      </c>
      <c r="BN32" s="17" t="s">
        <v>345</v>
      </c>
      <c r="BP32" s="18"/>
      <c r="BQ32" s="18"/>
      <c r="BR32" s="20"/>
      <c r="BS32" s="16"/>
      <c r="BT32" s="16"/>
      <c r="BU32" s="16"/>
      <c r="BV32" s="16"/>
      <c r="BW32" s="16"/>
      <c r="BX32" s="8"/>
      <c r="BY32" s="8"/>
      <c r="BZ32" s="16"/>
      <c r="CA32" s="16"/>
      <c r="CB32" s="16"/>
      <c r="CC32" s="16"/>
      <c r="CD32" s="16"/>
      <c r="CE32" s="16"/>
      <c r="CF32" s="6"/>
      <c r="CG32" s="18"/>
      <c r="CH32" s="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7"/>
    </row>
    <row r="33" spans="1:97" ht="12.75" hidden="1" customHeight="1" x14ac:dyDescent="0.2">
      <c r="A33" s="6" t="s">
        <v>46</v>
      </c>
      <c r="B33" s="20"/>
      <c r="C33" s="6" t="s">
        <v>25</v>
      </c>
      <c r="E33" s="16">
        <f t="shared" si="14"/>
        <v>0</v>
      </c>
      <c r="F33" s="16"/>
      <c r="G33" s="16"/>
      <c r="H33" s="16"/>
      <c r="I33" s="16"/>
      <c r="J33" s="16"/>
      <c r="K33" s="16">
        <f t="shared" si="7"/>
        <v>0</v>
      </c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>
        <f t="shared" si="15"/>
        <v>0</v>
      </c>
      <c r="X33" s="16"/>
      <c r="Y33" s="6" t="s">
        <v>46</v>
      </c>
      <c r="AA33" s="6" t="s">
        <v>25</v>
      </c>
      <c r="AB33" s="6"/>
      <c r="AC33" s="16"/>
      <c r="AD33" s="16"/>
      <c r="AE33" s="16"/>
      <c r="AF33" s="16"/>
      <c r="AG33" s="16"/>
      <c r="AH33" s="16"/>
      <c r="AI33" s="8">
        <f t="shared" si="6"/>
        <v>0</v>
      </c>
      <c r="AJ33" s="8"/>
      <c r="AK33" s="16"/>
      <c r="AL33" s="8"/>
      <c r="AM33" s="16"/>
      <c r="AN33" s="16"/>
      <c r="AO33" s="16"/>
      <c r="AP33" s="16"/>
      <c r="AQ33" s="16"/>
      <c r="AR33" s="16"/>
      <c r="AS33" s="8">
        <f t="shared" si="16"/>
        <v>0</v>
      </c>
      <c r="AT33" s="8"/>
      <c r="AU33" s="16">
        <v>0</v>
      </c>
      <c r="AV33" s="16"/>
      <c r="AW33" s="16">
        <v>0</v>
      </c>
      <c r="AX33" s="16"/>
      <c r="AY33" s="16">
        <f t="shared" si="17"/>
        <v>0</v>
      </c>
      <c r="AZ33" s="16"/>
      <c r="BA33" s="6" t="s">
        <v>46</v>
      </c>
      <c r="BC33" s="6" t="s">
        <v>25</v>
      </c>
      <c r="BD33" s="16"/>
      <c r="BE33" s="16"/>
      <c r="BF33" s="16"/>
      <c r="BG33" s="16"/>
      <c r="BH33" s="16"/>
      <c r="BI33" s="16"/>
      <c r="BJ33" s="16"/>
      <c r="BK33" s="16"/>
      <c r="BL33" s="16"/>
      <c r="BM33" s="16">
        <f t="shared" si="18"/>
        <v>0</v>
      </c>
      <c r="BN33" s="17" t="s">
        <v>345</v>
      </c>
      <c r="BP33" s="18"/>
      <c r="BQ33" s="18"/>
      <c r="BR33" s="20"/>
      <c r="BS33" s="16"/>
      <c r="BT33" s="16"/>
      <c r="BU33" s="16"/>
      <c r="BV33" s="16"/>
      <c r="BW33" s="16"/>
      <c r="BX33" s="8"/>
      <c r="BY33" s="8"/>
      <c r="BZ33" s="16"/>
      <c r="CA33" s="16"/>
      <c r="CB33" s="16"/>
      <c r="CC33" s="16"/>
      <c r="CD33" s="16"/>
      <c r="CE33" s="16"/>
      <c r="CF33" s="6"/>
      <c r="CG33" s="18"/>
      <c r="CH33" s="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7"/>
    </row>
    <row r="34" spans="1:97" ht="12.75" customHeight="1" x14ac:dyDescent="0.2">
      <c r="A34" s="6" t="s">
        <v>47</v>
      </c>
      <c r="B34" s="20"/>
      <c r="C34" s="6" t="s">
        <v>25</v>
      </c>
      <c r="E34" s="16">
        <v>997054</v>
      </c>
      <c r="F34" s="16"/>
      <c r="G34" s="16">
        <v>2921823</v>
      </c>
      <c r="H34" s="16"/>
      <c r="I34" s="16">
        <f>+E34+G34</f>
        <v>3918877</v>
      </c>
      <c r="J34" s="16"/>
      <c r="K34" s="16">
        <v>141845</v>
      </c>
      <c r="L34" s="16"/>
      <c r="M34" s="16">
        <v>16623</v>
      </c>
      <c r="N34" s="16"/>
      <c r="O34" s="16">
        <f>+K34+M34</f>
        <v>158468</v>
      </c>
      <c r="P34" s="16"/>
      <c r="Q34" s="16">
        <v>2921823</v>
      </c>
      <c r="R34" s="16"/>
      <c r="S34" s="16">
        <v>0</v>
      </c>
      <c r="T34" s="16"/>
      <c r="U34" s="16">
        <v>838586</v>
      </c>
      <c r="V34" s="16"/>
      <c r="W34" s="16">
        <f t="shared" si="15"/>
        <v>3760409</v>
      </c>
      <c r="X34" s="16"/>
      <c r="Y34" s="6" t="s">
        <v>47</v>
      </c>
      <c r="AA34" s="6" t="s">
        <v>25</v>
      </c>
      <c r="AB34" s="6"/>
      <c r="AC34" s="16">
        <v>1300467</v>
      </c>
      <c r="AD34" s="16"/>
      <c r="AE34" s="16">
        <f>1868010-460933</f>
        <v>1407077</v>
      </c>
      <c r="AF34" s="16"/>
      <c r="AG34" s="16">
        <v>460933</v>
      </c>
      <c r="AH34" s="16"/>
      <c r="AI34" s="8">
        <f t="shared" si="6"/>
        <v>-567543</v>
      </c>
      <c r="AJ34" s="8"/>
      <c r="AK34" s="16">
        <v>656</v>
      </c>
      <c r="AL34" s="8"/>
      <c r="AM34" s="16">
        <v>0</v>
      </c>
      <c r="AN34" s="16"/>
      <c r="AO34" s="16">
        <v>0</v>
      </c>
      <c r="AP34" s="16"/>
      <c r="AQ34" s="16">
        <v>256128</v>
      </c>
      <c r="AR34" s="16"/>
      <c r="AS34" s="8">
        <f t="shared" si="16"/>
        <v>-310759</v>
      </c>
      <c r="AT34" s="8"/>
      <c r="AU34" s="16">
        <v>0</v>
      </c>
      <c r="AV34" s="16"/>
      <c r="AW34" s="16">
        <v>0</v>
      </c>
      <c r="AX34" s="16"/>
      <c r="AY34" s="16">
        <f t="shared" si="17"/>
        <v>855209</v>
      </c>
      <c r="AZ34" s="16"/>
      <c r="BA34" s="6" t="s">
        <v>47</v>
      </c>
      <c r="BC34" s="6" t="s">
        <v>25</v>
      </c>
      <c r="BD34" s="16"/>
      <c r="BE34" s="16">
        <v>0</v>
      </c>
      <c r="BF34" s="16"/>
      <c r="BG34" s="16">
        <v>0</v>
      </c>
      <c r="BH34" s="16"/>
      <c r="BI34" s="16">
        <v>0</v>
      </c>
      <c r="BJ34" s="16"/>
      <c r="BK34" s="16">
        <f>16623+5906</f>
        <v>22529</v>
      </c>
      <c r="BL34" s="16"/>
      <c r="BM34" s="16">
        <f t="shared" si="18"/>
        <v>22529</v>
      </c>
      <c r="BN34" s="17" t="s">
        <v>345</v>
      </c>
      <c r="BP34" s="18"/>
      <c r="BQ34" s="18"/>
      <c r="BR34" s="20"/>
      <c r="BS34" s="16"/>
      <c r="BT34" s="16"/>
      <c r="BU34" s="16"/>
      <c r="BV34" s="16"/>
      <c r="BW34" s="16"/>
      <c r="BX34" s="8"/>
      <c r="BY34" s="8"/>
      <c r="BZ34" s="16"/>
      <c r="CA34" s="16"/>
      <c r="CB34" s="16"/>
      <c r="CC34" s="16"/>
      <c r="CD34" s="16"/>
      <c r="CE34" s="16"/>
      <c r="CF34" s="6"/>
      <c r="CG34" s="18"/>
      <c r="CH34" s="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7"/>
    </row>
    <row r="35" spans="1:97" ht="12.75" hidden="1" customHeight="1" x14ac:dyDescent="0.2">
      <c r="A35" s="6" t="s">
        <v>48</v>
      </c>
      <c r="B35" s="20"/>
      <c r="C35" s="6" t="s">
        <v>25</v>
      </c>
      <c r="E35" s="16">
        <f t="shared" si="14"/>
        <v>0</v>
      </c>
      <c r="F35" s="16"/>
      <c r="G35" s="16"/>
      <c r="H35" s="16"/>
      <c r="I35" s="16"/>
      <c r="J35" s="16"/>
      <c r="K35" s="16">
        <f t="shared" si="7"/>
        <v>0</v>
      </c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>
        <f t="shared" si="15"/>
        <v>0</v>
      </c>
      <c r="X35" s="16"/>
      <c r="Y35" s="6" t="s">
        <v>48</v>
      </c>
      <c r="AA35" s="6" t="s">
        <v>25</v>
      </c>
      <c r="AB35" s="6"/>
      <c r="AC35" s="16"/>
      <c r="AD35" s="16"/>
      <c r="AE35" s="16"/>
      <c r="AF35" s="16"/>
      <c r="AG35" s="16"/>
      <c r="AH35" s="16"/>
      <c r="AI35" s="8">
        <f t="shared" si="6"/>
        <v>0</v>
      </c>
      <c r="AJ35" s="8"/>
      <c r="AK35" s="16"/>
      <c r="AL35" s="8"/>
      <c r="AM35" s="16"/>
      <c r="AN35" s="16"/>
      <c r="AO35" s="16"/>
      <c r="AP35" s="16"/>
      <c r="AQ35" s="16"/>
      <c r="AR35" s="16"/>
      <c r="AS35" s="8">
        <f t="shared" si="16"/>
        <v>0</v>
      </c>
      <c r="AT35" s="8"/>
      <c r="AU35" s="16">
        <v>0</v>
      </c>
      <c r="AV35" s="16"/>
      <c r="AW35" s="16">
        <v>0</v>
      </c>
      <c r="AX35" s="16"/>
      <c r="AY35" s="16">
        <f t="shared" si="17"/>
        <v>0</v>
      </c>
      <c r="AZ35" s="16"/>
      <c r="BA35" s="6" t="s">
        <v>48</v>
      </c>
      <c r="BC35" s="6" t="s">
        <v>25</v>
      </c>
      <c r="BD35" s="16"/>
      <c r="BE35" s="16"/>
      <c r="BF35" s="16"/>
      <c r="BG35" s="16"/>
      <c r="BH35" s="16"/>
      <c r="BI35" s="16"/>
      <c r="BJ35" s="16"/>
      <c r="BK35" s="16"/>
      <c r="BL35" s="16"/>
      <c r="BM35" s="16">
        <f t="shared" si="18"/>
        <v>0</v>
      </c>
      <c r="BN35" s="17" t="s">
        <v>345</v>
      </c>
      <c r="BP35" s="18"/>
      <c r="BQ35" s="18"/>
      <c r="BR35" s="20"/>
      <c r="BS35" s="16"/>
      <c r="BT35" s="16"/>
      <c r="BU35" s="16"/>
      <c r="BV35" s="16"/>
      <c r="BW35" s="16"/>
      <c r="BX35" s="8"/>
      <c r="BY35" s="8"/>
      <c r="BZ35" s="16"/>
      <c r="CA35" s="16"/>
      <c r="CB35" s="16"/>
      <c r="CC35" s="16"/>
      <c r="CD35" s="16"/>
      <c r="CE35" s="16"/>
      <c r="CF35" s="6"/>
      <c r="CG35" s="18"/>
      <c r="CH35" s="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7"/>
    </row>
    <row r="36" spans="1:97" ht="12.75" hidden="1" customHeight="1" x14ac:dyDescent="0.2">
      <c r="A36" s="6" t="s">
        <v>49</v>
      </c>
      <c r="B36" s="20"/>
      <c r="C36" s="6" t="s">
        <v>25</v>
      </c>
      <c r="E36" s="16">
        <f t="shared" si="14"/>
        <v>0</v>
      </c>
      <c r="F36" s="16"/>
      <c r="G36" s="16"/>
      <c r="H36" s="16"/>
      <c r="I36" s="16"/>
      <c r="J36" s="16"/>
      <c r="K36" s="16">
        <f t="shared" si="7"/>
        <v>0</v>
      </c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>
        <f t="shared" si="15"/>
        <v>0</v>
      </c>
      <c r="X36" s="16"/>
      <c r="Y36" s="6" t="s">
        <v>49</v>
      </c>
      <c r="AA36" s="6" t="s">
        <v>25</v>
      </c>
      <c r="AB36" s="6"/>
      <c r="AC36" s="16"/>
      <c r="AD36" s="16"/>
      <c r="AE36" s="16"/>
      <c r="AF36" s="16"/>
      <c r="AG36" s="16"/>
      <c r="AH36" s="16"/>
      <c r="AI36" s="8">
        <f t="shared" si="6"/>
        <v>0</v>
      </c>
      <c r="AJ36" s="8"/>
      <c r="AK36" s="16"/>
      <c r="AL36" s="8"/>
      <c r="AM36" s="16"/>
      <c r="AN36" s="16"/>
      <c r="AO36" s="16"/>
      <c r="AP36" s="16"/>
      <c r="AQ36" s="16"/>
      <c r="AR36" s="16"/>
      <c r="AS36" s="8">
        <f t="shared" si="16"/>
        <v>0</v>
      </c>
      <c r="AT36" s="8"/>
      <c r="AU36" s="16">
        <v>0</v>
      </c>
      <c r="AV36" s="16"/>
      <c r="AW36" s="16">
        <v>0</v>
      </c>
      <c r="AX36" s="16"/>
      <c r="AY36" s="16">
        <f t="shared" si="17"/>
        <v>0</v>
      </c>
      <c r="AZ36" s="16"/>
      <c r="BA36" s="6" t="s">
        <v>49</v>
      </c>
      <c r="BC36" s="6" t="s">
        <v>25</v>
      </c>
      <c r="BD36" s="16"/>
      <c r="BE36" s="16"/>
      <c r="BF36" s="16"/>
      <c r="BG36" s="16"/>
      <c r="BH36" s="16"/>
      <c r="BI36" s="16"/>
      <c r="BJ36" s="16"/>
      <c r="BK36" s="16"/>
      <c r="BL36" s="16"/>
      <c r="BM36" s="16">
        <f t="shared" si="18"/>
        <v>0</v>
      </c>
      <c r="BN36" s="17" t="s">
        <v>345</v>
      </c>
      <c r="BO36" s="18" t="s">
        <v>402</v>
      </c>
      <c r="BP36" s="18"/>
      <c r="BQ36" s="18"/>
      <c r="BR36" s="20"/>
      <c r="BS36" s="16"/>
      <c r="BT36" s="16"/>
      <c r="BU36" s="16"/>
      <c r="BV36" s="16"/>
      <c r="BW36" s="16"/>
      <c r="BX36" s="8"/>
      <c r="BY36" s="8"/>
      <c r="BZ36" s="16"/>
      <c r="CA36" s="16"/>
      <c r="CB36" s="16"/>
      <c r="CC36" s="16"/>
      <c r="CD36" s="16"/>
      <c r="CE36" s="16"/>
      <c r="CF36" s="6"/>
      <c r="CG36" s="18"/>
      <c r="CH36" s="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7"/>
    </row>
    <row r="37" spans="1:97" ht="12.75" customHeight="1" x14ac:dyDescent="0.2">
      <c r="A37" s="6" t="s">
        <v>458</v>
      </c>
      <c r="B37" s="20"/>
      <c r="C37" s="6" t="s">
        <v>64</v>
      </c>
      <c r="E37" s="16">
        <v>385932</v>
      </c>
      <c r="F37" s="16"/>
      <c r="G37" s="16">
        <v>2315947</v>
      </c>
      <c r="H37" s="16"/>
      <c r="I37" s="16">
        <f>+E37+G37</f>
        <v>2701879</v>
      </c>
      <c r="J37" s="16"/>
      <c r="K37" s="16">
        <v>61335</v>
      </c>
      <c r="L37" s="16"/>
      <c r="M37" s="16">
        <v>195536</v>
      </c>
      <c r="N37" s="16"/>
      <c r="O37" s="16">
        <f>+K37+M37</f>
        <v>256871</v>
      </c>
      <c r="P37" s="16"/>
      <c r="Q37" s="16">
        <v>2081131</v>
      </c>
      <c r="R37" s="16"/>
      <c r="S37" s="16">
        <v>0</v>
      </c>
      <c r="T37" s="16"/>
      <c r="U37" s="16">
        <v>363877</v>
      </c>
      <c r="V37" s="16"/>
      <c r="W37" s="16">
        <f t="shared" si="15"/>
        <v>2445008</v>
      </c>
      <c r="X37" s="16"/>
      <c r="Y37" s="6" t="s">
        <v>458</v>
      </c>
      <c r="AA37" s="6" t="s">
        <v>64</v>
      </c>
      <c r="AB37" s="6"/>
      <c r="AC37" s="16">
        <v>517809</v>
      </c>
      <c r="AD37" s="16"/>
      <c r="AE37" s="16">
        <f>695075-359801</f>
        <v>335274</v>
      </c>
      <c r="AF37" s="16"/>
      <c r="AG37" s="16">
        <v>359801</v>
      </c>
      <c r="AH37" s="16"/>
      <c r="AI37" s="8">
        <f t="shared" si="6"/>
        <v>-177266</v>
      </c>
      <c r="AJ37" s="8"/>
      <c r="AK37" s="16">
        <v>0</v>
      </c>
      <c r="AL37" s="8"/>
      <c r="AM37" s="16">
        <v>0</v>
      </c>
      <c r="AN37" s="16"/>
      <c r="AO37" s="16">
        <v>0</v>
      </c>
      <c r="AP37" s="16"/>
      <c r="AQ37" s="16">
        <v>0</v>
      </c>
      <c r="AR37" s="16"/>
      <c r="AS37" s="8">
        <f t="shared" si="16"/>
        <v>-177266</v>
      </c>
      <c r="AT37" s="8"/>
      <c r="AU37" s="16">
        <v>0</v>
      </c>
      <c r="AV37" s="16"/>
      <c r="AW37" s="16">
        <v>0</v>
      </c>
      <c r="AX37" s="16"/>
      <c r="AY37" s="16">
        <f t="shared" si="17"/>
        <v>324597</v>
      </c>
      <c r="AZ37" s="16"/>
      <c r="BA37" s="6" t="s">
        <v>458</v>
      </c>
      <c r="BC37" s="6" t="s">
        <v>64</v>
      </c>
      <c r="BD37" s="16"/>
      <c r="BE37" s="16">
        <v>0</v>
      </c>
      <c r="BF37" s="16"/>
      <c r="BG37" s="16">
        <v>0</v>
      </c>
      <c r="BH37" s="16"/>
      <c r="BI37" s="16">
        <f>192123+42693</f>
        <v>234816</v>
      </c>
      <c r="BJ37" s="16"/>
      <c r="BK37" s="16">
        <f>3413+7755</f>
        <v>11168</v>
      </c>
      <c r="BL37" s="16"/>
      <c r="BM37" s="16">
        <f t="shared" si="18"/>
        <v>245984</v>
      </c>
      <c r="BN37" s="16">
        <f>SUM(BF37:BL37)</f>
        <v>245984</v>
      </c>
      <c r="BP37" s="18"/>
      <c r="BQ37" s="18"/>
      <c r="BR37" s="20"/>
      <c r="BS37" s="16"/>
      <c r="BT37" s="16"/>
      <c r="BU37" s="16"/>
      <c r="BV37" s="16"/>
      <c r="BW37" s="16"/>
      <c r="BX37" s="8"/>
      <c r="BY37" s="8"/>
      <c r="BZ37" s="16"/>
      <c r="CA37" s="16"/>
      <c r="CB37" s="16"/>
      <c r="CC37" s="16"/>
      <c r="CD37" s="16"/>
      <c r="CE37" s="16"/>
      <c r="CF37" s="6"/>
      <c r="CG37" s="18"/>
      <c r="CH37" s="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7"/>
    </row>
    <row r="38" spans="1:97" ht="12.75" hidden="1" customHeight="1" x14ac:dyDescent="0.2">
      <c r="A38" s="6" t="s">
        <v>50</v>
      </c>
      <c r="B38" s="20"/>
      <c r="C38" s="6" t="s">
        <v>51</v>
      </c>
      <c r="E38" s="16">
        <f t="shared" si="14"/>
        <v>0</v>
      </c>
      <c r="F38" s="16"/>
      <c r="G38" s="16"/>
      <c r="H38" s="16"/>
      <c r="I38" s="16"/>
      <c r="J38" s="16"/>
      <c r="K38" s="16">
        <f t="shared" si="7"/>
        <v>0</v>
      </c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>
        <f t="shared" si="15"/>
        <v>0</v>
      </c>
      <c r="X38" s="16"/>
      <c r="Y38" s="6" t="s">
        <v>50</v>
      </c>
      <c r="AA38" s="6" t="s">
        <v>51</v>
      </c>
      <c r="AB38" s="6"/>
      <c r="AC38" s="16"/>
      <c r="AD38" s="16"/>
      <c r="AE38" s="16"/>
      <c r="AF38" s="16"/>
      <c r="AG38" s="16"/>
      <c r="AH38" s="16"/>
      <c r="AI38" s="8">
        <f t="shared" si="6"/>
        <v>0</v>
      </c>
      <c r="AJ38" s="8"/>
      <c r="AK38" s="16"/>
      <c r="AL38" s="8"/>
      <c r="AM38" s="16"/>
      <c r="AN38" s="16"/>
      <c r="AO38" s="16"/>
      <c r="AP38" s="16"/>
      <c r="AQ38" s="16"/>
      <c r="AR38" s="16"/>
      <c r="AS38" s="8">
        <f t="shared" si="16"/>
        <v>0</v>
      </c>
      <c r="AT38" s="8"/>
      <c r="AU38" s="16">
        <v>0</v>
      </c>
      <c r="AV38" s="16"/>
      <c r="AW38" s="16">
        <v>0</v>
      </c>
      <c r="AX38" s="16"/>
      <c r="AY38" s="16">
        <f t="shared" si="17"/>
        <v>0</v>
      </c>
      <c r="AZ38" s="16"/>
      <c r="BA38" s="6" t="s">
        <v>50</v>
      </c>
      <c r="BC38" s="6" t="s">
        <v>51</v>
      </c>
      <c r="BD38" s="16"/>
      <c r="BE38" s="16"/>
      <c r="BF38" s="16"/>
      <c r="BG38" s="16"/>
      <c r="BH38" s="16"/>
      <c r="BI38" s="16"/>
      <c r="BJ38" s="16"/>
      <c r="BK38" s="16"/>
      <c r="BL38" s="16"/>
      <c r="BM38" s="16">
        <f t="shared" si="18"/>
        <v>0</v>
      </c>
      <c r="BN38" s="17" t="s">
        <v>345</v>
      </c>
      <c r="BP38" s="18"/>
      <c r="BQ38" s="18"/>
      <c r="BR38" s="20"/>
      <c r="BS38" s="16"/>
      <c r="BT38" s="16"/>
      <c r="BU38" s="16"/>
      <c r="BV38" s="16"/>
      <c r="BW38" s="16"/>
      <c r="BX38" s="8"/>
      <c r="BY38" s="8"/>
      <c r="BZ38" s="16"/>
      <c r="CA38" s="16"/>
      <c r="CB38" s="16"/>
      <c r="CC38" s="16"/>
      <c r="CD38" s="16"/>
      <c r="CE38" s="16"/>
      <c r="CF38" s="6"/>
      <c r="CG38" s="18"/>
      <c r="CH38" s="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7"/>
    </row>
    <row r="39" spans="1:97" ht="12.75" customHeight="1" x14ac:dyDescent="0.2">
      <c r="A39" s="6" t="s">
        <v>52</v>
      </c>
      <c r="B39" s="20"/>
      <c r="C39" s="6" t="s">
        <v>53</v>
      </c>
      <c r="E39" s="16">
        <v>1024618</v>
      </c>
      <c r="F39" s="16"/>
      <c r="G39" s="16">
        <v>13936968</v>
      </c>
      <c r="H39" s="16"/>
      <c r="I39" s="16">
        <f t="shared" ref="I39:I44" si="19">+E39+G39</f>
        <v>14961586</v>
      </c>
      <c r="J39" s="16"/>
      <c r="K39" s="16">
        <v>212196</v>
      </c>
      <c r="L39" s="16"/>
      <c r="M39" s="16">
        <v>670048</v>
      </c>
      <c r="N39" s="16"/>
      <c r="O39" s="16">
        <f t="shared" ref="O39:O44" si="20">+K39+M39</f>
        <v>882244</v>
      </c>
      <c r="P39" s="16"/>
      <c r="Q39" s="16">
        <v>13213482</v>
      </c>
      <c r="R39" s="16"/>
      <c r="S39" s="16">
        <v>0</v>
      </c>
      <c r="T39" s="16"/>
      <c r="U39" s="16">
        <v>865860</v>
      </c>
      <c r="V39" s="16"/>
      <c r="W39" s="16">
        <f t="shared" si="15"/>
        <v>14079342</v>
      </c>
      <c r="X39" s="16"/>
      <c r="Y39" s="6" t="s">
        <v>52</v>
      </c>
      <c r="AA39" s="6" t="s">
        <v>53</v>
      </c>
      <c r="AB39" s="6"/>
      <c r="AC39" s="16">
        <v>1050775</v>
      </c>
      <c r="AD39" s="16"/>
      <c r="AE39" s="16">
        <f>1312038-550642</f>
        <v>761396</v>
      </c>
      <c r="AF39" s="16"/>
      <c r="AG39" s="16">
        <v>550642</v>
      </c>
      <c r="AH39" s="16"/>
      <c r="AI39" s="8">
        <f t="shared" si="6"/>
        <v>-261263</v>
      </c>
      <c r="AJ39" s="8"/>
      <c r="AK39" s="16">
        <v>-61172</v>
      </c>
      <c r="AL39" s="8"/>
      <c r="AM39" s="16">
        <v>565113</v>
      </c>
      <c r="AN39" s="16"/>
      <c r="AO39" s="16">
        <v>0</v>
      </c>
      <c r="AP39" s="16"/>
      <c r="AQ39" s="16">
        <v>759719</v>
      </c>
      <c r="AR39" s="16"/>
      <c r="AS39" s="8">
        <f t="shared" si="16"/>
        <v>1002397</v>
      </c>
      <c r="AT39" s="8"/>
      <c r="AU39" s="16">
        <v>0</v>
      </c>
      <c r="AV39" s="16"/>
      <c r="AW39" s="16">
        <v>0</v>
      </c>
      <c r="AX39" s="16"/>
      <c r="AY39" s="16">
        <f t="shared" si="17"/>
        <v>812422</v>
      </c>
      <c r="AZ39" s="16"/>
      <c r="BA39" s="6" t="s">
        <v>52</v>
      </c>
      <c r="BC39" s="6" t="s">
        <v>53</v>
      </c>
      <c r="BD39" s="16"/>
      <c r="BE39" s="16">
        <v>0</v>
      </c>
      <c r="BF39" s="16"/>
      <c r="BG39" s="16">
        <v>0</v>
      </c>
      <c r="BH39" s="16"/>
      <c r="BI39" s="16">
        <f>600105+123381</f>
        <v>723486</v>
      </c>
      <c r="BJ39" s="16"/>
      <c r="BK39" s="16">
        <f>69943+25664</f>
        <v>95607</v>
      </c>
      <c r="BL39" s="16"/>
      <c r="BM39" s="16">
        <f t="shared" si="18"/>
        <v>819093</v>
      </c>
      <c r="BN39" s="17" t="s">
        <v>345</v>
      </c>
      <c r="BP39" s="18"/>
      <c r="BQ39" s="18"/>
      <c r="BR39" s="20"/>
      <c r="BS39" s="16"/>
      <c r="BT39" s="16"/>
      <c r="BU39" s="16"/>
      <c r="BV39" s="16"/>
      <c r="BW39" s="16"/>
      <c r="BX39" s="8"/>
      <c r="BY39" s="8"/>
      <c r="BZ39" s="16"/>
      <c r="CA39" s="16"/>
      <c r="CB39" s="16"/>
      <c r="CC39" s="16"/>
      <c r="CD39" s="16"/>
      <c r="CE39" s="16"/>
      <c r="CF39" s="6"/>
      <c r="CG39" s="18"/>
      <c r="CH39" s="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7"/>
    </row>
    <row r="40" spans="1:97" ht="12.75" customHeight="1" x14ac:dyDescent="0.2">
      <c r="A40" s="6" t="s">
        <v>54</v>
      </c>
      <c r="B40" s="20"/>
      <c r="C40" s="6" t="s">
        <v>55</v>
      </c>
      <c r="E40" s="16">
        <v>785626</v>
      </c>
      <c r="F40" s="16"/>
      <c r="G40" s="16">
        <v>4584635</v>
      </c>
      <c r="H40" s="16"/>
      <c r="I40" s="16">
        <f t="shared" si="19"/>
        <v>5370261</v>
      </c>
      <c r="J40" s="16"/>
      <c r="K40" s="16">
        <v>495075</v>
      </c>
      <c r="L40" s="16"/>
      <c r="M40" s="16">
        <v>2593496</v>
      </c>
      <c r="N40" s="16"/>
      <c r="O40" s="16">
        <f t="shared" si="20"/>
        <v>3088571</v>
      </c>
      <c r="P40" s="16"/>
      <c r="Q40" s="16">
        <v>1712241</v>
      </c>
      <c r="R40" s="16"/>
      <c r="S40" s="16">
        <v>0</v>
      </c>
      <c r="T40" s="16"/>
      <c r="U40" s="16">
        <v>569449</v>
      </c>
      <c r="V40" s="16"/>
      <c r="W40" s="16">
        <f t="shared" si="15"/>
        <v>2281690</v>
      </c>
      <c r="X40" s="16"/>
      <c r="Y40" s="6" t="s">
        <v>54</v>
      </c>
      <c r="AA40" s="6" t="s">
        <v>55</v>
      </c>
      <c r="AB40" s="6"/>
      <c r="AC40" s="16">
        <v>1876963</v>
      </c>
      <c r="AD40" s="16"/>
      <c r="AE40" s="16">
        <f>1438132-402162</f>
        <v>1035970</v>
      </c>
      <c r="AF40" s="16"/>
      <c r="AG40" s="16">
        <v>402162</v>
      </c>
      <c r="AH40" s="16"/>
      <c r="AI40" s="8">
        <f t="shared" si="6"/>
        <v>438831</v>
      </c>
      <c r="AJ40" s="8"/>
      <c r="AK40" s="16">
        <v>-223969</v>
      </c>
      <c r="AL40" s="8"/>
      <c r="AM40" s="16">
        <v>0</v>
      </c>
      <c r="AN40" s="16"/>
      <c r="AO40" s="16">
        <v>0</v>
      </c>
      <c r="AP40" s="16"/>
      <c r="AQ40" s="16">
        <v>0</v>
      </c>
      <c r="AR40" s="16"/>
      <c r="AS40" s="8">
        <f t="shared" si="16"/>
        <v>214862</v>
      </c>
      <c r="AT40" s="8"/>
      <c r="AU40" s="16">
        <v>0</v>
      </c>
      <c r="AV40" s="16"/>
      <c r="AW40" s="16">
        <v>0</v>
      </c>
      <c r="AX40" s="16"/>
      <c r="AY40" s="16">
        <f t="shared" si="17"/>
        <v>290551</v>
      </c>
      <c r="AZ40" s="16"/>
      <c r="BA40" s="6" t="s">
        <v>54</v>
      </c>
      <c r="BC40" s="6" t="s">
        <v>55</v>
      </c>
      <c r="BD40" s="16"/>
      <c r="BE40" s="16">
        <v>0</v>
      </c>
      <c r="BF40" s="16"/>
      <c r="BG40" s="16">
        <v>0</v>
      </c>
      <c r="BH40" s="16"/>
      <c r="BI40" s="16">
        <f>2561330+311064</f>
        <v>2872394</v>
      </c>
      <c r="BJ40" s="16"/>
      <c r="BK40" s="16">
        <f>32166+12686</f>
        <v>44852</v>
      </c>
      <c r="BL40" s="16"/>
      <c r="BM40" s="16">
        <f t="shared" si="18"/>
        <v>2917246</v>
      </c>
      <c r="BN40" s="17" t="s">
        <v>345</v>
      </c>
      <c r="BO40" s="18" t="s">
        <v>402</v>
      </c>
      <c r="BP40" s="18"/>
      <c r="BQ40" s="18"/>
      <c r="BR40" s="20"/>
      <c r="BS40" s="16"/>
      <c r="BT40" s="16"/>
      <c r="BU40" s="16"/>
      <c r="BV40" s="16"/>
      <c r="BW40" s="16"/>
      <c r="BX40" s="8"/>
      <c r="BY40" s="8"/>
      <c r="BZ40" s="16"/>
      <c r="CA40" s="16"/>
      <c r="CB40" s="16"/>
      <c r="CC40" s="16"/>
      <c r="CD40" s="16"/>
      <c r="CE40" s="16"/>
      <c r="CF40" s="6"/>
      <c r="CG40" s="18"/>
      <c r="CH40" s="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7"/>
    </row>
    <row r="41" spans="1:97" ht="12.75" customHeight="1" x14ac:dyDescent="0.2">
      <c r="A41" s="6" t="s">
        <v>56</v>
      </c>
      <c r="B41" s="20"/>
      <c r="C41" s="6" t="s">
        <v>57</v>
      </c>
      <c r="E41" s="16">
        <v>4752856</v>
      </c>
      <c r="F41" s="16"/>
      <c r="G41" s="16">
        <v>10342896</v>
      </c>
      <c r="H41" s="16"/>
      <c r="I41" s="16">
        <f t="shared" si="19"/>
        <v>15095752</v>
      </c>
      <c r="J41" s="16"/>
      <c r="K41" s="16">
        <v>232324</v>
      </c>
      <c r="L41" s="16"/>
      <c r="M41" s="16">
        <v>169757</v>
      </c>
      <c r="N41" s="16"/>
      <c r="O41" s="16">
        <f t="shared" si="20"/>
        <v>402081</v>
      </c>
      <c r="P41" s="16"/>
      <c r="Q41" s="16">
        <v>10104827</v>
      </c>
      <c r="R41" s="16"/>
      <c r="S41" s="16">
        <v>0</v>
      </c>
      <c r="T41" s="16"/>
      <c r="U41" s="16">
        <v>4588844</v>
      </c>
      <c r="V41" s="16"/>
      <c r="W41" s="16">
        <f t="shared" si="15"/>
        <v>14693671</v>
      </c>
      <c r="X41" s="16"/>
      <c r="Y41" s="6" t="s">
        <v>56</v>
      </c>
      <c r="AA41" s="6" t="s">
        <v>57</v>
      </c>
      <c r="AB41" s="6"/>
      <c r="AC41" s="16">
        <v>3089909</v>
      </c>
      <c r="AD41" s="16"/>
      <c r="AE41" s="16">
        <f>2267457-377190</f>
        <v>1890267</v>
      </c>
      <c r="AF41" s="16"/>
      <c r="AG41" s="16">
        <v>377190</v>
      </c>
      <c r="AH41" s="16"/>
      <c r="AI41" s="8">
        <f t="shared" si="6"/>
        <v>822452</v>
      </c>
      <c r="AJ41" s="8"/>
      <c r="AK41" s="16">
        <v>-12043</v>
      </c>
      <c r="AL41" s="8"/>
      <c r="AM41" s="16">
        <v>16293</v>
      </c>
      <c r="AN41" s="16"/>
      <c r="AO41" s="16">
        <v>0</v>
      </c>
      <c r="AP41" s="16"/>
      <c r="AQ41" s="16">
        <v>0</v>
      </c>
      <c r="AR41" s="16"/>
      <c r="AS41" s="8">
        <f t="shared" si="16"/>
        <v>826702</v>
      </c>
      <c r="AT41" s="8"/>
      <c r="AU41" s="16">
        <v>0</v>
      </c>
      <c r="AV41" s="16"/>
      <c r="AW41" s="16">
        <v>0</v>
      </c>
      <c r="AX41" s="16"/>
      <c r="AY41" s="16">
        <f>+E41-K41</f>
        <v>4520532</v>
      </c>
      <c r="AZ41" s="16"/>
      <c r="BA41" s="6" t="s">
        <v>56</v>
      </c>
      <c r="BC41" s="6" t="s">
        <v>57</v>
      </c>
      <c r="BD41" s="16"/>
      <c r="BE41" s="16">
        <v>0</v>
      </c>
      <c r="BF41" s="16"/>
      <c r="BG41" s="16">
        <v>0</v>
      </c>
      <c r="BH41" s="16"/>
      <c r="BI41" s="16">
        <f>108543+118635</f>
        <v>227178</v>
      </c>
      <c r="BJ41" s="16"/>
      <c r="BK41" s="16">
        <f>61214+2056</f>
        <v>63270</v>
      </c>
      <c r="BL41" s="16"/>
      <c r="BM41" s="16">
        <f t="shared" si="18"/>
        <v>290448</v>
      </c>
      <c r="BN41" s="17" t="s">
        <v>345</v>
      </c>
      <c r="BP41" s="18"/>
      <c r="BQ41" s="18"/>
      <c r="BR41" s="20"/>
      <c r="BS41" s="16"/>
      <c r="BT41" s="16"/>
      <c r="BU41" s="16"/>
      <c r="BV41" s="16"/>
      <c r="BW41" s="16"/>
      <c r="BX41" s="8"/>
      <c r="BY41" s="8"/>
      <c r="BZ41" s="16"/>
      <c r="CA41" s="16"/>
      <c r="CB41" s="16"/>
      <c r="CC41" s="16"/>
      <c r="CD41" s="16"/>
      <c r="CE41" s="16"/>
      <c r="CF41" s="6"/>
      <c r="CG41" s="18"/>
      <c r="CH41" s="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7"/>
    </row>
    <row r="42" spans="1:97" ht="12.75" customHeight="1" x14ac:dyDescent="0.2">
      <c r="A42" s="7" t="s">
        <v>470</v>
      </c>
      <c r="B42" s="20"/>
      <c r="C42" s="6" t="s">
        <v>13</v>
      </c>
      <c r="E42" s="16">
        <v>712141</v>
      </c>
      <c r="F42" s="16"/>
      <c r="G42" s="16">
        <v>4140612</v>
      </c>
      <c r="H42" s="16"/>
      <c r="I42" s="16">
        <f t="shared" si="19"/>
        <v>4852753</v>
      </c>
      <c r="J42" s="16"/>
      <c r="K42" s="16">
        <v>67071</v>
      </c>
      <c r="L42" s="16"/>
      <c r="M42" s="16">
        <v>469642</v>
      </c>
      <c r="N42" s="16"/>
      <c r="O42" s="16">
        <f t="shared" si="20"/>
        <v>536713</v>
      </c>
      <c r="P42" s="16"/>
      <c r="Q42" s="16">
        <v>3643857</v>
      </c>
      <c r="R42" s="16"/>
      <c r="S42" s="16">
        <v>0</v>
      </c>
      <c r="T42" s="16"/>
      <c r="U42" s="16">
        <v>672183</v>
      </c>
      <c r="V42" s="16"/>
      <c r="W42" s="16">
        <f t="shared" ref="W42:W51" si="21">SUM(Q42:U42)</f>
        <v>4316040</v>
      </c>
      <c r="X42" s="16"/>
      <c r="Y42" s="7" t="s">
        <v>470</v>
      </c>
      <c r="AA42" s="6" t="s">
        <v>13</v>
      </c>
      <c r="AB42" s="6"/>
      <c r="AC42" s="16">
        <v>749072</v>
      </c>
      <c r="AD42" s="16"/>
      <c r="AE42" s="16">
        <f>767769-151217</f>
        <v>616552</v>
      </c>
      <c r="AF42" s="16"/>
      <c r="AG42" s="16">
        <v>151217</v>
      </c>
      <c r="AH42" s="16"/>
      <c r="AI42" s="8">
        <f t="shared" si="6"/>
        <v>-18697</v>
      </c>
      <c r="AJ42" s="8"/>
      <c r="AK42" s="16">
        <v>0</v>
      </c>
      <c r="AL42" s="8"/>
      <c r="AM42" s="16">
        <v>0</v>
      </c>
      <c r="AN42" s="16"/>
      <c r="AO42" s="16">
        <v>0</v>
      </c>
      <c r="AP42" s="16"/>
      <c r="AQ42" s="16">
        <v>0</v>
      </c>
      <c r="AR42" s="16"/>
      <c r="AS42" s="8">
        <f t="shared" si="16"/>
        <v>-18697</v>
      </c>
      <c r="AT42" s="8"/>
      <c r="AU42" s="16">
        <v>0</v>
      </c>
      <c r="AV42" s="16"/>
      <c r="AW42" s="16">
        <v>0</v>
      </c>
      <c r="AX42" s="16"/>
      <c r="AY42" s="16">
        <f t="shared" si="17"/>
        <v>645070</v>
      </c>
      <c r="AZ42" s="16"/>
      <c r="BA42" s="7" t="s">
        <v>470</v>
      </c>
      <c r="BC42" s="6" t="s">
        <v>13</v>
      </c>
      <c r="BD42" s="16"/>
      <c r="BE42" s="16">
        <v>0</v>
      </c>
      <c r="BF42" s="16"/>
      <c r="BG42" s="16">
        <v>0</v>
      </c>
      <c r="BH42" s="16"/>
      <c r="BI42" s="16">
        <f>453210+43545</f>
        <v>496755</v>
      </c>
      <c r="BJ42" s="16"/>
      <c r="BK42" s="16">
        <v>16432</v>
      </c>
      <c r="BL42" s="16"/>
      <c r="BM42" s="16">
        <f t="shared" si="18"/>
        <v>513187</v>
      </c>
      <c r="BN42" s="17" t="s">
        <v>345</v>
      </c>
      <c r="BP42" s="18"/>
      <c r="BQ42" s="18"/>
      <c r="BR42" s="20"/>
      <c r="BS42" s="16"/>
      <c r="BT42" s="16"/>
      <c r="BU42" s="16"/>
      <c r="BV42" s="16"/>
      <c r="BX42" s="8"/>
      <c r="BY42" s="16"/>
      <c r="BZ42" s="16"/>
      <c r="CA42" s="16"/>
      <c r="CB42" s="16"/>
      <c r="CC42" s="16"/>
      <c r="CD42" s="16"/>
      <c r="CE42" s="16"/>
      <c r="CF42" s="6"/>
      <c r="CG42" s="18"/>
      <c r="CH42" s="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7"/>
    </row>
    <row r="43" spans="1:97" ht="12.75" customHeight="1" x14ac:dyDescent="0.2">
      <c r="A43" s="7" t="s">
        <v>493</v>
      </c>
      <c r="B43" s="10"/>
      <c r="C43" s="7" t="s">
        <v>41</v>
      </c>
      <c r="E43" s="16">
        <v>4931104</v>
      </c>
      <c r="F43" s="16"/>
      <c r="G43" s="16">
        <v>25594945</v>
      </c>
      <c r="H43" s="16"/>
      <c r="I43" s="16">
        <f t="shared" si="19"/>
        <v>30526049</v>
      </c>
      <c r="J43" s="16"/>
      <c r="K43" s="16">
        <v>465356</v>
      </c>
      <c r="L43" s="16"/>
      <c r="M43" s="16">
        <v>4708134</v>
      </c>
      <c r="N43" s="16"/>
      <c r="O43" s="16">
        <f t="shared" si="20"/>
        <v>5173490</v>
      </c>
      <c r="P43" s="16"/>
      <c r="Q43" s="16">
        <v>20535285</v>
      </c>
      <c r="R43" s="16"/>
      <c r="S43" s="16">
        <v>0</v>
      </c>
      <c r="T43" s="16"/>
      <c r="U43" s="16">
        <v>4817274</v>
      </c>
      <c r="V43" s="16"/>
      <c r="W43" s="16">
        <f>SUM(Q43:U43)</f>
        <v>25352559</v>
      </c>
      <c r="X43" s="16"/>
      <c r="Y43" s="7" t="s">
        <v>493</v>
      </c>
      <c r="Z43" s="10"/>
      <c r="AA43" s="7" t="s">
        <v>41</v>
      </c>
      <c r="AB43" s="6"/>
      <c r="AC43" s="16">
        <v>1786447</v>
      </c>
      <c r="AD43" s="16"/>
      <c r="AE43" s="16">
        <f>1794765-1020470</f>
        <v>774295</v>
      </c>
      <c r="AF43" s="16"/>
      <c r="AG43" s="16">
        <v>1020470</v>
      </c>
      <c r="AH43" s="16"/>
      <c r="AI43" s="8">
        <f t="shared" si="6"/>
        <v>-8318</v>
      </c>
      <c r="AJ43" s="8"/>
      <c r="AK43" s="16">
        <v>-219116</v>
      </c>
      <c r="AL43" s="8"/>
      <c r="AM43" s="16">
        <v>12550</v>
      </c>
      <c r="AN43" s="16"/>
      <c r="AO43" s="16">
        <v>0</v>
      </c>
      <c r="AP43" s="16"/>
      <c r="AQ43" s="16">
        <v>0</v>
      </c>
      <c r="AR43" s="16"/>
      <c r="AS43" s="8">
        <f t="shared" ref="AS43" si="22">+AI43+AK43+AM43-AO43+AQ43</f>
        <v>-214884</v>
      </c>
      <c r="AT43" s="8"/>
      <c r="AU43" s="16">
        <v>0</v>
      </c>
      <c r="AV43" s="16"/>
      <c r="AW43" s="16">
        <v>0</v>
      </c>
      <c r="AX43" s="16"/>
      <c r="AY43" s="16">
        <f>+E43-K43</f>
        <v>4465748</v>
      </c>
      <c r="AZ43" s="16"/>
      <c r="BA43" s="7" t="s">
        <v>493</v>
      </c>
      <c r="BB43" s="10"/>
      <c r="BC43" s="7" t="s">
        <v>41</v>
      </c>
      <c r="BD43" s="16"/>
      <c r="BE43" s="16">
        <v>0</v>
      </c>
      <c r="BF43" s="16"/>
      <c r="BG43" s="16">
        <f>3590000+255000</f>
        <v>3845000</v>
      </c>
      <c r="BH43" s="16"/>
      <c r="BI43" s="16">
        <f>95222+10232+981194+128012</f>
        <v>1214660</v>
      </c>
      <c r="BJ43" s="16"/>
      <c r="BK43" s="16">
        <f>30825+8928</f>
        <v>39753</v>
      </c>
      <c r="BL43" s="16"/>
      <c r="BM43" s="16">
        <f t="shared" ref="BM43:BM44" si="23">SUM(BE43:BK43)</f>
        <v>5099413</v>
      </c>
      <c r="BN43" s="17"/>
      <c r="BP43" s="18"/>
      <c r="BQ43" s="18"/>
      <c r="BR43" s="20"/>
      <c r="BS43" s="16"/>
      <c r="BT43" s="16"/>
      <c r="BU43" s="16"/>
      <c r="BV43" s="16"/>
      <c r="BX43" s="8"/>
      <c r="BY43" s="16"/>
      <c r="BZ43" s="16"/>
      <c r="CA43" s="16"/>
      <c r="CB43" s="16"/>
      <c r="CC43" s="16"/>
      <c r="CD43" s="16"/>
      <c r="CE43" s="16"/>
      <c r="CF43" s="6"/>
      <c r="CG43" s="18"/>
      <c r="CH43" s="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7"/>
    </row>
    <row r="44" spans="1:97" ht="12.75" customHeight="1" x14ac:dyDescent="0.2">
      <c r="A44" s="6" t="s">
        <v>58</v>
      </c>
      <c r="B44" s="18"/>
      <c r="C44" s="6" t="s">
        <v>59</v>
      </c>
      <c r="E44" s="16">
        <v>2099602</v>
      </c>
      <c r="F44" s="16"/>
      <c r="G44" s="16">
        <v>3987277</v>
      </c>
      <c r="H44" s="16"/>
      <c r="I44" s="16">
        <f t="shared" si="19"/>
        <v>6086879</v>
      </c>
      <c r="J44" s="16"/>
      <c r="K44" s="16">
        <v>143636</v>
      </c>
      <c r="L44" s="16"/>
      <c r="M44" s="16">
        <v>369423</v>
      </c>
      <c r="N44" s="16"/>
      <c r="O44" s="16">
        <f t="shared" si="20"/>
        <v>513059</v>
      </c>
      <c r="P44" s="16"/>
      <c r="Q44" s="16">
        <v>3579480</v>
      </c>
      <c r="R44" s="16"/>
      <c r="S44" s="16">
        <v>0</v>
      </c>
      <c r="T44" s="16"/>
      <c r="U44" s="16">
        <v>1994340</v>
      </c>
      <c r="V44" s="16"/>
      <c r="W44" s="16">
        <f>SUM(Q44:U44)</f>
        <v>5573820</v>
      </c>
      <c r="X44" s="16"/>
      <c r="Y44" s="6" t="s">
        <v>58</v>
      </c>
      <c r="AA44" s="6" t="s">
        <v>59</v>
      </c>
      <c r="AB44" s="6"/>
      <c r="AC44" s="16">
        <v>1337233</v>
      </c>
      <c r="AD44" s="16"/>
      <c r="AE44" s="16">
        <f>1216698-144686</f>
        <v>1072012</v>
      </c>
      <c r="AF44" s="16"/>
      <c r="AG44" s="16">
        <v>144686</v>
      </c>
      <c r="AH44" s="16"/>
      <c r="AI44" s="8">
        <f t="shared" si="6"/>
        <v>120535</v>
      </c>
      <c r="AJ44" s="8"/>
      <c r="AK44" s="16">
        <v>0</v>
      </c>
      <c r="AL44" s="8"/>
      <c r="AM44" s="16">
        <v>0</v>
      </c>
      <c r="AN44" s="16"/>
      <c r="AO44" s="16">
        <v>0</v>
      </c>
      <c r="AP44" s="16"/>
      <c r="AQ44" s="16">
        <v>27499</v>
      </c>
      <c r="AR44" s="16"/>
      <c r="AS44" s="8">
        <f t="shared" si="16"/>
        <v>148034</v>
      </c>
      <c r="AT44" s="8"/>
      <c r="AU44" s="16">
        <v>0</v>
      </c>
      <c r="AV44" s="16"/>
      <c r="AW44" s="16">
        <v>0</v>
      </c>
      <c r="AX44" s="16"/>
      <c r="AY44" s="16">
        <f>+E44-K44</f>
        <v>1955966</v>
      </c>
      <c r="AZ44" s="16"/>
      <c r="BA44" s="6" t="s">
        <v>58</v>
      </c>
      <c r="BC44" s="6" t="s">
        <v>59</v>
      </c>
      <c r="BD44" s="16"/>
      <c r="BE44" s="16">
        <v>0</v>
      </c>
      <c r="BF44" s="16"/>
      <c r="BG44" s="16">
        <v>0</v>
      </c>
      <c r="BH44" s="16"/>
      <c r="BI44" s="16">
        <f>366631+41166</f>
        <v>407797</v>
      </c>
      <c r="BJ44" s="16"/>
      <c r="BK44" s="16">
        <f>9087+2792</f>
        <v>11879</v>
      </c>
      <c r="BL44" s="16"/>
      <c r="BM44" s="16">
        <f t="shared" si="23"/>
        <v>419676</v>
      </c>
      <c r="BN44" s="17" t="s">
        <v>345</v>
      </c>
      <c r="BP44" s="18"/>
      <c r="BQ44" s="18"/>
      <c r="BR44" s="20"/>
      <c r="BS44" s="16"/>
      <c r="BT44" s="16"/>
      <c r="BU44" s="16"/>
      <c r="BV44" s="16"/>
      <c r="BW44" s="16"/>
      <c r="BX44" s="8"/>
      <c r="BY44" s="8"/>
      <c r="BZ44" s="16"/>
      <c r="CA44" s="16"/>
      <c r="CB44" s="16"/>
      <c r="CC44" s="16"/>
      <c r="CD44" s="16"/>
      <c r="CE44" s="16"/>
      <c r="CF44" s="6"/>
      <c r="CG44" s="18"/>
      <c r="CH44" s="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7"/>
    </row>
    <row r="45" spans="1:97" ht="12.75" hidden="1" customHeight="1" x14ac:dyDescent="0.2">
      <c r="A45" s="7" t="s">
        <v>60</v>
      </c>
      <c r="B45" s="20"/>
      <c r="C45" s="6" t="s">
        <v>13</v>
      </c>
      <c r="E45" s="16">
        <v>19567628</v>
      </c>
      <c r="F45" s="16"/>
      <c r="G45" s="16">
        <v>42009509</v>
      </c>
      <c r="H45" s="16"/>
      <c r="I45" s="16">
        <f>+E45+G45</f>
        <v>61577137</v>
      </c>
      <c r="J45" s="16"/>
      <c r="K45" s="16">
        <v>1880472</v>
      </c>
      <c r="L45" s="16"/>
      <c r="M45" s="16">
        <v>10144567</v>
      </c>
      <c r="N45" s="16"/>
      <c r="O45" s="16">
        <f>+K45+M45</f>
        <v>12025039</v>
      </c>
      <c r="P45" s="16"/>
      <c r="Q45" s="16">
        <v>32680577</v>
      </c>
      <c r="R45" s="16"/>
      <c r="S45" s="16">
        <v>0</v>
      </c>
      <c r="T45" s="16"/>
      <c r="U45" s="16">
        <v>18751993</v>
      </c>
      <c r="V45" s="16"/>
      <c r="W45" s="16">
        <f t="shared" si="21"/>
        <v>51432570</v>
      </c>
      <c r="X45" s="16"/>
      <c r="Y45" s="7" t="s">
        <v>60</v>
      </c>
      <c r="AA45" s="6" t="s">
        <v>13</v>
      </c>
      <c r="AB45" s="6"/>
      <c r="AC45" s="16">
        <v>14490594</v>
      </c>
      <c r="AD45" s="16"/>
      <c r="AE45" s="16">
        <f>12385576-2587826</f>
        <v>9797750</v>
      </c>
      <c r="AF45" s="16"/>
      <c r="AG45" s="16">
        <v>2587826</v>
      </c>
      <c r="AH45" s="16"/>
      <c r="AI45" s="8">
        <f t="shared" si="6"/>
        <v>2105018</v>
      </c>
      <c r="AJ45" s="8"/>
      <c r="AK45" s="16">
        <v>-317932</v>
      </c>
      <c r="AL45" s="8"/>
      <c r="AM45" s="16">
        <v>0</v>
      </c>
      <c r="AN45" s="16"/>
      <c r="AO45" s="16">
        <v>0</v>
      </c>
      <c r="AP45" s="16"/>
      <c r="AQ45" s="16">
        <v>1065761</v>
      </c>
      <c r="AR45" s="16"/>
      <c r="AS45" s="8">
        <f t="shared" si="16"/>
        <v>2852847</v>
      </c>
      <c r="AT45" s="8"/>
      <c r="AU45" s="16">
        <v>0</v>
      </c>
      <c r="AV45" s="16"/>
      <c r="AW45" s="16">
        <v>0</v>
      </c>
      <c r="AX45" s="16"/>
      <c r="AY45" s="16">
        <f t="shared" si="17"/>
        <v>17687156</v>
      </c>
      <c r="AZ45" s="16"/>
      <c r="BA45" s="7" t="s">
        <v>60</v>
      </c>
      <c r="BC45" s="6" t="s">
        <v>13</v>
      </c>
      <c r="BD45" s="16"/>
      <c r="BE45" s="16">
        <f>8264095+1064837</f>
        <v>9328932</v>
      </c>
      <c r="BF45" s="16"/>
      <c r="BG45" s="16">
        <v>0</v>
      </c>
      <c r="BH45" s="16"/>
      <c r="BI45" s="16">
        <v>0</v>
      </c>
      <c r="BJ45" s="16"/>
      <c r="BK45" s="16">
        <v>0</v>
      </c>
      <c r="BL45" s="16"/>
      <c r="BM45" s="16">
        <f t="shared" si="18"/>
        <v>9328932</v>
      </c>
      <c r="BN45" s="17" t="s">
        <v>345</v>
      </c>
      <c r="BP45" s="18"/>
      <c r="BQ45" s="18"/>
      <c r="BR45" s="20"/>
      <c r="BS45" s="7"/>
      <c r="BT45" s="16"/>
      <c r="BU45" s="16"/>
      <c r="BV45" s="16"/>
      <c r="BX45" s="8"/>
      <c r="BY45" s="16"/>
      <c r="BZ45" s="16"/>
      <c r="CA45" s="16"/>
      <c r="CB45" s="16"/>
      <c r="CC45" s="16"/>
      <c r="CD45" s="16"/>
      <c r="CE45" s="16"/>
      <c r="CF45" s="6"/>
      <c r="CG45" s="18"/>
      <c r="CH45" s="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7"/>
    </row>
    <row r="46" spans="1:97" ht="12.75" hidden="1" customHeight="1" x14ac:dyDescent="0.2">
      <c r="A46" s="6" t="s">
        <v>479</v>
      </c>
      <c r="B46" s="20"/>
      <c r="C46" s="6" t="s">
        <v>109</v>
      </c>
      <c r="E46" s="16">
        <f t="shared" si="14"/>
        <v>0</v>
      </c>
      <c r="F46" s="16"/>
      <c r="G46" s="16"/>
      <c r="H46" s="16"/>
      <c r="I46" s="16"/>
      <c r="J46" s="16"/>
      <c r="K46" s="16">
        <f t="shared" si="7"/>
        <v>0</v>
      </c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>
        <f>SUM(Q46:U46)</f>
        <v>0</v>
      </c>
      <c r="X46" s="16"/>
      <c r="Y46" s="6" t="s">
        <v>479</v>
      </c>
      <c r="AA46" s="6" t="s">
        <v>109</v>
      </c>
      <c r="AB46" s="6"/>
      <c r="AC46" s="16"/>
      <c r="AD46" s="16"/>
      <c r="AE46" s="16"/>
      <c r="AF46" s="16"/>
      <c r="AG46" s="16"/>
      <c r="AH46" s="16"/>
      <c r="AI46" s="8">
        <f t="shared" si="6"/>
        <v>0</v>
      </c>
      <c r="AJ46" s="8"/>
      <c r="AK46" s="16"/>
      <c r="AL46" s="8"/>
      <c r="AM46" s="16"/>
      <c r="AN46" s="16"/>
      <c r="AO46" s="16"/>
      <c r="AP46" s="16"/>
      <c r="AQ46" s="16"/>
      <c r="AR46" s="16"/>
      <c r="AS46" s="8">
        <f t="shared" si="16"/>
        <v>0</v>
      </c>
      <c r="AT46" s="8"/>
      <c r="AU46" s="16">
        <v>0</v>
      </c>
      <c r="AV46" s="16"/>
      <c r="AW46" s="16">
        <v>0</v>
      </c>
      <c r="AX46" s="16"/>
      <c r="AY46" s="16">
        <f>+E46-K46</f>
        <v>0</v>
      </c>
      <c r="AZ46" s="7"/>
      <c r="BA46" s="6" t="s">
        <v>479</v>
      </c>
      <c r="BB46" s="20"/>
      <c r="BC46" s="6" t="s">
        <v>109</v>
      </c>
      <c r="BD46" s="16"/>
      <c r="BE46" s="16"/>
      <c r="BF46" s="16"/>
      <c r="BG46" s="16"/>
      <c r="BH46" s="16"/>
      <c r="BI46" s="16"/>
      <c r="BJ46" s="16"/>
      <c r="BK46" s="16"/>
      <c r="BL46" s="16"/>
      <c r="BM46" s="16">
        <f t="shared" si="18"/>
        <v>0</v>
      </c>
      <c r="BN46" s="17" t="s">
        <v>345</v>
      </c>
      <c r="BO46" s="18" t="s">
        <v>403</v>
      </c>
      <c r="BP46" s="18"/>
      <c r="BQ46" s="18"/>
      <c r="BR46" s="20"/>
      <c r="BS46" s="7"/>
      <c r="BT46" s="16"/>
      <c r="BU46" s="16"/>
      <c r="BV46" s="16"/>
      <c r="BX46" s="8"/>
      <c r="BY46" s="16"/>
      <c r="BZ46" s="16"/>
      <c r="CA46" s="16"/>
      <c r="CB46" s="16"/>
      <c r="CC46" s="16"/>
      <c r="CD46" s="16"/>
      <c r="CE46" s="16"/>
      <c r="CF46" s="6"/>
      <c r="CG46" s="18"/>
      <c r="CH46" s="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7"/>
    </row>
    <row r="47" spans="1:97" ht="12.75" customHeight="1" x14ac:dyDescent="0.2">
      <c r="A47" s="6" t="s">
        <v>61</v>
      </c>
      <c r="B47" s="20"/>
      <c r="C47" s="6" t="s">
        <v>62</v>
      </c>
      <c r="E47" s="16">
        <f>3343829+56051</f>
        <v>3399880</v>
      </c>
      <c r="F47" s="16"/>
      <c r="G47" s="16">
        <v>3963338</v>
      </c>
      <c r="H47" s="16"/>
      <c r="I47" s="16">
        <f>+E47+G47</f>
        <v>7363218</v>
      </c>
      <c r="J47" s="16"/>
      <c r="K47" s="16">
        <v>531463</v>
      </c>
      <c r="L47" s="16"/>
      <c r="M47" s="16">
        <v>3169052</v>
      </c>
      <c r="N47" s="16"/>
      <c r="O47" s="16">
        <f>+K47+M47</f>
        <v>3700515</v>
      </c>
      <c r="P47" s="16"/>
      <c r="Q47" s="16">
        <v>1676343</v>
      </c>
      <c r="R47" s="16"/>
      <c r="S47" s="16">
        <f>40922+319171+309173</f>
        <v>669266</v>
      </c>
      <c r="T47" s="16"/>
      <c r="U47" s="16">
        <v>1317094</v>
      </c>
      <c r="V47" s="16"/>
      <c r="W47" s="16">
        <f t="shared" si="21"/>
        <v>3662703</v>
      </c>
      <c r="X47" s="16"/>
      <c r="Y47" s="6" t="s">
        <v>61</v>
      </c>
      <c r="AA47" s="6" t="s">
        <v>62</v>
      </c>
      <c r="AB47" s="6"/>
      <c r="AC47" s="16">
        <v>2302017</v>
      </c>
      <c r="AD47" s="16"/>
      <c r="AE47" s="16">
        <f>1675157-303159</f>
        <v>1371998</v>
      </c>
      <c r="AF47" s="16"/>
      <c r="AG47" s="16">
        <v>303159</v>
      </c>
      <c r="AH47" s="16"/>
      <c r="AI47" s="8">
        <f t="shared" si="6"/>
        <v>626860</v>
      </c>
      <c r="AJ47" s="8"/>
      <c r="AK47" s="16">
        <v>-138255</v>
      </c>
      <c r="AL47" s="8"/>
      <c r="AM47" s="16">
        <v>0</v>
      </c>
      <c r="AN47" s="16"/>
      <c r="AO47" s="16">
        <v>0</v>
      </c>
      <c r="AP47" s="16"/>
      <c r="AQ47" s="16">
        <v>0</v>
      </c>
      <c r="AR47" s="16"/>
      <c r="AS47" s="8">
        <f t="shared" si="16"/>
        <v>488605</v>
      </c>
      <c r="AT47" s="8"/>
      <c r="AU47" s="16">
        <v>0</v>
      </c>
      <c r="AV47" s="16"/>
      <c r="AW47" s="16">
        <v>0</v>
      </c>
      <c r="AX47" s="16"/>
      <c r="AY47" s="16">
        <f t="shared" si="17"/>
        <v>2868417</v>
      </c>
      <c r="AZ47" s="16"/>
      <c r="BA47" s="6" t="s">
        <v>61</v>
      </c>
      <c r="BC47" s="6" t="s">
        <v>62</v>
      </c>
      <c r="BD47" s="16"/>
      <c r="BE47" s="16">
        <f>110000+666650</f>
        <v>776650</v>
      </c>
      <c r="BF47" s="16"/>
      <c r="BG47" s="16">
        <f>330000+2475000</f>
        <v>2805000</v>
      </c>
      <c r="BH47" s="16"/>
      <c r="BI47" s="16">
        <v>0</v>
      </c>
      <c r="BJ47" s="16"/>
      <c r="BK47" s="16">
        <f>12711+27402</f>
        <v>40113</v>
      </c>
      <c r="BL47" s="16"/>
      <c r="BM47" s="16">
        <f t="shared" si="18"/>
        <v>3621763</v>
      </c>
      <c r="BN47" s="17" t="s">
        <v>345</v>
      </c>
      <c r="BO47" s="18" t="s">
        <v>403</v>
      </c>
      <c r="BP47" s="18"/>
      <c r="BQ47" s="18"/>
      <c r="BR47" s="20"/>
      <c r="BS47" s="16"/>
      <c r="BT47" s="16"/>
      <c r="BU47" s="16"/>
      <c r="BV47" s="16"/>
      <c r="BX47" s="8"/>
      <c r="BY47" s="16"/>
      <c r="BZ47" s="16"/>
      <c r="CA47" s="16"/>
      <c r="CB47" s="16"/>
      <c r="CC47" s="16"/>
      <c r="CD47" s="16"/>
      <c r="CE47" s="16"/>
      <c r="CF47" s="6"/>
      <c r="CG47" s="18"/>
      <c r="CH47" s="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7"/>
    </row>
    <row r="48" spans="1:97" ht="12.75" hidden="1" customHeight="1" x14ac:dyDescent="0.2">
      <c r="A48" s="6" t="s">
        <v>63</v>
      </c>
      <c r="B48" s="20"/>
      <c r="C48" s="6" t="s">
        <v>64</v>
      </c>
      <c r="E48" s="16">
        <f t="shared" si="14"/>
        <v>0</v>
      </c>
      <c r="F48" s="16"/>
      <c r="G48" s="16"/>
      <c r="H48" s="16"/>
      <c r="I48" s="16"/>
      <c r="J48" s="16"/>
      <c r="K48" s="16">
        <f t="shared" si="7"/>
        <v>0</v>
      </c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>
        <f t="shared" si="21"/>
        <v>0</v>
      </c>
      <c r="X48" s="16"/>
      <c r="Y48" s="6" t="s">
        <v>63</v>
      </c>
      <c r="AA48" s="6" t="s">
        <v>64</v>
      </c>
      <c r="AB48" s="6"/>
      <c r="AC48" s="16"/>
      <c r="AD48" s="16"/>
      <c r="AE48" s="16"/>
      <c r="AF48" s="16"/>
      <c r="AG48" s="16"/>
      <c r="AH48" s="16"/>
      <c r="AI48" s="8">
        <f t="shared" si="6"/>
        <v>0</v>
      </c>
      <c r="AJ48" s="8"/>
      <c r="AK48" s="16"/>
      <c r="AL48" s="8"/>
      <c r="AM48" s="16"/>
      <c r="AN48" s="16"/>
      <c r="AO48" s="16"/>
      <c r="AP48" s="16"/>
      <c r="AQ48" s="16"/>
      <c r="AR48" s="16"/>
      <c r="AS48" s="8">
        <f t="shared" si="16"/>
        <v>0</v>
      </c>
      <c r="AT48" s="8"/>
      <c r="AU48" s="16">
        <v>0</v>
      </c>
      <c r="AV48" s="16"/>
      <c r="AW48" s="16">
        <v>0</v>
      </c>
      <c r="AX48" s="16"/>
      <c r="AY48" s="16">
        <f t="shared" si="17"/>
        <v>0</v>
      </c>
      <c r="AZ48" s="16"/>
      <c r="BA48" s="6" t="s">
        <v>63</v>
      </c>
      <c r="BC48" s="6" t="s">
        <v>64</v>
      </c>
      <c r="BD48" s="16"/>
      <c r="BE48" s="16"/>
      <c r="BF48" s="16"/>
      <c r="BG48" s="16"/>
      <c r="BH48" s="16"/>
      <c r="BI48" s="16"/>
      <c r="BJ48" s="16"/>
      <c r="BK48" s="16"/>
      <c r="BL48" s="16"/>
      <c r="BM48" s="16">
        <f>SUM(BE48:BL48)</f>
        <v>0</v>
      </c>
      <c r="BN48" s="17" t="s">
        <v>345</v>
      </c>
      <c r="BP48" s="18"/>
      <c r="BQ48" s="18"/>
      <c r="BR48" s="20"/>
      <c r="BS48" s="16"/>
      <c r="BT48" s="16"/>
      <c r="BU48" s="16"/>
      <c r="BV48" s="16"/>
      <c r="BX48" s="8"/>
      <c r="BY48" s="16"/>
      <c r="BZ48" s="16"/>
      <c r="CA48" s="16"/>
      <c r="CB48" s="16"/>
      <c r="CC48" s="16"/>
      <c r="CD48" s="16"/>
      <c r="CE48" s="16"/>
      <c r="CF48" s="6"/>
      <c r="CG48" s="18"/>
      <c r="CH48" s="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7"/>
    </row>
    <row r="49" spans="1:98" ht="0.75" customHeight="1" x14ac:dyDescent="0.2">
      <c r="A49" s="6" t="s">
        <v>65</v>
      </c>
      <c r="B49" s="20"/>
      <c r="C49" s="6" t="s">
        <v>373</v>
      </c>
      <c r="E49" s="16">
        <f t="shared" si="14"/>
        <v>898871</v>
      </c>
      <c r="F49" s="16"/>
      <c r="G49" s="16">
        <v>20037017</v>
      </c>
      <c r="H49" s="16"/>
      <c r="I49" s="16">
        <v>20935888</v>
      </c>
      <c r="J49" s="16"/>
      <c r="K49" s="16">
        <f t="shared" si="7"/>
        <v>848298</v>
      </c>
      <c r="L49" s="16"/>
      <c r="M49" s="16">
        <v>8784728</v>
      </c>
      <c r="N49" s="16"/>
      <c r="O49" s="16">
        <v>9633026</v>
      </c>
      <c r="P49" s="16"/>
      <c r="Q49" s="16">
        <v>10495735</v>
      </c>
      <c r="R49" s="16"/>
      <c r="S49" s="16">
        <v>0</v>
      </c>
      <c r="T49" s="16"/>
      <c r="U49" s="16">
        <v>807127</v>
      </c>
      <c r="V49" s="16"/>
      <c r="W49" s="16">
        <f t="shared" si="21"/>
        <v>11302862</v>
      </c>
      <c r="X49" s="16"/>
      <c r="Y49" s="6" t="s">
        <v>65</v>
      </c>
      <c r="AA49" s="6" t="s">
        <v>373</v>
      </c>
      <c r="AB49" s="6"/>
      <c r="AC49" s="16">
        <v>1474266</v>
      </c>
      <c r="AD49" s="16"/>
      <c r="AE49" s="16">
        <f>1754139-688192</f>
        <v>1065947</v>
      </c>
      <c r="AF49" s="16"/>
      <c r="AG49" s="16">
        <v>688192</v>
      </c>
      <c r="AH49" s="16"/>
      <c r="AI49" s="8">
        <f t="shared" si="6"/>
        <v>-279873</v>
      </c>
      <c r="AJ49" s="8"/>
      <c r="AK49" s="16">
        <v>-527715</v>
      </c>
      <c r="AL49" s="8"/>
      <c r="AM49" s="16">
        <v>590000</v>
      </c>
      <c r="AN49" s="16"/>
      <c r="AO49" s="16">
        <v>0</v>
      </c>
      <c r="AP49" s="16"/>
      <c r="AQ49" s="16">
        <v>0</v>
      </c>
      <c r="AR49" s="16"/>
      <c r="AS49" s="8">
        <f t="shared" si="16"/>
        <v>-217588</v>
      </c>
      <c r="AT49" s="8"/>
      <c r="AU49" s="16">
        <v>0</v>
      </c>
      <c r="AV49" s="16"/>
      <c r="AW49" s="16">
        <v>0</v>
      </c>
      <c r="AX49" s="16"/>
      <c r="AY49" s="16">
        <f t="shared" si="17"/>
        <v>50573</v>
      </c>
      <c r="AZ49" s="16"/>
      <c r="BA49" s="6" t="s">
        <v>65</v>
      </c>
      <c r="BC49" s="6" t="s">
        <v>373</v>
      </c>
      <c r="BD49" s="16"/>
      <c r="BE49" s="16">
        <v>0</v>
      </c>
      <c r="BF49" s="16"/>
      <c r="BG49" s="16">
        <v>0</v>
      </c>
      <c r="BH49" s="16"/>
      <c r="BI49" s="16">
        <f>8759862+781420</f>
        <v>9541282</v>
      </c>
      <c r="BJ49" s="16"/>
      <c r="BK49" s="16">
        <f>24379+24866</f>
        <v>49245</v>
      </c>
      <c r="BL49" s="16"/>
      <c r="BM49" s="16">
        <f t="shared" ref="BM49:BM54" si="24">SUM(BE49:BK49)</f>
        <v>9590527</v>
      </c>
      <c r="BN49" s="17" t="s">
        <v>345</v>
      </c>
      <c r="BP49" s="18"/>
      <c r="BQ49" s="18"/>
      <c r="BR49" s="20"/>
      <c r="BS49" s="16"/>
      <c r="BT49" s="16"/>
      <c r="BU49" s="16"/>
      <c r="BV49" s="16"/>
      <c r="BX49" s="8"/>
      <c r="BY49" s="16"/>
      <c r="BZ49" s="16"/>
      <c r="CA49" s="16"/>
      <c r="CB49" s="16"/>
      <c r="CC49" s="16"/>
      <c r="CD49" s="16"/>
      <c r="CE49" s="16"/>
      <c r="CF49" s="6"/>
      <c r="CG49" s="18"/>
      <c r="CH49" s="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7"/>
    </row>
    <row r="50" spans="1:98" ht="12.75" hidden="1" customHeight="1" x14ac:dyDescent="0.2">
      <c r="A50" s="6" t="s">
        <v>66</v>
      </c>
      <c r="B50" s="20"/>
      <c r="C50" s="6" t="s">
        <v>43</v>
      </c>
      <c r="E50" s="16">
        <f t="shared" si="14"/>
        <v>0</v>
      </c>
      <c r="F50" s="16"/>
      <c r="G50" s="16"/>
      <c r="H50" s="16"/>
      <c r="I50" s="16"/>
      <c r="J50" s="16"/>
      <c r="K50" s="16">
        <f t="shared" si="7"/>
        <v>0</v>
      </c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>
        <f t="shared" si="21"/>
        <v>0</v>
      </c>
      <c r="X50" s="16"/>
      <c r="Y50" s="6" t="s">
        <v>66</v>
      </c>
      <c r="AA50" s="6" t="s">
        <v>43</v>
      </c>
      <c r="AB50" s="6"/>
      <c r="AC50" s="16"/>
      <c r="AD50" s="16"/>
      <c r="AE50" s="16"/>
      <c r="AF50" s="16"/>
      <c r="AG50" s="16"/>
      <c r="AH50" s="16"/>
      <c r="AI50" s="8">
        <f t="shared" si="6"/>
        <v>0</v>
      </c>
      <c r="AJ50" s="8"/>
      <c r="AK50" s="16"/>
      <c r="AL50" s="8"/>
      <c r="AM50" s="16"/>
      <c r="AN50" s="16"/>
      <c r="AO50" s="16"/>
      <c r="AP50" s="16"/>
      <c r="AQ50" s="16"/>
      <c r="AR50" s="16"/>
      <c r="AS50" s="8">
        <f t="shared" si="16"/>
        <v>0</v>
      </c>
      <c r="AT50" s="8"/>
      <c r="AU50" s="16">
        <v>0</v>
      </c>
      <c r="AV50" s="16"/>
      <c r="AW50" s="16">
        <v>0</v>
      </c>
      <c r="AX50" s="16"/>
      <c r="AY50" s="16">
        <f t="shared" si="17"/>
        <v>0</v>
      </c>
      <c r="AZ50" s="16"/>
      <c r="BA50" s="6" t="s">
        <v>66</v>
      </c>
      <c r="BC50" s="6" t="s">
        <v>43</v>
      </c>
      <c r="BD50" s="16"/>
      <c r="BE50" s="16"/>
      <c r="BF50" s="16"/>
      <c r="BG50" s="16"/>
      <c r="BH50" s="16"/>
      <c r="BI50" s="16"/>
      <c r="BJ50" s="16"/>
      <c r="BK50" s="16"/>
      <c r="BL50" s="16"/>
      <c r="BM50" s="16">
        <f t="shared" si="24"/>
        <v>0</v>
      </c>
      <c r="BN50" s="17" t="s">
        <v>345</v>
      </c>
      <c r="BP50" s="18"/>
      <c r="BQ50" s="18"/>
      <c r="BR50" s="20"/>
      <c r="BS50" s="16"/>
      <c r="BT50" s="16"/>
      <c r="BU50" s="16"/>
      <c r="BV50" s="16"/>
      <c r="BW50" s="16"/>
      <c r="BX50" s="8"/>
      <c r="BY50" s="8"/>
      <c r="BZ50" s="16"/>
      <c r="CA50" s="16"/>
      <c r="CB50" s="16"/>
      <c r="CC50" s="16"/>
      <c r="CD50" s="16"/>
      <c r="CE50" s="16"/>
      <c r="CF50" s="6"/>
      <c r="CG50" s="18"/>
      <c r="CH50" s="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7"/>
    </row>
    <row r="51" spans="1:98" ht="12.75" hidden="1" customHeight="1" x14ac:dyDescent="0.2">
      <c r="A51" s="6" t="s">
        <v>67</v>
      </c>
      <c r="B51" s="20"/>
      <c r="C51" s="6" t="s">
        <v>68</v>
      </c>
      <c r="E51" s="16">
        <f t="shared" si="14"/>
        <v>4510457</v>
      </c>
      <c r="F51" s="16"/>
      <c r="G51" s="16">
        <v>17067357</v>
      </c>
      <c r="H51" s="16"/>
      <c r="I51" s="16">
        <v>21577814</v>
      </c>
      <c r="J51" s="16"/>
      <c r="K51" s="16">
        <f t="shared" si="7"/>
        <v>1210859</v>
      </c>
      <c r="L51" s="16"/>
      <c r="M51" s="16">
        <v>1562986</v>
      </c>
      <c r="N51" s="16"/>
      <c r="O51" s="16">
        <v>2773845</v>
      </c>
      <c r="P51" s="16"/>
      <c r="Q51" s="16">
        <v>14233890</v>
      </c>
      <c r="R51" s="16"/>
      <c r="S51" s="16">
        <v>618467</v>
      </c>
      <c r="T51" s="16"/>
      <c r="U51" s="16">
        <v>3951612</v>
      </c>
      <c r="V51" s="16"/>
      <c r="W51" s="16">
        <f t="shared" si="21"/>
        <v>18803969</v>
      </c>
      <c r="X51" s="16"/>
      <c r="Y51" s="6" t="s">
        <v>67</v>
      </c>
      <c r="AA51" s="6" t="s">
        <v>68</v>
      </c>
      <c r="AB51" s="6"/>
      <c r="AC51" s="16">
        <v>3222873</v>
      </c>
      <c r="AD51" s="16"/>
      <c r="AE51" s="16">
        <f>3267644-676668</f>
        <v>2590976</v>
      </c>
      <c r="AF51" s="16"/>
      <c r="AG51" s="16">
        <v>676668</v>
      </c>
      <c r="AH51" s="16"/>
      <c r="AI51" s="8">
        <f t="shared" si="6"/>
        <v>-44771</v>
      </c>
      <c r="AJ51" s="8"/>
      <c r="AK51" s="16">
        <v>-60918</v>
      </c>
      <c r="AL51" s="8"/>
      <c r="AM51" s="16">
        <v>30000</v>
      </c>
      <c r="AN51" s="16"/>
      <c r="AO51" s="16">
        <v>7891</v>
      </c>
      <c r="AP51" s="16"/>
      <c r="AQ51" s="16">
        <v>0</v>
      </c>
      <c r="AR51" s="16"/>
      <c r="AS51" s="8">
        <f t="shared" si="16"/>
        <v>-83580</v>
      </c>
      <c r="AT51" s="8"/>
      <c r="AU51" s="16">
        <v>0</v>
      </c>
      <c r="AV51" s="16"/>
      <c r="AW51" s="16">
        <v>0</v>
      </c>
      <c r="AX51" s="16"/>
      <c r="AY51" s="16">
        <f t="shared" si="17"/>
        <v>3299598</v>
      </c>
      <c r="AZ51" s="16"/>
      <c r="BA51" s="6" t="s">
        <v>67</v>
      </c>
      <c r="BC51" s="6" t="s">
        <v>68</v>
      </c>
      <c r="BD51" s="16"/>
      <c r="BE51" s="16">
        <f>1320000+95000</f>
        <v>1415000</v>
      </c>
      <c r="BF51" s="16"/>
      <c r="BG51" s="16">
        <v>0</v>
      </c>
      <c r="BH51" s="16"/>
      <c r="BI51" s="16">
        <v>0</v>
      </c>
      <c r="BJ51" s="16"/>
      <c r="BK51" s="16">
        <f>242986+173186</f>
        <v>416172</v>
      </c>
      <c r="BL51" s="16"/>
      <c r="BM51" s="16">
        <f t="shared" si="24"/>
        <v>1831172</v>
      </c>
      <c r="BN51" s="17" t="s">
        <v>345</v>
      </c>
      <c r="BP51" s="18"/>
      <c r="BQ51" s="18"/>
      <c r="BR51" s="20"/>
      <c r="BS51" s="16"/>
      <c r="BT51" s="16"/>
      <c r="BU51" s="16"/>
      <c r="BV51" s="16"/>
      <c r="BW51" s="16"/>
      <c r="BX51" s="8"/>
      <c r="BY51" s="8"/>
      <c r="BZ51" s="16"/>
      <c r="CA51" s="16"/>
      <c r="CB51" s="16"/>
      <c r="CC51" s="16"/>
      <c r="CD51" s="16"/>
      <c r="CE51" s="16"/>
      <c r="CF51" s="6"/>
      <c r="CG51" s="18"/>
      <c r="CH51" s="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7"/>
    </row>
    <row r="52" spans="1:98" ht="11.25" hidden="1" customHeight="1" x14ac:dyDescent="0.2">
      <c r="A52" s="6" t="s">
        <v>69</v>
      </c>
      <c r="B52" s="20"/>
      <c r="C52" s="6" t="s">
        <v>43</v>
      </c>
      <c r="E52" s="16">
        <f t="shared" si="14"/>
        <v>0</v>
      </c>
      <c r="F52" s="16"/>
      <c r="G52" s="16"/>
      <c r="H52" s="16"/>
      <c r="I52" s="16"/>
      <c r="J52" s="16"/>
      <c r="K52" s="16">
        <f t="shared" si="7"/>
        <v>0</v>
      </c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>
        <v>0</v>
      </c>
      <c r="X52" s="16"/>
      <c r="Y52" s="6" t="s">
        <v>69</v>
      </c>
      <c r="AA52" s="6" t="s">
        <v>43</v>
      </c>
      <c r="AB52" s="6"/>
      <c r="AC52" s="16"/>
      <c r="AD52" s="16"/>
      <c r="AE52" s="16"/>
      <c r="AF52" s="16"/>
      <c r="AG52" s="16"/>
      <c r="AH52" s="16"/>
      <c r="AI52" s="8">
        <f t="shared" si="6"/>
        <v>0</v>
      </c>
      <c r="AJ52" s="8"/>
      <c r="AK52" s="16"/>
      <c r="AL52" s="8"/>
      <c r="AM52" s="16"/>
      <c r="AN52" s="16"/>
      <c r="AO52" s="16"/>
      <c r="AP52" s="16"/>
      <c r="AQ52" s="16"/>
      <c r="AR52" s="16"/>
      <c r="AS52" s="8">
        <f t="shared" si="16"/>
        <v>0</v>
      </c>
      <c r="AT52" s="8"/>
      <c r="AU52" s="16">
        <v>0</v>
      </c>
      <c r="AV52" s="16"/>
      <c r="AW52" s="16">
        <v>0</v>
      </c>
      <c r="AX52" s="16"/>
      <c r="AY52" s="16">
        <f t="shared" si="17"/>
        <v>0</v>
      </c>
      <c r="AZ52" s="16"/>
      <c r="BA52" s="6" t="s">
        <v>69</v>
      </c>
      <c r="BC52" s="6" t="s">
        <v>43</v>
      </c>
      <c r="BD52" s="16"/>
      <c r="BE52" s="16"/>
      <c r="BF52" s="16"/>
      <c r="BG52" s="16"/>
      <c r="BH52" s="16"/>
      <c r="BI52" s="16"/>
      <c r="BJ52" s="16"/>
      <c r="BK52" s="16"/>
      <c r="BL52" s="16"/>
      <c r="BM52" s="16">
        <f t="shared" si="24"/>
        <v>0</v>
      </c>
      <c r="BN52" s="17" t="s">
        <v>345</v>
      </c>
      <c r="BO52" s="18" t="s">
        <v>401</v>
      </c>
      <c r="BP52" s="18"/>
      <c r="BQ52" s="18"/>
      <c r="BR52" s="20"/>
      <c r="BS52" s="16"/>
      <c r="BT52" s="16"/>
      <c r="BU52" s="16"/>
      <c r="BV52" s="16"/>
      <c r="BW52" s="16"/>
      <c r="BX52" s="8"/>
      <c r="BY52" s="8"/>
      <c r="BZ52" s="16"/>
      <c r="CA52" s="16"/>
      <c r="CB52" s="16"/>
      <c r="CC52" s="16"/>
      <c r="CD52" s="16"/>
      <c r="CE52" s="16"/>
      <c r="CF52" s="6"/>
      <c r="CG52" s="18"/>
      <c r="CH52" s="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7"/>
    </row>
    <row r="53" spans="1:98" ht="12.75" customHeight="1" x14ac:dyDescent="0.2">
      <c r="A53" s="7" t="s">
        <v>459</v>
      </c>
      <c r="B53" s="18"/>
      <c r="C53" s="7" t="s">
        <v>460</v>
      </c>
      <c r="E53" s="16">
        <v>3224066</v>
      </c>
      <c r="F53" s="16"/>
      <c r="G53" s="16">
        <v>11541749</v>
      </c>
      <c r="H53" s="16"/>
      <c r="I53" s="16">
        <f>+E53+G53</f>
        <v>14765815</v>
      </c>
      <c r="J53" s="16"/>
      <c r="K53" s="16">
        <v>177122</v>
      </c>
      <c r="L53" s="16"/>
      <c r="M53" s="16">
        <v>1504969</v>
      </c>
      <c r="N53" s="16"/>
      <c r="O53" s="16">
        <f>+K53+M53</f>
        <v>1682091</v>
      </c>
      <c r="P53" s="16"/>
      <c r="Q53" s="16">
        <v>10027943</v>
      </c>
      <c r="R53" s="16"/>
      <c r="S53" s="16">
        <v>0</v>
      </c>
      <c r="T53" s="16"/>
      <c r="U53" s="16">
        <v>3055781</v>
      </c>
      <c r="V53" s="16"/>
      <c r="W53" s="16">
        <f>SUM(Q53:U53)</f>
        <v>13083724</v>
      </c>
      <c r="X53" s="16"/>
      <c r="Y53" s="7" t="s">
        <v>459</v>
      </c>
      <c r="AA53" s="7" t="s">
        <v>460</v>
      </c>
      <c r="AB53" s="7"/>
      <c r="AC53" s="16">
        <v>2083568</v>
      </c>
      <c r="AD53" s="16"/>
      <c r="AE53" s="16">
        <f>2166854-404570</f>
        <v>1762284</v>
      </c>
      <c r="AF53" s="16"/>
      <c r="AG53" s="16">
        <v>404570</v>
      </c>
      <c r="AH53" s="16"/>
      <c r="AI53" s="8">
        <f t="shared" si="6"/>
        <v>-83286</v>
      </c>
      <c r="AJ53" s="8"/>
      <c r="AK53" s="16">
        <v>-60407</v>
      </c>
      <c r="AL53" s="8"/>
      <c r="AM53" s="16">
        <v>0</v>
      </c>
      <c r="AN53" s="16"/>
      <c r="AO53" s="16">
        <v>0</v>
      </c>
      <c r="AP53" s="16"/>
      <c r="AQ53" s="16">
        <v>0</v>
      </c>
      <c r="AR53" s="16"/>
      <c r="AS53" s="8">
        <f t="shared" si="16"/>
        <v>-143693</v>
      </c>
      <c r="AT53" s="8"/>
      <c r="AU53" s="16">
        <v>0</v>
      </c>
      <c r="AV53" s="16"/>
      <c r="AW53" s="16">
        <v>0</v>
      </c>
      <c r="AX53" s="16"/>
      <c r="AY53" s="16">
        <f t="shared" si="17"/>
        <v>3046944</v>
      </c>
      <c r="AZ53" s="16"/>
      <c r="BA53" s="7" t="s">
        <v>459</v>
      </c>
      <c r="BC53" s="7" t="s">
        <v>460</v>
      </c>
      <c r="BD53" s="16"/>
      <c r="BE53" s="16">
        <f>1465000+594988</f>
        <v>2059988</v>
      </c>
      <c r="BF53" s="16"/>
      <c r="BG53" s="16">
        <v>0</v>
      </c>
      <c r="BH53" s="16"/>
      <c r="BI53" s="16">
        <v>0</v>
      </c>
      <c r="BJ53" s="16"/>
      <c r="BK53" s="16">
        <f>41950+51163</f>
        <v>93113</v>
      </c>
      <c r="BL53" s="16"/>
      <c r="BM53" s="16">
        <f t="shared" si="24"/>
        <v>2153101</v>
      </c>
      <c r="BN53" s="17" t="s">
        <v>345</v>
      </c>
      <c r="BP53" s="18"/>
      <c r="BQ53" s="18"/>
      <c r="BR53" s="20"/>
      <c r="BS53" s="16"/>
      <c r="BT53" s="16"/>
      <c r="BU53" s="16"/>
      <c r="BV53" s="16"/>
      <c r="BW53" s="16"/>
      <c r="BX53" s="8"/>
      <c r="BY53" s="8"/>
      <c r="BZ53" s="16"/>
      <c r="CA53" s="16"/>
      <c r="CB53" s="16"/>
      <c r="CC53" s="16"/>
      <c r="CD53" s="16"/>
      <c r="CE53" s="16"/>
      <c r="CF53" s="6"/>
      <c r="CG53" s="18"/>
      <c r="CH53" s="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7"/>
    </row>
    <row r="54" spans="1:98" ht="12.75" customHeight="1" x14ac:dyDescent="0.2">
      <c r="A54" s="6" t="s">
        <v>70</v>
      </c>
      <c r="B54" s="20"/>
      <c r="C54" s="6" t="s">
        <v>64</v>
      </c>
      <c r="E54" s="16">
        <v>81595</v>
      </c>
      <c r="F54" s="16"/>
      <c r="G54" s="16">
        <v>3287873</v>
      </c>
      <c r="H54" s="16"/>
      <c r="I54" s="16">
        <f>+E54+G54</f>
        <v>3369468</v>
      </c>
      <c r="J54" s="16"/>
      <c r="K54" s="16">
        <v>81720</v>
      </c>
      <c r="L54" s="16"/>
      <c r="M54" s="16">
        <v>2925345</v>
      </c>
      <c r="N54" s="16"/>
      <c r="O54" s="16">
        <f>+K54+M54</f>
        <v>3007065</v>
      </c>
      <c r="P54" s="16"/>
      <c r="Q54" s="16">
        <v>280808</v>
      </c>
      <c r="R54" s="16"/>
      <c r="S54" s="16">
        <v>0</v>
      </c>
      <c r="T54" s="16"/>
      <c r="U54" s="16">
        <v>81595</v>
      </c>
      <c r="V54" s="16"/>
      <c r="W54" s="16">
        <f>SUM(Q54:U54)</f>
        <v>362403</v>
      </c>
      <c r="X54" s="16"/>
      <c r="Y54" s="6" t="s">
        <v>70</v>
      </c>
      <c r="AA54" s="6" t="s">
        <v>64</v>
      </c>
      <c r="AB54" s="6"/>
      <c r="AC54" s="16">
        <v>923</v>
      </c>
      <c r="AD54" s="16"/>
      <c r="AE54" s="16">
        <f>99779-90211</f>
        <v>9568</v>
      </c>
      <c r="AF54" s="16"/>
      <c r="AG54" s="16">
        <v>90211</v>
      </c>
      <c r="AH54" s="16"/>
      <c r="AI54" s="8">
        <f t="shared" si="6"/>
        <v>-98856</v>
      </c>
      <c r="AJ54" s="8"/>
      <c r="AK54" s="16">
        <v>-122647</v>
      </c>
      <c r="AL54" s="8"/>
      <c r="AM54" s="16">
        <v>201193</v>
      </c>
      <c r="AN54" s="16"/>
      <c r="AO54" s="16">
        <v>0</v>
      </c>
      <c r="AP54" s="16"/>
      <c r="AQ54" s="16">
        <v>0</v>
      </c>
      <c r="AR54" s="16"/>
      <c r="AS54" s="8">
        <f t="shared" si="16"/>
        <v>-20310</v>
      </c>
      <c r="AT54" s="8"/>
      <c r="AU54" s="16">
        <v>0</v>
      </c>
      <c r="AV54" s="16"/>
      <c r="AW54" s="16">
        <v>0</v>
      </c>
      <c r="AX54" s="16"/>
      <c r="AY54" s="16">
        <f t="shared" si="17"/>
        <v>-125</v>
      </c>
      <c r="AZ54" s="16"/>
      <c r="BA54" s="6" t="s">
        <v>70</v>
      </c>
      <c r="BC54" s="6" t="s">
        <v>64</v>
      </c>
      <c r="BD54" s="16"/>
      <c r="BE54" s="16">
        <v>0</v>
      </c>
      <c r="BF54" s="16"/>
      <c r="BG54" s="16">
        <v>0</v>
      </c>
      <c r="BH54" s="16"/>
      <c r="BI54" s="16">
        <f>2925345+81720</f>
        <v>3007065</v>
      </c>
      <c r="BJ54" s="16"/>
      <c r="BK54" s="16">
        <v>0</v>
      </c>
      <c r="BL54" s="16"/>
      <c r="BM54" s="16">
        <f t="shared" si="24"/>
        <v>3007065</v>
      </c>
      <c r="BN54" s="17" t="s">
        <v>345</v>
      </c>
      <c r="BO54" s="6"/>
      <c r="BP54" s="18"/>
      <c r="BQ54" s="18"/>
      <c r="BR54" s="20"/>
      <c r="BS54" s="16"/>
      <c r="BT54" s="16"/>
      <c r="BU54" s="16"/>
      <c r="BV54" s="16"/>
      <c r="BX54" s="8"/>
      <c r="BY54" s="16"/>
      <c r="BZ54" s="16"/>
      <c r="CA54" s="16"/>
      <c r="CB54" s="16"/>
      <c r="CC54" s="16"/>
      <c r="CD54" s="16"/>
      <c r="CE54" s="16"/>
      <c r="CF54" s="6"/>
      <c r="CG54" s="18"/>
      <c r="CH54" s="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7"/>
      <c r="CT54" s="6"/>
    </row>
    <row r="55" spans="1:98" ht="12.75" hidden="1" customHeight="1" x14ac:dyDescent="0.2">
      <c r="A55" s="6" t="s">
        <v>340</v>
      </c>
      <c r="B55" s="18"/>
      <c r="C55" s="6" t="s">
        <v>25</v>
      </c>
      <c r="E55" s="16">
        <f t="shared" si="14"/>
        <v>0</v>
      </c>
      <c r="F55" s="16"/>
      <c r="G55" s="16"/>
      <c r="H55" s="16"/>
      <c r="I55" s="16"/>
      <c r="J55" s="16"/>
      <c r="K55" s="16">
        <f t="shared" si="7"/>
        <v>0</v>
      </c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>
        <f t="shared" ref="W55:W57" si="25">SUM(Q55:U55)</f>
        <v>0</v>
      </c>
      <c r="X55" s="16"/>
      <c r="Y55" s="6" t="s">
        <v>340</v>
      </c>
      <c r="AA55" s="6" t="s">
        <v>25</v>
      </c>
      <c r="AB55" s="6"/>
      <c r="AC55" s="16"/>
      <c r="AD55" s="16"/>
      <c r="AE55" s="16"/>
      <c r="AF55" s="16"/>
      <c r="AG55" s="16"/>
      <c r="AH55" s="16"/>
      <c r="AI55" s="8">
        <f t="shared" si="6"/>
        <v>0</v>
      </c>
      <c r="AJ55" s="8"/>
      <c r="AK55" s="16"/>
      <c r="AL55" s="8"/>
      <c r="AM55" s="16"/>
      <c r="AN55" s="16"/>
      <c r="AO55" s="16"/>
      <c r="AP55" s="16"/>
      <c r="AQ55" s="16"/>
      <c r="AR55" s="16"/>
      <c r="AS55" s="8">
        <f t="shared" si="3"/>
        <v>0</v>
      </c>
      <c r="AT55" s="8"/>
      <c r="AU55" s="16">
        <v>0</v>
      </c>
      <c r="AV55" s="16"/>
      <c r="AW55" s="16">
        <v>0</v>
      </c>
      <c r="AX55" s="16"/>
      <c r="AY55" s="16">
        <f t="shared" si="4"/>
        <v>0</v>
      </c>
      <c r="AZ55" s="16"/>
      <c r="BA55" s="6" t="s">
        <v>340</v>
      </c>
      <c r="BC55" s="6" t="s">
        <v>25</v>
      </c>
      <c r="BD55" s="16"/>
      <c r="BE55" s="16"/>
      <c r="BF55" s="16"/>
      <c r="BG55" s="16"/>
      <c r="BH55" s="16"/>
      <c r="BI55" s="16"/>
      <c r="BJ55" s="16"/>
      <c r="BK55" s="16"/>
      <c r="BL55" s="16"/>
      <c r="BM55" s="16">
        <f t="shared" ref="BM55:BM73" si="26">SUM(BE55:BK55)</f>
        <v>0</v>
      </c>
      <c r="BN55" s="17" t="s">
        <v>345</v>
      </c>
      <c r="BP55" s="18"/>
      <c r="BQ55" s="18"/>
      <c r="BR55" s="20"/>
      <c r="BS55" s="16"/>
      <c r="BT55" s="16"/>
      <c r="BU55" s="16"/>
      <c r="BV55" s="16"/>
      <c r="BW55" s="16"/>
      <c r="BX55" s="8"/>
      <c r="BY55" s="8"/>
      <c r="BZ55" s="16"/>
      <c r="CA55" s="16"/>
      <c r="CB55" s="16"/>
      <c r="CC55" s="16"/>
      <c r="CD55" s="16"/>
      <c r="CE55" s="16"/>
      <c r="CF55" s="6"/>
      <c r="CG55" s="18"/>
      <c r="CH55" s="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7"/>
    </row>
    <row r="56" spans="1:98" ht="12.75" customHeight="1" x14ac:dyDescent="0.2">
      <c r="A56" s="6" t="s">
        <v>72</v>
      </c>
      <c r="B56" s="20"/>
      <c r="C56" s="6" t="s">
        <v>25</v>
      </c>
      <c r="E56" s="16">
        <v>982569</v>
      </c>
      <c r="F56" s="16"/>
      <c r="G56" s="16">
        <v>7826128</v>
      </c>
      <c r="H56" s="16"/>
      <c r="I56" s="16">
        <f t="shared" ref="I56:I62" si="27">+E56+G56</f>
        <v>8808697</v>
      </c>
      <c r="J56" s="16"/>
      <c r="K56" s="16">
        <v>290347</v>
      </c>
      <c r="L56" s="16"/>
      <c r="M56" s="16">
        <v>688306</v>
      </c>
      <c r="N56" s="16"/>
      <c r="O56" s="16">
        <f t="shared" ref="O56:O62" si="28">+K56+M56</f>
        <v>978653</v>
      </c>
      <c r="P56" s="16"/>
      <c r="Q56" s="16">
        <v>7142358</v>
      </c>
      <c r="R56" s="16"/>
      <c r="S56" s="16">
        <v>0</v>
      </c>
      <c r="T56" s="16"/>
      <c r="U56" s="16">
        <v>687686</v>
      </c>
      <c r="V56" s="16"/>
      <c r="W56" s="16">
        <f t="shared" si="25"/>
        <v>7830044</v>
      </c>
      <c r="X56" s="16"/>
      <c r="Y56" s="6" t="s">
        <v>72</v>
      </c>
      <c r="AA56" s="6" t="s">
        <v>25</v>
      </c>
      <c r="AB56" s="6"/>
      <c r="AC56" s="16">
        <v>1728603</v>
      </c>
      <c r="AD56" s="16"/>
      <c r="AE56" s="16">
        <f>1774638-218945</f>
        <v>1555693</v>
      </c>
      <c r="AF56" s="16"/>
      <c r="AG56" s="16">
        <v>218945</v>
      </c>
      <c r="AH56" s="16"/>
      <c r="AI56" s="8">
        <f t="shared" si="6"/>
        <v>-46035</v>
      </c>
      <c r="AJ56" s="8"/>
      <c r="AK56" s="16">
        <v>-13075</v>
      </c>
      <c r="AL56" s="8"/>
      <c r="AM56" s="16">
        <v>0</v>
      </c>
      <c r="AN56" s="16"/>
      <c r="AO56" s="16">
        <v>6864</v>
      </c>
      <c r="AP56" s="16"/>
      <c r="AQ56" s="16">
        <v>0</v>
      </c>
      <c r="AR56" s="16"/>
      <c r="AS56" s="8">
        <f t="shared" si="3"/>
        <v>-65974</v>
      </c>
      <c r="AT56" s="8"/>
      <c r="AU56" s="16">
        <v>0</v>
      </c>
      <c r="AV56" s="16"/>
      <c r="AW56" s="16">
        <v>0</v>
      </c>
      <c r="AX56" s="16"/>
      <c r="AY56" s="16">
        <f t="shared" si="4"/>
        <v>692222</v>
      </c>
      <c r="AZ56" s="16"/>
      <c r="BA56" s="6" t="s">
        <v>72</v>
      </c>
      <c r="BC56" s="6" t="s">
        <v>25</v>
      </c>
      <c r="BD56" s="16"/>
      <c r="BE56" s="16">
        <v>0</v>
      </c>
      <c r="BF56" s="16"/>
      <c r="BG56" s="16">
        <v>0</v>
      </c>
      <c r="BH56" s="16"/>
      <c r="BI56" s="16">
        <f>353911+272128+31484+26247</f>
        <v>683770</v>
      </c>
      <c r="BJ56" s="16"/>
      <c r="BK56" s="16">
        <f>84332+62267</f>
        <v>146599</v>
      </c>
      <c r="BL56" s="16"/>
      <c r="BM56" s="16">
        <f t="shared" si="26"/>
        <v>830369</v>
      </c>
      <c r="BN56" s="17" t="s">
        <v>345</v>
      </c>
      <c r="BP56" s="18"/>
      <c r="BQ56" s="18"/>
      <c r="BR56" s="20"/>
      <c r="BS56" s="16"/>
      <c r="BT56" s="16"/>
      <c r="BU56" s="16"/>
      <c r="BV56" s="16"/>
      <c r="BW56" s="16"/>
      <c r="BX56" s="8"/>
      <c r="BY56" s="8"/>
      <c r="BZ56" s="16"/>
      <c r="CA56" s="16"/>
      <c r="CB56" s="16"/>
      <c r="CC56" s="16"/>
      <c r="CD56" s="16"/>
      <c r="CE56" s="16"/>
      <c r="CF56" s="6"/>
      <c r="CG56" s="18"/>
      <c r="CH56" s="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7"/>
    </row>
    <row r="57" spans="1:98" ht="12.75" customHeight="1" x14ac:dyDescent="0.2">
      <c r="A57" s="6" t="s">
        <v>73</v>
      </c>
      <c r="B57" s="20"/>
      <c r="C57" s="6" t="s">
        <v>74</v>
      </c>
      <c r="E57" s="16">
        <v>998836</v>
      </c>
      <c r="F57" s="16"/>
      <c r="G57" s="16">
        <v>6871503</v>
      </c>
      <c r="H57" s="16"/>
      <c r="I57" s="16">
        <f t="shared" si="27"/>
        <v>7870339</v>
      </c>
      <c r="J57" s="16"/>
      <c r="K57" s="16">
        <v>131131</v>
      </c>
      <c r="L57" s="16"/>
      <c r="M57" s="16">
        <v>710437</v>
      </c>
      <c r="N57" s="16"/>
      <c r="O57" s="16">
        <f t="shared" si="28"/>
        <v>841568</v>
      </c>
      <c r="P57" s="16"/>
      <c r="Q57" s="16">
        <v>6152636</v>
      </c>
      <c r="R57" s="16"/>
      <c r="S57" s="16">
        <v>0</v>
      </c>
      <c r="T57" s="16"/>
      <c r="U57" s="16">
        <v>876135</v>
      </c>
      <c r="V57" s="16"/>
      <c r="W57" s="16">
        <f t="shared" si="25"/>
        <v>7028771</v>
      </c>
      <c r="X57" s="16"/>
      <c r="Y57" s="6" t="s">
        <v>73</v>
      </c>
      <c r="AA57" s="6" t="s">
        <v>74</v>
      </c>
      <c r="AB57" s="6"/>
      <c r="AC57" s="16">
        <v>1785568</v>
      </c>
      <c r="AD57" s="16"/>
      <c r="AE57" s="16">
        <f>2062764-306026</f>
        <v>1756738</v>
      </c>
      <c r="AF57" s="16"/>
      <c r="AG57" s="16">
        <v>306026</v>
      </c>
      <c r="AH57" s="16"/>
      <c r="AI57" s="8">
        <f t="shared" si="6"/>
        <v>-277196</v>
      </c>
      <c r="AJ57" s="8"/>
      <c r="AK57" s="16">
        <v>-25896</v>
      </c>
      <c r="AL57" s="8"/>
      <c r="AM57" s="16">
        <v>0</v>
      </c>
      <c r="AN57" s="16"/>
      <c r="AO57" s="16">
        <v>24000</v>
      </c>
      <c r="AP57" s="16"/>
      <c r="AQ57" s="16">
        <v>0</v>
      </c>
      <c r="AR57" s="16"/>
      <c r="AS57" s="8">
        <f t="shared" si="3"/>
        <v>-327092</v>
      </c>
      <c r="AT57" s="8"/>
      <c r="AU57" s="16">
        <v>0</v>
      </c>
      <c r="AV57" s="16"/>
      <c r="AW57" s="16">
        <v>0</v>
      </c>
      <c r="AX57" s="16"/>
      <c r="AY57" s="16">
        <f t="shared" si="4"/>
        <v>867705</v>
      </c>
      <c r="AZ57" s="16"/>
      <c r="BA57" s="6" t="s">
        <v>73</v>
      </c>
      <c r="BC57" s="6" t="s">
        <v>74</v>
      </c>
      <c r="BD57" s="16"/>
      <c r="BE57" s="16">
        <v>0</v>
      </c>
      <c r="BF57" s="16"/>
      <c r="BG57" s="16">
        <v>0</v>
      </c>
      <c r="BH57" s="16"/>
      <c r="BI57" s="16">
        <f>666500+52367</f>
        <v>718867</v>
      </c>
      <c r="BJ57" s="16"/>
      <c r="BK57" s="16">
        <f>43937+11792</f>
        <v>55729</v>
      </c>
      <c r="BL57" s="16"/>
      <c r="BM57" s="16">
        <f t="shared" si="26"/>
        <v>774596</v>
      </c>
      <c r="BN57" s="17" t="s">
        <v>345</v>
      </c>
      <c r="BP57" s="18"/>
      <c r="BQ57" s="18"/>
      <c r="BR57" s="20"/>
      <c r="BS57" s="16"/>
      <c r="BT57" s="16"/>
      <c r="BU57" s="16"/>
      <c r="BV57" s="16"/>
      <c r="BW57" s="16"/>
      <c r="BX57" s="8"/>
      <c r="BY57" s="8"/>
      <c r="BZ57" s="16"/>
      <c r="CA57" s="16"/>
      <c r="CB57" s="16"/>
      <c r="CC57" s="16"/>
      <c r="CD57" s="16"/>
      <c r="CE57" s="16"/>
      <c r="CF57" s="6"/>
      <c r="CG57" s="18"/>
      <c r="CH57" s="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7"/>
    </row>
    <row r="58" spans="1:98" ht="12.75" hidden="1" customHeight="1" x14ac:dyDescent="0.2">
      <c r="A58" s="6" t="s">
        <v>75</v>
      </c>
      <c r="B58" s="20"/>
      <c r="C58" s="6" t="s">
        <v>41</v>
      </c>
      <c r="E58" s="16">
        <v>242827000</v>
      </c>
      <c r="F58" s="16"/>
      <c r="G58" s="16">
        <v>2233887000</v>
      </c>
      <c r="H58" s="16"/>
      <c r="I58" s="16">
        <f t="shared" si="27"/>
        <v>2476714000</v>
      </c>
      <c r="J58" s="16"/>
      <c r="K58" s="16">
        <v>102806000</v>
      </c>
      <c r="L58" s="16"/>
      <c r="M58" s="16">
        <v>1602118000</v>
      </c>
      <c r="N58" s="16"/>
      <c r="O58" s="16">
        <f t="shared" si="28"/>
        <v>1704924000</v>
      </c>
      <c r="P58" s="16"/>
      <c r="Q58" s="16">
        <v>554373000</v>
      </c>
      <c r="R58" s="16"/>
      <c r="S58" s="16">
        <v>1538000</v>
      </c>
      <c r="T58" s="16"/>
      <c r="U58" s="16">
        <v>223960000</v>
      </c>
      <c r="V58" s="16"/>
      <c r="W58" s="16">
        <f t="shared" ref="W58:W63" si="29">SUM(Q58:U58)</f>
        <v>779871000</v>
      </c>
      <c r="X58" s="16"/>
      <c r="Y58" s="6" t="s">
        <v>75</v>
      </c>
      <c r="AA58" s="6" t="s">
        <v>41</v>
      </c>
      <c r="AB58" s="6"/>
      <c r="AC58" s="16">
        <v>235036000</v>
      </c>
      <c r="AD58" s="16"/>
      <c r="AE58" s="16">
        <f>147419000-54113000</f>
        <v>93306000</v>
      </c>
      <c r="AF58" s="16"/>
      <c r="AG58" s="16">
        <v>54113000</v>
      </c>
      <c r="AH58" s="16"/>
      <c r="AI58" s="8">
        <f t="shared" si="6"/>
        <v>87617000</v>
      </c>
      <c r="AJ58" s="8"/>
      <c r="AK58" s="16">
        <v>-46205000</v>
      </c>
      <c r="AL58" s="8"/>
      <c r="AM58" s="16">
        <v>0</v>
      </c>
      <c r="AN58" s="16"/>
      <c r="AO58" s="16">
        <v>0</v>
      </c>
      <c r="AP58" s="16"/>
      <c r="AQ58" s="16">
        <v>0</v>
      </c>
      <c r="AR58" s="16"/>
      <c r="AS58" s="8">
        <f t="shared" si="3"/>
        <v>41412000</v>
      </c>
      <c r="AT58" s="8"/>
      <c r="AU58" s="16">
        <v>0</v>
      </c>
      <c r="AV58" s="16"/>
      <c r="AW58" s="16">
        <v>0</v>
      </c>
      <c r="AX58" s="16"/>
      <c r="AY58" s="16">
        <f t="shared" si="4"/>
        <v>140021000</v>
      </c>
      <c r="AZ58" s="16"/>
      <c r="BA58" s="6" t="s">
        <v>75</v>
      </c>
      <c r="BC58" s="6" t="s">
        <v>41</v>
      </c>
      <c r="BD58" s="16"/>
      <c r="BE58" s="16">
        <f>1602118000+71697000</f>
        <v>1673815000</v>
      </c>
      <c r="BF58" s="16"/>
      <c r="BG58" s="16">
        <v>0</v>
      </c>
      <c r="BH58" s="16"/>
      <c r="BI58" s="16">
        <v>0</v>
      </c>
      <c r="BJ58" s="16"/>
      <c r="BK58" s="16">
        <v>0</v>
      </c>
      <c r="BL58" s="16"/>
      <c r="BM58" s="16">
        <f t="shared" si="26"/>
        <v>1673815000</v>
      </c>
      <c r="BN58" s="17" t="s">
        <v>345</v>
      </c>
      <c r="BP58" s="18"/>
      <c r="BQ58" s="18"/>
      <c r="BR58" s="20"/>
      <c r="BS58" s="16"/>
      <c r="BT58" s="16"/>
      <c r="BU58" s="16"/>
      <c r="BV58" s="16"/>
      <c r="BW58" s="16"/>
      <c r="BX58" s="8"/>
      <c r="BY58" s="8"/>
      <c r="BZ58" s="16"/>
      <c r="CA58" s="16"/>
      <c r="CB58" s="16"/>
      <c r="CC58" s="16"/>
      <c r="CD58" s="16"/>
      <c r="CE58" s="16"/>
      <c r="CF58" s="6"/>
      <c r="CG58" s="18"/>
      <c r="CH58" s="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7"/>
    </row>
    <row r="59" spans="1:98" ht="12.75" customHeight="1" x14ac:dyDescent="0.2">
      <c r="A59" s="6" t="s">
        <v>92</v>
      </c>
      <c r="C59" s="6" t="s">
        <v>92</v>
      </c>
      <c r="E59" s="16">
        <v>6915752</v>
      </c>
      <c r="F59" s="16"/>
      <c r="G59" s="16">
        <v>15047512</v>
      </c>
      <c r="H59" s="16"/>
      <c r="I59" s="16">
        <f t="shared" si="27"/>
        <v>21963264</v>
      </c>
      <c r="J59" s="16"/>
      <c r="K59" s="16">
        <v>519600</v>
      </c>
      <c r="L59" s="16"/>
      <c r="M59" s="16">
        <v>11322886</v>
      </c>
      <c r="N59" s="16"/>
      <c r="O59" s="16">
        <f t="shared" si="28"/>
        <v>11842486</v>
      </c>
      <c r="P59" s="16"/>
      <c r="Q59" s="16">
        <v>3375690</v>
      </c>
      <c r="R59" s="16"/>
      <c r="S59" s="16">
        <v>0</v>
      </c>
      <c r="T59" s="16"/>
      <c r="U59" s="16">
        <v>6745088</v>
      </c>
      <c r="V59" s="16"/>
      <c r="W59" s="16">
        <f>SUM(Q59:U59)</f>
        <v>10120778</v>
      </c>
      <c r="X59" s="16"/>
      <c r="Y59" s="6" t="str">
        <f>+A59</f>
        <v>Columbiana</v>
      </c>
      <c r="AA59" s="6" t="s">
        <v>92</v>
      </c>
      <c r="AB59" s="6"/>
      <c r="AC59" s="16">
        <v>2351823</v>
      </c>
      <c r="AD59" s="16"/>
      <c r="AE59" s="16">
        <f>1279603-549709</f>
        <v>729894</v>
      </c>
      <c r="AF59" s="16"/>
      <c r="AG59" s="16">
        <v>549709</v>
      </c>
      <c r="AH59" s="16"/>
      <c r="AI59" s="8">
        <f t="shared" si="6"/>
        <v>1072220</v>
      </c>
      <c r="AJ59" s="8"/>
      <c r="AK59" s="16">
        <v>-466439</v>
      </c>
      <c r="AL59" s="8"/>
      <c r="AM59" s="16">
        <v>0</v>
      </c>
      <c r="AN59" s="16"/>
      <c r="AO59" s="16">
        <v>0</v>
      </c>
      <c r="AP59" s="16"/>
      <c r="AQ59" s="16">
        <v>0</v>
      </c>
      <c r="AR59" s="16"/>
      <c r="AS59" s="8">
        <f t="shared" si="3"/>
        <v>605781</v>
      </c>
      <c r="AT59" s="8"/>
      <c r="AU59" s="16">
        <v>0</v>
      </c>
      <c r="AV59" s="16"/>
      <c r="AW59" s="16">
        <v>0</v>
      </c>
      <c r="AX59" s="16"/>
      <c r="AY59" s="16">
        <f>+E59-K59</f>
        <v>6396152</v>
      </c>
      <c r="AZ59" s="16"/>
      <c r="BA59" s="6" t="str">
        <f>+Y59</f>
        <v>Columbiana</v>
      </c>
      <c r="BC59" s="6" t="s">
        <v>92</v>
      </c>
      <c r="BD59" s="16"/>
      <c r="BE59" s="16">
        <v>0</v>
      </c>
      <c r="BF59" s="16"/>
      <c r="BG59" s="16">
        <f>6549200+98200</f>
        <v>6647400</v>
      </c>
      <c r="BH59" s="16"/>
      <c r="BI59" s="16">
        <f>955933+43489</f>
        <v>999422</v>
      </c>
      <c r="BJ59" s="16"/>
      <c r="BK59" s="16">
        <f>3795000+22753+230000+9002</f>
        <v>4056755</v>
      </c>
      <c r="BL59" s="16"/>
      <c r="BM59" s="16">
        <f t="shared" si="26"/>
        <v>11703577</v>
      </c>
      <c r="BN59" s="17" t="s">
        <v>345</v>
      </c>
      <c r="BO59" s="6"/>
      <c r="BP59" s="18"/>
      <c r="BQ59" s="18"/>
      <c r="BR59" s="14"/>
      <c r="BS59" s="16"/>
      <c r="BT59" s="16"/>
      <c r="BU59" s="16"/>
      <c r="BV59" s="16"/>
      <c r="BX59" s="8"/>
      <c r="BY59" s="16"/>
      <c r="BZ59" s="16"/>
      <c r="CA59" s="16"/>
      <c r="CB59" s="16"/>
      <c r="CC59" s="16"/>
      <c r="CD59" s="16"/>
      <c r="CE59" s="16"/>
      <c r="CF59" s="6"/>
      <c r="CG59" s="18"/>
      <c r="CH59" s="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7"/>
      <c r="CT59" s="6"/>
    </row>
    <row r="60" spans="1:98" ht="12.75" customHeight="1" x14ac:dyDescent="0.2">
      <c r="A60" s="6" t="s">
        <v>76</v>
      </c>
      <c r="C60" s="6" t="s">
        <v>17</v>
      </c>
      <c r="E60" s="16">
        <v>743111</v>
      </c>
      <c r="F60" s="16"/>
      <c r="G60" s="16">
        <v>11039377</v>
      </c>
      <c r="H60" s="16"/>
      <c r="I60" s="16">
        <f t="shared" si="27"/>
        <v>11782488</v>
      </c>
      <c r="J60" s="16"/>
      <c r="K60" s="16">
        <v>631289</v>
      </c>
      <c r="L60" s="16"/>
      <c r="M60" s="16">
        <v>3541021</v>
      </c>
      <c r="N60" s="16"/>
      <c r="O60" s="16">
        <f t="shared" si="28"/>
        <v>4172310</v>
      </c>
      <c r="P60" s="16"/>
      <c r="Q60" s="16">
        <v>7182808</v>
      </c>
      <c r="R60" s="16"/>
      <c r="S60" s="16">
        <v>0</v>
      </c>
      <c r="T60" s="16"/>
      <c r="U60" s="16">
        <v>427370</v>
      </c>
      <c r="V60" s="16"/>
      <c r="W60" s="16">
        <f t="shared" si="29"/>
        <v>7610178</v>
      </c>
      <c r="X60" s="16"/>
      <c r="Y60" s="6" t="s">
        <v>76</v>
      </c>
      <c r="AA60" s="6" t="s">
        <v>17</v>
      </c>
      <c r="AB60" s="6"/>
      <c r="AC60" s="16">
        <v>2257163</v>
      </c>
      <c r="AD60" s="16"/>
      <c r="AE60" s="16">
        <f>1685079-374730</f>
        <v>1310349</v>
      </c>
      <c r="AF60" s="16"/>
      <c r="AG60" s="16">
        <v>374730</v>
      </c>
      <c r="AH60" s="16"/>
      <c r="AI60" s="8">
        <f t="shared" si="6"/>
        <v>572084</v>
      </c>
      <c r="AJ60" s="8"/>
      <c r="AK60" s="16">
        <v>111404</v>
      </c>
      <c r="AL60" s="8"/>
      <c r="AM60" s="16">
        <v>0</v>
      </c>
      <c r="AN60" s="16"/>
      <c r="AO60" s="16">
        <v>117329</v>
      </c>
      <c r="AP60" s="16"/>
      <c r="AQ60" s="16">
        <v>227552</v>
      </c>
      <c r="AR60" s="16"/>
      <c r="AS60" s="8">
        <f t="shared" si="3"/>
        <v>793711</v>
      </c>
      <c r="AT60" s="8"/>
      <c r="AU60" s="16">
        <v>0</v>
      </c>
      <c r="AV60" s="16"/>
      <c r="AW60" s="16">
        <v>0</v>
      </c>
      <c r="AX60" s="16"/>
      <c r="AY60" s="16">
        <f t="shared" si="4"/>
        <v>111822</v>
      </c>
      <c r="AZ60" s="16"/>
      <c r="BA60" s="6" t="s">
        <v>76</v>
      </c>
      <c r="BC60" s="6" t="s">
        <v>17</v>
      </c>
      <c r="BD60" s="16"/>
      <c r="BE60" s="16">
        <f>77650+7979</f>
        <v>85629</v>
      </c>
      <c r="BF60" s="16"/>
      <c r="BG60" s="16">
        <v>0</v>
      </c>
      <c r="BH60" s="16"/>
      <c r="BI60" s="16">
        <f>104386+2952880+92001+3301+323649+15333</f>
        <v>3491550</v>
      </c>
      <c r="BJ60" s="16"/>
      <c r="BK60" s="16">
        <f>160000+154104+110000+26340</f>
        <v>450444</v>
      </c>
      <c r="BL60" s="16"/>
      <c r="BM60" s="16">
        <f t="shared" si="26"/>
        <v>4027623</v>
      </c>
      <c r="BN60" s="17" t="s">
        <v>345</v>
      </c>
      <c r="BP60" s="18"/>
      <c r="BQ60" s="18"/>
      <c r="BR60" s="14"/>
      <c r="BS60" s="16"/>
      <c r="BT60" s="16"/>
      <c r="BU60" s="16"/>
      <c r="BV60" s="16"/>
      <c r="BW60" s="16"/>
      <c r="BX60" s="8"/>
      <c r="BY60" s="8"/>
      <c r="BZ60" s="16"/>
      <c r="CA60" s="16"/>
      <c r="CB60" s="16"/>
      <c r="CC60" s="16"/>
      <c r="CD60" s="16"/>
      <c r="CE60" s="16"/>
      <c r="CF60" s="6"/>
      <c r="CG60" s="18"/>
      <c r="CH60" s="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7"/>
    </row>
    <row r="61" spans="1:98" ht="12.75" customHeight="1" x14ac:dyDescent="0.2">
      <c r="A61" s="6" t="s">
        <v>77</v>
      </c>
      <c r="B61" s="18"/>
      <c r="C61" s="6" t="s">
        <v>78</v>
      </c>
      <c r="E61" s="16">
        <v>298184</v>
      </c>
      <c r="F61" s="16"/>
      <c r="G61" s="16">
        <v>4911454</v>
      </c>
      <c r="H61" s="16"/>
      <c r="I61" s="16">
        <f t="shared" si="27"/>
        <v>5209638</v>
      </c>
      <c r="J61" s="16"/>
      <c r="K61" s="16">
        <v>52820</v>
      </c>
      <c r="L61" s="16"/>
      <c r="M61" s="16">
        <v>64175</v>
      </c>
      <c r="N61" s="16"/>
      <c r="O61" s="16">
        <f t="shared" si="28"/>
        <v>116995</v>
      </c>
      <c r="P61" s="16"/>
      <c r="Q61" s="16">
        <v>4839677</v>
      </c>
      <c r="R61" s="16"/>
      <c r="S61" s="16">
        <v>0</v>
      </c>
      <c r="T61" s="16"/>
      <c r="U61" s="16">
        <v>252966</v>
      </c>
      <c r="V61" s="16"/>
      <c r="W61" s="16">
        <f t="shared" si="29"/>
        <v>5092643</v>
      </c>
      <c r="X61" s="16"/>
      <c r="Y61" s="6" t="s">
        <v>77</v>
      </c>
      <c r="AA61" s="6" t="s">
        <v>78</v>
      </c>
      <c r="AB61" s="6"/>
      <c r="AC61" s="16">
        <v>830831</v>
      </c>
      <c r="AD61" s="16"/>
      <c r="AE61" s="16">
        <f>968544-195759</f>
        <v>772785</v>
      </c>
      <c r="AF61" s="16"/>
      <c r="AG61" s="16">
        <v>195759</v>
      </c>
      <c r="AH61" s="16"/>
      <c r="AI61" s="8">
        <f t="shared" si="6"/>
        <v>-137713</v>
      </c>
      <c r="AJ61" s="8"/>
      <c r="AK61" s="16">
        <v>0</v>
      </c>
      <c r="AL61" s="8"/>
      <c r="AM61" s="16">
        <v>0</v>
      </c>
      <c r="AN61" s="16"/>
      <c r="AO61" s="16">
        <v>0</v>
      </c>
      <c r="AP61" s="16"/>
      <c r="AQ61" s="16">
        <v>0</v>
      </c>
      <c r="AR61" s="16"/>
      <c r="AS61" s="8">
        <f t="shared" si="3"/>
        <v>-137713</v>
      </c>
      <c r="AT61" s="8"/>
      <c r="AU61" s="16">
        <v>0</v>
      </c>
      <c r="AV61" s="16"/>
      <c r="AW61" s="16">
        <v>0</v>
      </c>
      <c r="AX61" s="16"/>
      <c r="AY61" s="16">
        <f t="shared" si="4"/>
        <v>245364</v>
      </c>
      <c r="AZ61" s="16"/>
      <c r="BA61" s="6" t="s">
        <v>77</v>
      </c>
      <c r="BC61" s="6" t="s">
        <v>78</v>
      </c>
      <c r="BD61" s="16"/>
      <c r="BE61" s="16">
        <v>0</v>
      </c>
      <c r="BF61" s="16"/>
      <c r="BG61" s="16">
        <v>0</v>
      </c>
      <c r="BH61" s="16"/>
      <c r="BI61" s="16">
        <f>1707276+1165880+115359</f>
        <v>2988515</v>
      </c>
      <c r="BJ61" s="16"/>
      <c r="BK61" s="16">
        <f>35417+5028</f>
        <v>40445</v>
      </c>
      <c r="BL61" s="16"/>
      <c r="BM61" s="16">
        <f t="shared" si="26"/>
        <v>3028960</v>
      </c>
      <c r="BN61" s="17" t="s">
        <v>345</v>
      </c>
      <c r="BP61" s="18"/>
      <c r="BQ61" s="18"/>
      <c r="BR61" s="14"/>
      <c r="BS61" s="16"/>
      <c r="BT61" s="16"/>
      <c r="BU61" s="16"/>
      <c r="BV61" s="16"/>
      <c r="BW61" s="16"/>
      <c r="BX61" s="8"/>
      <c r="BY61" s="8"/>
      <c r="BZ61" s="16"/>
      <c r="CA61" s="16"/>
      <c r="CB61" s="16"/>
      <c r="CC61" s="16"/>
      <c r="CD61" s="16"/>
      <c r="CE61" s="16"/>
      <c r="CF61" s="6"/>
      <c r="CG61" s="18"/>
      <c r="CH61" s="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7"/>
    </row>
    <row r="62" spans="1:98" ht="12.75" customHeight="1" x14ac:dyDescent="0.2">
      <c r="A62" s="6" t="s">
        <v>79</v>
      </c>
      <c r="C62" s="6" t="s">
        <v>79</v>
      </c>
      <c r="E62" s="16">
        <v>1016020</v>
      </c>
      <c r="F62" s="16"/>
      <c r="G62" s="16">
        <v>8391944</v>
      </c>
      <c r="H62" s="16"/>
      <c r="I62" s="16">
        <f t="shared" si="27"/>
        <v>9407964</v>
      </c>
      <c r="J62" s="16"/>
      <c r="K62" s="16">
        <v>421066</v>
      </c>
      <c r="L62" s="16"/>
      <c r="M62" s="16">
        <v>7569033</v>
      </c>
      <c r="N62" s="16"/>
      <c r="O62" s="16">
        <f t="shared" si="28"/>
        <v>7990099</v>
      </c>
      <c r="P62" s="16"/>
      <c r="Q62" s="16">
        <v>899059</v>
      </c>
      <c r="R62" s="16"/>
      <c r="S62" s="16">
        <v>0</v>
      </c>
      <c r="T62" s="16"/>
      <c r="U62" s="16">
        <v>518806</v>
      </c>
      <c r="V62" s="16"/>
      <c r="W62" s="16">
        <f t="shared" si="29"/>
        <v>1417865</v>
      </c>
      <c r="X62" s="16"/>
      <c r="Y62" s="6" t="s">
        <v>79</v>
      </c>
      <c r="AA62" s="6" t="s">
        <v>79</v>
      </c>
      <c r="AB62" s="6"/>
      <c r="AC62" s="16">
        <v>1240027</v>
      </c>
      <c r="AD62" s="16"/>
      <c r="AE62" s="16">
        <f>1398530-355810</f>
        <v>1042720</v>
      </c>
      <c r="AF62" s="16"/>
      <c r="AG62" s="16">
        <v>355810</v>
      </c>
      <c r="AH62" s="16"/>
      <c r="AI62" s="8">
        <f t="shared" si="6"/>
        <v>-158503</v>
      </c>
      <c r="AJ62" s="8"/>
      <c r="AK62" s="16">
        <v>-247920</v>
      </c>
      <c r="AL62" s="8"/>
      <c r="AM62" s="16">
        <v>0</v>
      </c>
      <c r="AN62" s="16"/>
      <c r="AO62" s="16">
        <v>0</v>
      </c>
      <c r="AP62" s="16"/>
      <c r="AQ62" s="16">
        <v>0</v>
      </c>
      <c r="AR62" s="16"/>
      <c r="AS62" s="8">
        <f t="shared" si="3"/>
        <v>-406423</v>
      </c>
      <c r="AT62" s="8"/>
      <c r="AU62" s="16">
        <v>0</v>
      </c>
      <c r="AV62" s="16"/>
      <c r="AW62" s="16">
        <v>0</v>
      </c>
      <c r="AX62" s="16"/>
      <c r="AY62" s="16">
        <f t="shared" si="4"/>
        <v>594954</v>
      </c>
      <c r="AZ62" s="16"/>
      <c r="BA62" s="6" t="s">
        <v>79</v>
      </c>
      <c r="BC62" s="6" t="s">
        <v>79</v>
      </c>
      <c r="BD62" s="16"/>
      <c r="BE62" s="16">
        <v>0</v>
      </c>
      <c r="BF62" s="16"/>
      <c r="BG62" s="16">
        <v>0</v>
      </c>
      <c r="BH62" s="16"/>
      <c r="BI62" s="16">
        <v>7492885</v>
      </c>
      <c r="BJ62" s="16"/>
      <c r="BK62" s="16">
        <f>76148+9674</f>
        <v>85822</v>
      </c>
      <c r="BL62" s="16"/>
      <c r="BM62" s="16">
        <f t="shared" si="26"/>
        <v>7578707</v>
      </c>
      <c r="BN62" s="17" t="s">
        <v>345</v>
      </c>
      <c r="BP62" s="18"/>
      <c r="BQ62" s="18"/>
      <c r="BR62" s="14"/>
      <c r="BS62" s="16"/>
      <c r="BT62" s="16"/>
      <c r="BU62" s="16"/>
      <c r="BV62" s="16"/>
      <c r="BW62" s="16"/>
      <c r="BX62" s="8"/>
      <c r="BY62" s="8"/>
      <c r="BZ62" s="16"/>
      <c r="CA62" s="16"/>
      <c r="CB62" s="16"/>
      <c r="CC62" s="16"/>
      <c r="CD62" s="16"/>
      <c r="CE62" s="16"/>
      <c r="CF62" s="7"/>
      <c r="CG62" s="18"/>
      <c r="CH62" s="7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7"/>
    </row>
    <row r="63" spans="1:98" ht="12.75" hidden="1" customHeight="1" x14ac:dyDescent="0.2">
      <c r="A63" s="10" t="s">
        <v>461</v>
      </c>
      <c r="B63" s="10"/>
      <c r="C63" s="10" t="s">
        <v>55</v>
      </c>
      <c r="E63" s="16">
        <f t="shared" si="14"/>
        <v>0</v>
      </c>
      <c r="F63" s="16"/>
      <c r="G63" s="16"/>
      <c r="H63" s="16"/>
      <c r="I63" s="16"/>
      <c r="J63" s="16"/>
      <c r="K63" s="16">
        <f t="shared" si="7"/>
        <v>0</v>
      </c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>
        <f t="shared" si="29"/>
        <v>0</v>
      </c>
      <c r="X63" s="16"/>
      <c r="Y63" s="10" t="s">
        <v>461</v>
      </c>
      <c r="Z63" s="10"/>
      <c r="AA63" s="10" t="s">
        <v>55</v>
      </c>
      <c r="AB63" s="6"/>
      <c r="AC63" s="16"/>
      <c r="AD63" s="16"/>
      <c r="AE63" s="16"/>
      <c r="AF63" s="16"/>
      <c r="AG63" s="16"/>
      <c r="AH63" s="16"/>
      <c r="AI63" s="8">
        <f t="shared" si="6"/>
        <v>0</v>
      </c>
      <c r="AJ63" s="8"/>
      <c r="AK63" s="16"/>
      <c r="AL63" s="8"/>
      <c r="AM63" s="16"/>
      <c r="AN63" s="16"/>
      <c r="AO63" s="16"/>
      <c r="AP63" s="16"/>
      <c r="AQ63" s="16"/>
      <c r="AR63" s="16"/>
      <c r="AS63" s="8">
        <f t="shared" si="3"/>
        <v>0</v>
      </c>
      <c r="AT63" s="8"/>
      <c r="AU63" s="16">
        <v>0</v>
      </c>
      <c r="AV63" s="16"/>
      <c r="AW63" s="16">
        <v>0</v>
      </c>
      <c r="AX63" s="16"/>
      <c r="AY63" s="16">
        <f t="shared" si="4"/>
        <v>0</v>
      </c>
      <c r="AZ63" s="16"/>
      <c r="BA63" s="10" t="s">
        <v>461</v>
      </c>
      <c r="BB63" s="10"/>
      <c r="BC63" s="10" t="s">
        <v>55</v>
      </c>
      <c r="BD63" s="16"/>
      <c r="BE63" s="16"/>
      <c r="BF63" s="16"/>
      <c r="BG63" s="16"/>
      <c r="BH63" s="16"/>
      <c r="BI63" s="16"/>
      <c r="BJ63" s="16"/>
      <c r="BK63" s="16"/>
      <c r="BL63" s="16"/>
      <c r="BM63" s="16">
        <f t="shared" si="26"/>
        <v>0</v>
      </c>
      <c r="BN63" s="17" t="s">
        <v>345</v>
      </c>
      <c r="BP63" s="18"/>
      <c r="BQ63" s="18"/>
      <c r="BR63" s="14"/>
      <c r="BS63" s="16"/>
      <c r="BT63" s="16"/>
      <c r="BU63" s="16"/>
      <c r="BV63" s="16"/>
      <c r="BW63" s="16"/>
      <c r="BX63" s="8"/>
      <c r="BY63" s="8"/>
      <c r="BZ63" s="16"/>
      <c r="CA63" s="16"/>
      <c r="CB63" s="16"/>
      <c r="CC63" s="16"/>
      <c r="CD63" s="16"/>
      <c r="CE63" s="16"/>
      <c r="CF63" s="6"/>
      <c r="CG63" s="18"/>
      <c r="CH63" s="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7"/>
    </row>
    <row r="64" spans="1:98" ht="12.75" hidden="1" customHeight="1" x14ac:dyDescent="0.2">
      <c r="A64" s="6" t="s">
        <v>80</v>
      </c>
      <c r="C64" s="6" t="s">
        <v>11</v>
      </c>
      <c r="E64" s="16">
        <v>4370026</v>
      </c>
      <c r="F64" s="16"/>
      <c r="G64" s="16">
        <v>20524606</v>
      </c>
      <c r="H64" s="16"/>
      <c r="I64" s="16">
        <f>+E64+G64</f>
        <v>24894632</v>
      </c>
      <c r="J64" s="16"/>
      <c r="K64" s="16">
        <v>1845855</v>
      </c>
      <c r="L64" s="16"/>
      <c r="M64" s="16">
        <v>5114829</v>
      </c>
      <c r="N64" s="16"/>
      <c r="O64" s="16">
        <f>+K64+M64</f>
        <v>6960684</v>
      </c>
      <c r="P64" s="16"/>
      <c r="Q64" s="16">
        <v>14941645</v>
      </c>
      <c r="R64" s="16"/>
      <c r="S64" s="16">
        <v>0</v>
      </c>
      <c r="T64" s="16"/>
      <c r="U64" s="16">
        <v>2992303</v>
      </c>
      <c r="V64" s="16"/>
      <c r="W64" s="16">
        <f t="shared" ref="W64:W65" si="30">SUM(Q64:U64)</f>
        <v>17933948</v>
      </c>
      <c r="X64" s="16"/>
      <c r="Y64" s="6" t="s">
        <v>80</v>
      </c>
      <c r="AA64" s="6" t="s">
        <v>11</v>
      </c>
      <c r="AB64" s="6"/>
      <c r="AC64" s="16">
        <v>6621540</v>
      </c>
      <c r="AD64" s="16"/>
      <c r="AE64" s="16">
        <f>5850125-835824</f>
        <v>5014301</v>
      </c>
      <c r="AF64" s="16"/>
      <c r="AG64" s="16">
        <v>835824</v>
      </c>
      <c r="AH64" s="16"/>
      <c r="AI64" s="8">
        <f t="shared" si="6"/>
        <v>771415</v>
      </c>
      <c r="AJ64" s="8"/>
      <c r="AK64" s="16">
        <v>-236790</v>
      </c>
      <c r="AL64" s="8"/>
      <c r="AM64" s="16">
        <v>0</v>
      </c>
      <c r="AN64" s="16"/>
      <c r="AO64" s="16">
        <v>9740</v>
      </c>
      <c r="AP64" s="16"/>
      <c r="AQ64" s="16">
        <v>30008</v>
      </c>
      <c r="AR64" s="16"/>
      <c r="AS64" s="8">
        <f t="shared" si="3"/>
        <v>554893</v>
      </c>
      <c r="AT64" s="8"/>
      <c r="AU64" s="16">
        <v>0</v>
      </c>
      <c r="AV64" s="16"/>
      <c r="AW64" s="16">
        <v>0</v>
      </c>
      <c r="AX64" s="16"/>
      <c r="AY64" s="16">
        <f t="shared" si="4"/>
        <v>2524171</v>
      </c>
      <c r="AZ64" s="16"/>
      <c r="BA64" s="6" t="s">
        <v>80</v>
      </c>
      <c r="BC64" s="6" t="s">
        <v>11</v>
      </c>
      <c r="BD64" s="16"/>
      <c r="BE64" s="16">
        <f>1359000+277000</f>
        <v>1636000</v>
      </c>
      <c r="BF64" s="16"/>
      <c r="BG64" s="16">
        <v>0</v>
      </c>
      <c r="BH64" s="16"/>
      <c r="BI64" s="16">
        <v>0</v>
      </c>
      <c r="BJ64" s="16"/>
      <c r="BK64" s="16">
        <f>201170+3385329+85000+84330+44119+485097+85000</f>
        <v>4370045</v>
      </c>
      <c r="BL64" s="16"/>
      <c r="BM64" s="16">
        <f t="shared" si="26"/>
        <v>6006045</v>
      </c>
      <c r="BN64" s="17" t="s">
        <v>345</v>
      </c>
      <c r="BP64" s="18"/>
      <c r="BQ64" s="18"/>
      <c r="BR64" s="14"/>
      <c r="BS64" s="16"/>
      <c r="BT64" s="16"/>
      <c r="BU64" s="16"/>
      <c r="BV64" s="16"/>
      <c r="BW64" s="16"/>
      <c r="BX64" s="8"/>
      <c r="BY64" s="8"/>
      <c r="BZ64" s="16"/>
      <c r="CA64" s="16"/>
      <c r="CB64" s="16"/>
      <c r="CC64" s="16"/>
      <c r="CD64" s="16"/>
      <c r="CE64" s="16"/>
      <c r="CF64" s="6"/>
      <c r="CG64" s="18"/>
      <c r="CH64" s="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7"/>
    </row>
    <row r="65" spans="1:105" ht="12.75" customHeight="1" x14ac:dyDescent="0.2">
      <c r="A65" s="6" t="s">
        <v>81</v>
      </c>
      <c r="C65" s="6" t="s">
        <v>64</v>
      </c>
      <c r="E65" s="16">
        <v>54116460</v>
      </c>
      <c r="F65" s="16"/>
      <c r="G65" s="16">
        <v>89175606</v>
      </c>
      <c r="H65" s="16"/>
      <c r="I65" s="16">
        <f>+E65+G65</f>
        <v>143292066</v>
      </c>
      <c r="J65" s="16"/>
      <c r="K65" s="16">
        <v>6772729</v>
      </c>
      <c r="L65" s="16"/>
      <c r="M65" s="16">
        <v>23839437</v>
      </c>
      <c r="N65" s="16"/>
      <c r="O65" s="16">
        <f>+K65+M65</f>
        <v>30612166</v>
      </c>
      <c r="P65" s="16"/>
      <c r="Q65" s="16">
        <v>64000606</v>
      </c>
      <c r="R65" s="16"/>
      <c r="S65" s="16">
        <v>0</v>
      </c>
      <c r="T65" s="16"/>
      <c r="U65" s="16">
        <v>48679294</v>
      </c>
      <c r="V65" s="16"/>
      <c r="W65" s="16">
        <f t="shared" si="30"/>
        <v>112679900</v>
      </c>
      <c r="X65" s="16"/>
      <c r="Y65" s="6" t="s">
        <v>81</v>
      </c>
      <c r="AA65" s="6" t="s">
        <v>64</v>
      </c>
      <c r="AB65" s="6"/>
      <c r="AC65" s="16">
        <v>33140294</v>
      </c>
      <c r="AD65" s="16"/>
      <c r="AE65" s="16">
        <f>29624763-7146411</f>
        <v>22478352</v>
      </c>
      <c r="AF65" s="16"/>
      <c r="AG65" s="16">
        <v>7146411</v>
      </c>
      <c r="AH65" s="16"/>
      <c r="AI65" s="8">
        <f t="shared" si="6"/>
        <v>3515531</v>
      </c>
      <c r="AJ65" s="8"/>
      <c r="AK65" s="16">
        <v>-251177</v>
      </c>
      <c r="AL65" s="8"/>
      <c r="AM65" s="16">
        <v>0</v>
      </c>
      <c r="AN65" s="16"/>
      <c r="AO65" s="16">
        <v>0</v>
      </c>
      <c r="AP65" s="16"/>
      <c r="AQ65" s="16">
        <v>205264</v>
      </c>
      <c r="AR65" s="16"/>
      <c r="AS65" s="8">
        <f t="shared" si="3"/>
        <v>3469618</v>
      </c>
      <c r="AT65" s="8"/>
      <c r="AU65" s="16">
        <v>0</v>
      </c>
      <c r="AV65" s="16"/>
      <c r="AW65" s="16">
        <v>0</v>
      </c>
      <c r="AX65" s="16"/>
      <c r="AY65" s="16">
        <f t="shared" si="4"/>
        <v>47343731</v>
      </c>
      <c r="AZ65" s="16"/>
      <c r="BA65" s="6" t="s">
        <v>81</v>
      </c>
      <c r="BC65" s="6" t="s">
        <v>64</v>
      </c>
      <c r="BD65" s="16"/>
      <c r="BE65" s="16">
        <f>1405000+795000</f>
        <v>2200000</v>
      </c>
      <c r="BF65" s="16"/>
      <c r="BG65" s="16">
        <v>0</v>
      </c>
      <c r="BH65" s="16"/>
      <c r="BI65" s="16">
        <f>8433383+350000+741617+50000</f>
        <v>9575000</v>
      </c>
      <c r="BJ65" s="16"/>
      <c r="BK65" s="16">
        <f>251054+475227</f>
        <v>726281</v>
      </c>
      <c r="BL65" s="16"/>
      <c r="BM65" s="16">
        <f t="shared" si="26"/>
        <v>12501281</v>
      </c>
      <c r="BN65" s="17" t="s">
        <v>345</v>
      </c>
      <c r="BP65" s="18"/>
      <c r="BQ65" s="18"/>
      <c r="BR65" s="14"/>
      <c r="BS65" s="16"/>
      <c r="BT65" s="16"/>
      <c r="BU65" s="16"/>
      <c r="BV65" s="16"/>
      <c r="BX65" s="8"/>
      <c r="BY65" s="16"/>
      <c r="BZ65" s="16"/>
      <c r="CA65" s="16"/>
      <c r="CB65" s="16"/>
      <c r="CC65" s="16"/>
      <c r="CD65" s="16"/>
      <c r="CE65" s="16"/>
      <c r="CF65" s="6"/>
      <c r="CG65" s="18"/>
      <c r="CH65" s="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7"/>
    </row>
    <row r="66" spans="1:105" ht="12.75" hidden="1" customHeight="1" x14ac:dyDescent="0.2">
      <c r="A66" s="6" t="s">
        <v>82</v>
      </c>
      <c r="C66" s="6" t="s">
        <v>43</v>
      </c>
      <c r="E66" s="16">
        <f t="shared" si="14"/>
        <v>0</v>
      </c>
      <c r="F66" s="16"/>
      <c r="G66" s="16"/>
      <c r="H66" s="16"/>
      <c r="I66" s="16"/>
      <c r="J66" s="16"/>
      <c r="K66" s="16">
        <f t="shared" si="7"/>
        <v>0</v>
      </c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>
        <f t="shared" ref="W66:W72" si="31">SUM(Q66:U66)</f>
        <v>0</v>
      </c>
      <c r="X66" s="16"/>
      <c r="Y66" s="6" t="s">
        <v>82</v>
      </c>
      <c r="AA66" s="6" t="s">
        <v>43</v>
      </c>
      <c r="AB66" s="6"/>
      <c r="AC66" s="16"/>
      <c r="AD66" s="16"/>
      <c r="AE66" s="16"/>
      <c r="AF66" s="16"/>
      <c r="AG66" s="16"/>
      <c r="AH66" s="16"/>
      <c r="AI66" s="8">
        <f t="shared" si="6"/>
        <v>0</v>
      </c>
      <c r="AJ66" s="8"/>
      <c r="AK66" s="16"/>
      <c r="AL66" s="8"/>
      <c r="AM66" s="16"/>
      <c r="AN66" s="16"/>
      <c r="AO66" s="16"/>
      <c r="AP66" s="16"/>
      <c r="AQ66" s="16"/>
      <c r="AR66" s="16"/>
      <c r="AS66" s="8">
        <f t="shared" si="3"/>
        <v>0</v>
      </c>
      <c r="AT66" s="8"/>
      <c r="AU66" s="16">
        <v>0</v>
      </c>
      <c r="AV66" s="16"/>
      <c r="AW66" s="16">
        <v>0</v>
      </c>
      <c r="AX66" s="16"/>
      <c r="AY66" s="16">
        <f t="shared" si="4"/>
        <v>0</v>
      </c>
      <c r="AZ66" s="16"/>
      <c r="BA66" s="6" t="s">
        <v>82</v>
      </c>
      <c r="BC66" s="6" t="s">
        <v>43</v>
      </c>
      <c r="BD66" s="16"/>
      <c r="BE66" s="16"/>
      <c r="BF66" s="16"/>
      <c r="BG66" s="16"/>
      <c r="BH66" s="16"/>
      <c r="BI66" s="16"/>
      <c r="BJ66" s="16"/>
      <c r="BK66" s="16"/>
      <c r="BL66" s="16"/>
      <c r="BM66" s="16">
        <f t="shared" si="26"/>
        <v>0</v>
      </c>
      <c r="BN66" s="17" t="s">
        <v>345</v>
      </c>
      <c r="BP66" s="18"/>
      <c r="BQ66" s="18"/>
      <c r="BR66" s="14"/>
      <c r="BS66" s="16"/>
      <c r="BT66" s="16"/>
      <c r="BU66" s="16"/>
      <c r="BV66" s="16"/>
      <c r="BX66" s="8"/>
      <c r="BY66" s="16"/>
      <c r="BZ66" s="16"/>
      <c r="CA66" s="16"/>
      <c r="CB66" s="16"/>
      <c r="CC66" s="16"/>
      <c r="CD66" s="16"/>
      <c r="CE66" s="16"/>
      <c r="CF66" s="6"/>
      <c r="CG66" s="18"/>
      <c r="CH66" s="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7"/>
    </row>
    <row r="67" spans="1:105" ht="12.75" customHeight="1" x14ac:dyDescent="0.2">
      <c r="A67" s="6" t="s">
        <v>83</v>
      </c>
      <c r="C67" s="6" t="s">
        <v>83</v>
      </c>
      <c r="E67" s="16">
        <v>1383943</v>
      </c>
      <c r="F67" s="16"/>
      <c r="G67" s="16">
        <v>42889806</v>
      </c>
      <c r="H67" s="16"/>
      <c r="I67" s="16">
        <f>+E67+G67</f>
        <v>44273749</v>
      </c>
      <c r="J67" s="16"/>
      <c r="K67" s="16">
        <v>5553052</v>
      </c>
      <c r="L67" s="16"/>
      <c r="M67" s="16">
        <v>24215000</v>
      </c>
      <c r="N67" s="16"/>
      <c r="O67" s="16">
        <f>+K67+M67</f>
        <v>29768052</v>
      </c>
      <c r="P67" s="16"/>
      <c r="Q67" s="16">
        <v>14909828</v>
      </c>
      <c r="R67" s="16"/>
      <c r="S67" s="16">
        <v>0</v>
      </c>
      <c r="T67" s="16"/>
      <c r="U67" s="16">
        <v>-404131</v>
      </c>
      <c r="V67" s="16"/>
      <c r="W67" s="16">
        <f t="shared" si="31"/>
        <v>14505697</v>
      </c>
      <c r="X67" s="16"/>
      <c r="Y67" s="6" t="s">
        <v>83</v>
      </c>
      <c r="AA67" s="6" t="s">
        <v>83</v>
      </c>
      <c r="AB67" s="6"/>
      <c r="AC67" s="16">
        <v>6425638</v>
      </c>
      <c r="AD67" s="16"/>
      <c r="AE67" s="16">
        <f>4317433-653333</f>
        <v>3664100</v>
      </c>
      <c r="AF67" s="16"/>
      <c r="AG67" s="16">
        <v>653333</v>
      </c>
      <c r="AH67" s="16"/>
      <c r="AI67" s="8">
        <f t="shared" si="6"/>
        <v>2108205</v>
      </c>
      <c r="AJ67" s="8"/>
      <c r="AK67" s="16">
        <v>-980732</v>
      </c>
      <c r="AL67" s="8"/>
      <c r="AM67" s="16">
        <v>48663</v>
      </c>
      <c r="AN67" s="16"/>
      <c r="AO67" s="16">
        <v>0</v>
      </c>
      <c r="AP67" s="16"/>
      <c r="AQ67" s="16">
        <v>0</v>
      </c>
      <c r="AR67" s="16"/>
      <c r="AS67" s="8">
        <f t="shared" si="3"/>
        <v>1176136</v>
      </c>
      <c r="AT67" s="8"/>
      <c r="AU67" s="16">
        <v>0</v>
      </c>
      <c r="AV67" s="16"/>
      <c r="AW67" s="16">
        <v>0</v>
      </c>
      <c r="AX67" s="16"/>
      <c r="AY67" s="16">
        <f t="shared" si="4"/>
        <v>-4169109</v>
      </c>
      <c r="AZ67" s="16"/>
      <c r="BA67" s="6" t="s">
        <v>83</v>
      </c>
      <c r="BC67" s="6" t="s">
        <v>83</v>
      </c>
      <c r="BD67" s="16"/>
      <c r="BE67" s="16">
        <v>0</v>
      </c>
      <c r="BF67" s="16"/>
      <c r="BG67" s="16">
        <v>0</v>
      </c>
      <c r="BH67" s="16"/>
      <c r="BI67" s="16">
        <f>24058089+69612+10710+806685</f>
        <v>24945096</v>
      </c>
      <c r="BJ67" s="16"/>
      <c r="BK67" s="16">
        <f>16077+71222+8085+35254</f>
        <v>130638</v>
      </c>
      <c r="BL67" s="16"/>
      <c r="BM67" s="16">
        <f t="shared" si="26"/>
        <v>25075734</v>
      </c>
      <c r="BN67" s="17" t="s">
        <v>345</v>
      </c>
      <c r="BP67" s="18"/>
      <c r="BQ67" s="18"/>
      <c r="BR67" s="14"/>
      <c r="BS67" s="16"/>
      <c r="BT67" s="16"/>
      <c r="BU67" s="16"/>
      <c r="BV67" s="16"/>
      <c r="BX67" s="8"/>
      <c r="BY67" s="16"/>
      <c r="BZ67" s="16"/>
      <c r="CA67" s="16"/>
      <c r="CB67" s="16"/>
      <c r="CC67" s="16"/>
      <c r="CD67" s="16"/>
      <c r="CE67" s="16"/>
      <c r="CF67" s="6"/>
      <c r="CG67" s="18"/>
      <c r="CH67" s="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7"/>
    </row>
    <row r="68" spans="1:105" ht="12.75" hidden="1" customHeight="1" x14ac:dyDescent="0.2">
      <c r="A68" s="6" t="s">
        <v>84</v>
      </c>
      <c r="C68" s="6" t="s">
        <v>84</v>
      </c>
      <c r="E68" s="16">
        <f t="shared" si="14"/>
        <v>6700490</v>
      </c>
      <c r="F68" s="16"/>
      <c r="G68" s="16">
        <v>64171379</v>
      </c>
      <c r="H68" s="16"/>
      <c r="I68" s="16">
        <v>70871869</v>
      </c>
      <c r="J68" s="16"/>
      <c r="K68" s="16">
        <f t="shared" si="7"/>
        <v>2556958</v>
      </c>
      <c r="L68" s="16"/>
      <c r="M68" s="16">
        <v>38697509</v>
      </c>
      <c r="N68" s="16"/>
      <c r="O68" s="16">
        <v>41254467</v>
      </c>
      <c r="P68" s="16"/>
      <c r="Q68" s="16">
        <v>23823754</v>
      </c>
      <c r="R68" s="16"/>
      <c r="S68" s="16">
        <v>0</v>
      </c>
      <c r="T68" s="16"/>
      <c r="U68" s="16">
        <v>5793648</v>
      </c>
      <c r="V68" s="16"/>
      <c r="W68" s="16">
        <f t="shared" si="31"/>
        <v>29617402</v>
      </c>
      <c r="X68" s="16"/>
      <c r="Y68" s="6" t="s">
        <v>84</v>
      </c>
      <c r="AA68" s="6" t="s">
        <v>84</v>
      </c>
      <c r="AB68" s="6"/>
      <c r="AC68" s="16">
        <v>7075095</v>
      </c>
      <c r="AD68" s="16"/>
      <c r="AE68" s="16">
        <f>5862044-2501580</f>
        <v>3360464</v>
      </c>
      <c r="AF68" s="16"/>
      <c r="AG68" s="16">
        <v>2501580</v>
      </c>
      <c r="AH68" s="16"/>
      <c r="AI68" s="8">
        <f t="shared" si="6"/>
        <v>1213051</v>
      </c>
      <c r="AJ68" s="8"/>
      <c r="AK68" s="16">
        <v>-1582571</v>
      </c>
      <c r="AL68" s="8"/>
      <c r="AM68" s="16">
        <v>230700</v>
      </c>
      <c r="AN68" s="16"/>
      <c r="AO68" s="16">
        <v>0</v>
      </c>
      <c r="AP68" s="16"/>
      <c r="AQ68" s="16">
        <v>30313</v>
      </c>
      <c r="AR68" s="16"/>
      <c r="AS68" s="8">
        <f t="shared" si="3"/>
        <v>-108507</v>
      </c>
      <c r="AT68" s="8"/>
      <c r="AU68" s="16">
        <v>0</v>
      </c>
      <c r="AV68" s="16"/>
      <c r="AW68" s="16">
        <v>0</v>
      </c>
      <c r="AX68" s="16"/>
      <c r="AY68" s="16">
        <f t="shared" si="4"/>
        <v>4143532</v>
      </c>
      <c r="AZ68" s="16"/>
      <c r="BA68" s="6" t="s">
        <v>84</v>
      </c>
      <c r="BC68" s="6" t="s">
        <v>84</v>
      </c>
      <c r="BD68" s="16"/>
      <c r="BE68" s="16">
        <f>3615044+595000</f>
        <v>4210044</v>
      </c>
      <c r="BF68" s="16"/>
      <c r="BG68" s="16">
        <v>0</v>
      </c>
      <c r="BH68" s="16"/>
      <c r="BI68" s="16">
        <f>20157547+1091327</f>
        <v>21248874</v>
      </c>
      <c r="BJ68" s="16"/>
      <c r="BK68" s="16">
        <f>14662011+195000+54489+261571+1336</f>
        <v>15174407</v>
      </c>
      <c r="BL68" s="16"/>
      <c r="BM68" s="16">
        <f t="shared" si="26"/>
        <v>40633325</v>
      </c>
      <c r="BN68" s="17" t="s">
        <v>345</v>
      </c>
      <c r="BP68" s="18"/>
      <c r="BQ68" s="18"/>
      <c r="BR68" s="14"/>
      <c r="BS68" s="16"/>
      <c r="BT68" s="16"/>
      <c r="BU68" s="16"/>
      <c r="BV68" s="16"/>
      <c r="BX68" s="8"/>
      <c r="BY68" s="16"/>
      <c r="BZ68" s="16"/>
      <c r="CA68" s="16"/>
      <c r="CB68" s="16"/>
      <c r="CC68" s="16"/>
      <c r="CD68" s="16"/>
      <c r="CE68" s="16"/>
      <c r="CF68" s="6"/>
      <c r="CG68" s="18"/>
      <c r="CH68" s="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7"/>
    </row>
    <row r="69" spans="1:105" ht="12.75" customHeight="1" x14ac:dyDescent="0.2">
      <c r="A69" s="19" t="s">
        <v>85</v>
      </c>
      <c r="B69" s="36"/>
      <c r="C69" s="19" t="s">
        <v>86</v>
      </c>
      <c r="D69" s="9"/>
      <c r="E69" s="16">
        <v>1776962</v>
      </c>
      <c r="F69" s="16"/>
      <c r="G69" s="16">
        <v>29601259</v>
      </c>
      <c r="H69" s="16"/>
      <c r="I69" s="16">
        <f>+E69+G69</f>
        <v>31378221</v>
      </c>
      <c r="J69" s="16"/>
      <c r="K69" s="16">
        <v>2100791</v>
      </c>
      <c r="L69" s="16"/>
      <c r="M69" s="16">
        <v>23739115</v>
      </c>
      <c r="N69" s="16"/>
      <c r="O69" s="16">
        <f>+K69+M69</f>
        <v>25839906</v>
      </c>
      <c r="P69" s="16"/>
      <c r="Q69" s="16">
        <v>4014744</v>
      </c>
      <c r="R69" s="16"/>
      <c r="S69" s="16">
        <v>0</v>
      </c>
      <c r="T69" s="16"/>
      <c r="U69" s="16">
        <v>1523571</v>
      </c>
      <c r="V69" s="16"/>
      <c r="W69" s="16">
        <f t="shared" si="31"/>
        <v>5538315</v>
      </c>
      <c r="X69" s="28"/>
      <c r="Y69" s="19" t="s">
        <v>85</v>
      </c>
      <c r="Z69" s="36"/>
      <c r="AA69" s="19" t="s">
        <v>86</v>
      </c>
      <c r="AB69" s="19"/>
      <c r="AC69" s="16">
        <v>2573286</v>
      </c>
      <c r="AD69" s="16"/>
      <c r="AE69" s="16">
        <f>3656018-2016466</f>
        <v>1639552</v>
      </c>
      <c r="AF69" s="16"/>
      <c r="AG69" s="16">
        <v>2016466</v>
      </c>
      <c r="AH69" s="16"/>
      <c r="AI69" s="8">
        <f t="shared" si="6"/>
        <v>-1082732</v>
      </c>
      <c r="AJ69" s="8"/>
      <c r="AK69" s="16">
        <v>-247504</v>
      </c>
      <c r="AL69" s="8"/>
      <c r="AM69" s="16">
        <v>700000</v>
      </c>
      <c r="AN69" s="16"/>
      <c r="AO69" s="16">
        <v>0</v>
      </c>
      <c r="AP69" s="16"/>
      <c r="AQ69" s="16">
        <v>0</v>
      </c>
      <c r="AR69" s="16"/>
      <c r="AS69" s="8">
        <f t="shared" si="3"/>
        <v>-630236</v>
      </c>
      <c r="AT69" s="8"/>
      <c r="AU69" s="16">
        <v>0</v>
      </c>
      <c r="AV69" s="16"/>
      <c r="AW69" s="16">
        <v>0</v>
      </c>
      <c r="AX69" s="16"/>
      <c r="AY69" s="16">
        <f t="shared" si="4"/>
        <v>-323829</v>
      </c>
      <c r="AZ69" s="28"/>
      <c r="BA69" s="19" t="s">
        <v>85</v>
      </c>
      <c r="BB69" s="36"/>
      <c r="BC69" s="19" t="s">
        <v>86</v>
      </c>
      <c r="BD69" s="28"/>
      <c r="BE69" s="16">
        <v>0</v>
      </c>
      <c r="BF69" s="16"/>
      <c r="BG69" s="16">
        <v>0</v>
      </c>
      <c r="BH69" s="16"/>
      <c r="BI69" s="16">
        <f>23632586+1953929</f>
        <v>25586515</v>
      </c>
      <c r="BJ69" s="16"/>
      <c r="BK69" s="16">
        <f>106529+51963</f>
        <v>158492</v>
      </c>
      <c r="BL69" s="16"/>
      <c r="BM69" s="16">
        <f t="shared" si="26"/>
        <v>25745007</v>
      </c>
      <c r="BN69" s="17" t="s">
        <v>345</v>
      </c>
      <c r="BO69" s="6"/>
      <c r="BP69" s="6"/>
      <c r="BQ69" s="18"/>
      <c r="BR69" s="14"/>
      <c r="BS69" s="16"/>
      <c r="BT69" s="16"/>
      <c r="BU69" s="16"/>
      <c r="BV69" s="16"/>
      <c r="BX69" s="8"/>
      <c r="BY69" s="16"/>
      <c r="BZ69" s="16"/>
      <c r="CA69" s="16"/>
      <c r="CB69" s="16"/>
      <c r="CC69" s="16"/>
      <c r="CD69" s="16"/>
      <c r="CE69" s="16"/>
      <c r="CF69" s="6"/>
      <c r="CG69" s="18"/>
      <c r="CH69" s="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7"/>
      <c r="CT69" s="6"/>
      <c r="CU69" s="6"/>
    </row>
    <row r="70" spans="1:105" ht="12.75" customHeight="1" x14ac:dyDescent="0.2">
      <c r="A70" s="6" t="s">
        <v>392</v>
      </c>
      <c r="C70" s="6" t="s">
        <v>87</v>
      </c>
      <c r="E70" s="16">
        <v>3959082</v>
      </c>
      <c r="F70" s="16"/>
      <c r="G70" s="16">
        <v>22412469</v>
      </c>
      <c r="H70" s="16"/>
      <c r="I70" s="16">
        <f>+E70+G70</f>
        <v>26371551</v>
      </c>
      <c r="J70" s="16"/>
      <c r="K70" s="16">
        <v>182082</v>
      </c>
      <c r="L70" s="16"/>
      <c r="M70" s="16">
        <v>11398269</v>
      </c>
      <c r="N70" s="16"/>
      <c r="O70" s="16">
        <f>+K70+M70</f>
        <v>11580351</v>
      </c>
      <c r="P70" s="16"/>
      <c r="Q70" s="16">
        <v>11206121</v>
      </c>
      <c r="R70" s="16"/>
      <c r="S70" s="16">
        <v>0</v>
      </c>
      <c r="T70" s="16"/>
      <c r="U70" s="16">
        <v>3585079</v>
      </c>
      <c r="V70" s="16"/>
      <c r="W70" s="16">
        <f t="shared" si="31"/>
        <v>14791200</v>
      </c>
      <c r="X70" s="16"/>
      <c r="Y70" s="6" t="s">
        <v>392</v>
      </c>
      <c r="AA70" s="6" t="s">
        <v>87</v>
      </c>
      <c r="AB70" s="6"/>
      <c r="AC70" s="16">
        <v>3301894</v>
      </c>
      <c r="AD70" s="16"/>
      <c r="AE70" s="16">
        <f>2619126-559623</f>
        <v>2059503</v>
      </c>
      <c r="AF70" s="16"/>
      <c r="AG70" s="16">
        <v>559623</v>
      </c>
      <c r="AH70" s="16"/>
      <c r="AI70" s="8">
        <f t="shared" si="6"/>
        <v>682768</v>
      </c>
      <c r="AJ70" s="8"/>
      <c r="AK70" s="16">
        <v>-391567</v>
      </c>
      <c r="AL70" s="8"/>
      <c r="AM70" s="16">
        <v>0</v>
      </c>
      <c r="AN70" s="16"/>
      <c r="AO70" s="16">
        <v>0</v>
      </c>
      <c r="AP70" s="16"/>
      <c r="AQ70" s="16">
        <v>0</v>
      </c>
      <c r="AR70" s="16"/>
      <c r="AS70" s="8">
        <f t="shared" si="3"/>
        <v>291201</v>
      </c>
      <c r="AT70" s="8"/>
      <c r="AU70" s="16">
        <v>0</v>
      </c>
      <c r="AV70" s="16"/>
      <c r="AW70" s="16">
        <v>0</v>
      </c>
      <c r="AX70" s="16"/>
      <c r="AY70" s="16">
        <f t="shared" si="4"/>
        <v>3777000</v>
      </c>
      <c r="AZ70" s="16"/>
      <c r="BA70" s="6" t="s">
        <v>393</v>
      </c>
      <c r="BC70" s="6" t="s">
        <v>87</v>
      </c>
      <c r="BD70" s="16"/>
      <c r="BE70" s="16">
        <v>0</v>
      </c>
      <c r="BF70" s="16"/>
      <c r="BG70" s="16">
        <v>0</v>
      </c>
      <c r="BH70" s="16"/>
      <c r="BI70" s="16">
        <v>11206348</v>
      </c>
      <c r="BJ70" s="16"/>
      <c r="BK70" s="16">
        <f>191921+21898</f>
        <v>213819</v>
      </c>
      <c r="BL70" s="16"/>
      <c r="BM70" s="16">
        <f t="shared" si="26"/>
        <v>11420167</v>
      </c>
      <c r="BN70" s="17" t="s">
        <v>345</v>
      </c>
      <c r="BP70" s="18"/>
      <c r="BQ70" s="18"/>
      <c r="BR70" s="14"/>
      <c r="BS70" s="16"/>
      <c r="BT70" s="16"/>
      <c r="BU70" s="16"/>
      <c r="BV70" s="16"/>
      <c r="BW70" s="16"/>
      <c r="BX70" s="8"/>
      <c r="BY70" s="8"/>
      <c r="BZ70" s="16"/>
      <c r="CA70" s="16"/>
      <c r="CB70" s="16"/>
      <c r="CC70" s="16"/>
      <c r="CD70" s="16"/>
      <c r="CE70" s="16"/>
      <c r="CF70" s="6"/>
      <c r="CG70" s="18"/>
      <c r="CH70" s="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7"/>
    </row>
    <row r="71" spans="1:105" ht="12.75" customHeight="1" x14ac:dyDescent="0.2">
      <c r="A71" s="6" t="s">
        <v>88</v>
      </c>
      <c r="B71" s="42"/>
      <c r="C71" s="6" t="s">
        <v>41</v>
      </c>
      <c r="E71" s="16">
        <v>8931035</v>
      </c>
      <c r="F71" s="16"/>
      <c r="G71" s="16">
        <v>40780438</v>
      </c>
      <c r="H71" s="16"/>
      <c r="I71" s="16">
        <f>+E71+G71</f>
        <v>49711473</v>
      </c>
      <c r="J71" s="16"/>
      <c r="K71" s="16">
        <v>1813767</v>
      </c>
      <c r="L71" s="16"/>
      <c r="M71" s="16">
        <v>10406379</v>
      </c>
      <c r="N71" s="16"/>
      <c r="O71" s="16">
        <f>+K71+M71</f>
        <v>12220146</v>
      </c>
      <c r="P71" s="16"/>
      <c r="Q71" s="16">
        <v>29903205</v>
      </c>
      <c r="R71" s="16"/>
      <c r="S71" s="16">
        <v>749549</v>
      </c>
      <c r="T71" s="16"/>
      <c r="U71" s="16">
        <v>6838573</v>
      </c>
      <c r="V71" s="16"/>
      <c r="W71" s="16">
        <f t="shared" si="31"/>
        <v>37491327</v>
      </c>
      <c r="X71" s="16"/>
      <c r="Y71" s="6" t="s">
        <v>88</v>
      </c>
      <c r="AA71" s="6" t="s">
        <v>41</v>
      </c>
      <c r="AB71" s="6"/>
      <c r="AC71" s="16">
        <v>2219438</v>
      </c>
      <c r="AD71" s="16"/>
      <c r="AE71" s="16">
        <f>4147857-1183451</f>
        <v>2964406</v>
      </c>
      <c r="AF71" s="16"/>
      <c r="AG71" s="16">
        <v>1183451</v>
      </c>
      <c r="AH71" s="16"/>
      <c r="AI71" s="8">
        <f t="shared" si="6"/>
        <v>-1928419</v>
      </c>
      <c r="AJ71" s="8"/>
      <c r="AK71" s="16">
        <v>-382231</v>
      </c>
      <c r="AL71" s="8"/>
      <c r="AM71" s="16">
        <v>0</v>
      </c>
      <c r="AN71" s="16"/>
      <c r="AO71" s="16">
        <v>0</v>
      </c>
      <c r="AP71" s="16"/>
      <c r="AQ71" s="16">
        <v>240248</v>
      </c>
      <c r="AR71" s="16"/>
      <c r="AS71" s="8">
        <f t="shared" si="3"/>
        <v>-2070402</v>
      </c>
      <c r="AT71" s="8"/>
      <c r="AU71" s="16">
        <v>0</v>
      </c>
      <c r="AV71" s="16"/>
      <c r="AW71" s="16">
        <v>0</v>
      </c>
      <c r="AX71" s="16"/>
      <c r="AY71" s="16">
        <f t="shared" si="4"/>
        <v>7117268</v>
      </c>
      <c r="AZ71" s="16"/>
      <c r="BA71" s="6" t="s">
        <v>88</v>
      </c>
      <c r="BC71" s="6" t="s">
        <v>41</v>
      </c>
      <c r="BD71" s="16"/>
      <c r="BE71" s="16">
        <f>4359418+1247845</f>
        <v>5607263</v>
      </c>
      <c r="BF71" s="16"/>
      <c r="BG71" s="16">
        <v>0</v>
      </c>
      <c r="BH71" s="16"/>
      <c r="BI71" s="16">
        <v>6019519</v>
      </c>
      <c r="BJ71" s="16"/>
      <c r="BK71" s="16">
        <f>27442+32208</f>
        <v>59650</v>
      </c>
      <c r="BL71" s="16"/>
      <c r="BM71" s="16">
        <f t="shared" si="26"/>
        <v>11686432</v>
      </c>
      <c r="BN71" s="17" t="s">
        <v>345</v>
      </c>
      <c r="BP71" s="18"/>
      <c r="BQ71" s="18"/>
      <c r="BR71" s="42"/>
      <c r="BS71" s="16"/>
      <c r="BT71" s="16"/>
      <c r="BU71" s="16"/>
      <c r="BV71" s="16"/>
      <c r="BW71" s="16"/>
      <c r="BX71" s="8"/>
      <c r="BY71" s="8"/>
      <c r="BZ71" s="16"/>
      <c r="CA71" s="16"/>
      <c r="CB71" s="16"/>
      <c r="CC71" s="16"/>
      <c r="CD71" s="16"/>
      <c r="CE71" s="16"/>
      <c r="CF71" s="6"/>
      <c r="CG71" s="18"/>
      <c r="CH71" s="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7"/>
    </row>
    <row r="72" spans="1:105" ht="12.75" customHeight="1" x14ac:dyDescent="0.2">
      <c r="A72" s="10" t="s">
        <v>482</v>
      </c>
      <c r="B72" s="10"/>
      <c r="C72" s="10" t="s">
        <v>25</v>
      </c>
      <c r="E72" s="16">
        <v>0</v>
      </c>
      <c r="F72" s="16"/>
      <c r="G72" s="16">
        <v>430672</v>
      </c>
      <c r="H72" s="16"/>
      <c r="I72" s="16">
        <f>+E72+G72</f>
        <v>430672</v>
      </c>
      <c r="J72" s="16"/>
      <c r="K72" s="16">
        <v>493402</v>
      </c>
      <c r="L72" s="16"/>
      <c r="M72" s="16">
        <v>0</v>
      </c>
      <c r="N72" s="16"/>
      <c r="O72" s="16">
        <f>+K72+M72</f>
        <v>493402</v>
      </c>
      <c r="P72" s="16"/>
      <c r="Q72" s="16">
        <v>430672</v>
      </c>
      <c r="R72" s="16"/>
      <c r="S72" s="16">
        <v>0</v>
      </c>
      <c r="T72" s="16"/>
      <c r="U72" s="16">
        <v>-493402</v>
      </c>
      <c r="V72" s="16"/>
      <c r="W72" s="16">
        <f t="shared" si="31"/>
        <v>-62730</v>
      </c>
      <c r="X72" s="16"/>
      <c r="Y72" s="10" t="s">
        <v>482</v>
      </c>
      <c r="Z72" s="10"/>
      <c r="AA72" s="10" t="s">
        <v>25</v>
      </c>
      <c r="AB72" s="6"/>
      <c r="AC72" s="16">
        <v>70785</v>
      </c>
      <c r="AD72" s="16"/>
      <c r="AE72" s="16">
        <f>-11790-1464</f>
        <v>-13254</v>
      </c>
      <c r="AF72" s="16"/>
      <c r="AG72" s="16">
        <v>1464</v>
      </c>
      <c r="AH72" s="16"/>
      <c r="AI72" s="8">
        <f t="shared" si="6"/>
        <v>82575</v>
      </c>
      <c r="AJ72" s="8"/>
      <c r="AK72" s="16">
        <v>0</v>
      </c>
      <c r="AL72" s="8"/>
      <c r="AM72" s="16">
        <v>0</v>
      </c>
      <c r="AN72" s="16"/>
      <c r="AO72" s="16">
        <v>0</v>
      </c>
      <c r="AP72" s="16"/>
      <c r="AQ72" s="16">
        <v>0</v>
      </c>
      <c r="AR72" s="16"/>
      <c r="AS72" s="8">
        <f t="shared" si="3"/>
        <v>82575</v>
      </c>
      <c r="AT72" s="8"/>
      <c r="AU72" s="16">
        <v>0</v>
      </c>
      <c r="AV72" s="16"/>
      <c r="AW72" s="16">
        <v>0</v>
      </c>
      <c r="AX72" s="16"/>
      <c r="AY72" s="16">
        <f t="shared" si="4"/>
        <v>-493402</v>
      </c>
      <c r="AZ72" s="16"/>
      <c r="BA72" s="10" t="s">
        <v>482</v>
      </c>
      <c r="BB72" s="10"/>
      <c r="BC72" s="10" t="s">
        <v>25</v>
      </c>
      <c r="BD72" s="16"/>
      <c r="BE72" s="16">
        <v>0</v>
      </c>
      <c r="BF72" s="16"/>
      <c r="BG72" s="16">
        <v>0</v>
      </c>
      <c r="BH72" s="16"/>
      <c r="BI72" s="16">
        <v>0</v>
      </c>
      <c r="BJ72" s="16"/>
      <c r="BK72" s="16">
        <v>0</v>
      </c>
      <c r="BL72" s="16"/>
      <c r="BM72" s="16">
        <f t="shared" si="26"/>
        <v>0</v>
      </c>
      <c r="BN72" s="17" t="s">
        <v>345</v>
      </c>
      <c r="BO72" s="6"/>
      <c r="BP72" s="18"/>
      <c r="BQ72" s="18"/>
      <c r="BR72" s="14"/>
      <c r="BS72" s="16"/>
      <c r="BT72" s="16"/>
      <c r="BU72" s="16"/>
      <c r="BV72" s="16"/>
      <c r="BX72" s="8"/>
      <c r="BY72" s="16"/>
      <c r="BZ72" s="16"/>
      <c r="CA72" s="16"/>
      <c r="CB72" s="16"/>
      <c r="CC72" s="16"/>
      <c r="CD72" s="16"/>
      <c r="CE72" s="16"/>
      <c r="CF72" s="6"/>
      <c r="CG72" s="18"/>
      <c r="CH72" s="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7"/>
      <c r="CT72" s="6"/>
    </row>
    <row r="73" spans="1:105" ht="12.75" customHeight="1" x14ac:dyDescent="0.2">
      <c r="A73" s="7" t="s">
        <v>91</v>
      </c>
      <c r="B73" s="10"/>
      <c r="C73" s="7" t="s">
        <v>92</v>
      </c>
      <c r="E73" s="16">
        <v>976395</v>
      </c>
      <c r="F73" s="16"/>
      <c r="G73" s="16">
        <v>631930</v>
      </c>
      <c r="H73" s="16"/>
      <c r="I73" s="16">
        <f>+E73+G73</f>
        <v>1608325</v>
      </c>
      <c r="J73" s="16"/>
      <c r="K73" s="16">
        <v>215092</v>
      </c>
      <c r="L73" s="16"/>
      <c r="M73" s="16">
        <v>36154</v>
      </c>
      <c r="N73" s="16"/>
      <c r="O73" s="16">
        <f>+K73+M73</f>
        <v>251246</v>
      </c>
      <c r="P73" s="16"/>
      <c r="Q73" s="16">
        <v>472005</v>
      </c>
      <c r="R73" s="16"/>
      <c r="S73" s="16">
        <v>0</v>
      </c>
      <c r="T73" s="16"/>
      <c r="U73" s="16">
        <v>885074</v>
      </c>
      <c r="V73" s="16"/>
      <c r="W73" s="16">
        <f>SUM(Q73:U73)</f>
        <v>1357079</v>
      </c>
      <c r="X73" s="16"/>
      <c r="Y73" s="7" t="s">
        <v>91</v>
      </c>
      <c r="Z73" s="10"/>
      <c r="AA73" s="7" t="s">
        <v>92</v>
      </c>
      <c r="AB73" s="6"/>
      <c r="AC73" s="16">
        <v>1303190</v>
      </c>
      <c r="AD73" s="16"/>
      <c r="AE73" s="16">
        <f>1055920-67719</f>
        <v>988201</v>
      </c>
      <c r="AF73" s="16"/>
      <c r="AG73" s="16">
        <v>67719</v>
      </c>
      <c r="AH73" s="16"/>
      <c r="AI73" s="8">
        <f t="shared" si="6"/>
        <v>247270</v>
      </c>
      <c r="AJ73" s="8"/>
      <c r="AK73" s="16">
        <v>-14210</v>
      </c>
      <c r="AL73" s="8"/>
      <c r="AM73" s="16">
        <v>0</v>
      </c>
      <c r="AN73" s="16"/>
      <c r="AO73" s="16">
        <v>171617</v>
      </c>
      <c r="AP73" s="16"/>
      <c r="AQ73" s="16">
        <v>0</v>
      </c>
      <c r="AR73" s="16"/>
      <c r="AS73" s="8">
        <f t="shared" si="3"/>
        <v>61443</v>
      </c>
      <c r="AT73" s="8"/>
      <c r="AU73" s="16">
        <v>0</v>
      </c>
      <c r="AV73" s="16"/>
      <c r="AW73" s="16">
        <v>0</v>
      </c>
      <c r="AX73" s="16"/>
      <c r="AY73" s="16">
        <f>+E73-K73</f>
        <v>761303</v>
      </c>
      <c r="AZ73" s="16"/>
      <c r="BA73" s="7" t="s">
        <v>91</v>
      </c>
      <c r="BB73" s="10"/>
      <c r="BC73" s="7" t="s">
        <v>92</v>
      </c>
      <c r="BD73" s="16"/>
      <c r="BE73" s="16">
        <v>0</v>
      </c>
      <c r="BF73" s="16"/>
      <c r="BG73" s="16">
        <v>0</v>
      </c>
      <c r="BH73" s="16"/>
      <c r="BI73" s="16">
        <f>29031+2837+7377+120680</f>
        <v>159925</v>
      </c>
      <c r="BJ73" s="16"/>
      <c r="BK73" s="16">
        <v>4286</v>
      </c>
      <c r="BL73" s="16"/>
      <c r="BM73" s="16">
        <f t="shared" si="26"/>
        <v>164211</v>
      </c>
      <c r="BN73" s="17" t="s">
        <v>345</v>
      </c>
      <c r="BO73" s="6"/>
      <c r="BP73" s="6"/>
      <c r="BQ73" s="18"/>
      <c r="BR73" s="14"/>
      <c r="BS73" s="16"/>
      <c r="BT73" s="16"/>
      <c r="BU73" s="16"/>
      <c r="BV73" s="16"/>
      <c r="BX73" s="8"/>
      <c r="BY73" s="16"/>
      <c r="BZ73" s="16"/>
      <c r="CA73" s="16"/>
      <c r="CB73" s="16"/>
      <c r="CC73" s="16"/>
      <c r="CD73" s="16"/>
      <c r="CE73" s="16"/>
      <c r="CF73" s="6"/>
      <c r="CG73" s="18"/>
      <c r="CH73" s="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7"/>
      <c r="CT73" s="6"/>
      <c r="CU73" s="6"/>
    </row>
    <row r="74" spans="1:105" ht="12.75" hidden="1" customHeight="1" x14ac:dyDescent="0.2">
      <c r="A74" s="6" t="s">
        <v>93</v>
      </c>
      <c r="C74" s="6" t="s">
        <v>92</v>
      </c>
      <c r="E74" s="16">
        <f t="shared" si="14"/>
        <v>287510</v>
      </c>
      <c r="F74" s="16"/>
      <c r="G74" s="16">
        <v>7393763</v>
      </c>
      <c r="H74" s="16"/>
      <c r="I74" s="16">
        <v>7681273</v>
      </c>
      <c r="J74" s="16"/>
      <c r="K74" s="16">
        <f t="shared" si="7"/>
        <v>448131</v>
      </c>
      <c r="L74" s="16"/>
      <c r="M74" s="16">
        <v>5902804</v>
      </c>
      <c r="N74" s="16"/>
      <c r="O74" s="16">
        <v>6350935</v>
      </c>
      <c r="P74" s="16"/>
      <c r="Q74" s="16">
        <v>1167818</v>
      </c>
      <c r="R74" s="16"/>
      <c r="S74" s="16">
        <v>0</v>
      </c>
      <c r="T74" s="16"/>
      <c r="U74" s="16">
        <v>162520</v>
      </c>
      <c r="V74" s="16"/>
      <c r="W74" s="16">
        <f t="shared" ref="W74:W80" si="32">SUM(Q74:U74)</f>
        <v>1330338</v>
      </c>
      <c r="X74" s="16"/>
      <c r="Y74" s="6" t="s">
        <v>93</v>
      </c>
      <c r="AA74" s="6" t="s">
        <v>92</v>
      </c>
      <c r="AB74" s="6"/>
      <c r="AC74" s="16">
        <v>1148297</v>
      </c>
      <c r="AD74" s="16"/>
      <c r="AE74" s="16">
        <f>727398-239352</f>
        <v>488046</v>
      </c>
      <c r="AF74" s="16"/>
      <c r="AG74" s="16">
        <v>239352</v>
      </c>
      <c r="AH74" s="16"/>
      <c r="AI74" s="8">
        <f t="shared" si="6"/>
        <v>420899</v>
      </c>
      <c r="AJ74" s="8"/>
      <c r="AK74" s="16">
        <v>-197899</v>
      </c>
      <c r="AL74" s="8"/>
      <c r="AM74" s="16">
        <v>16747</v>
      </c>
      <c r="AN74" s="16"/>
      <c r="AO74" s="16">
        <v>0</v>
      </c>
      <c r="AP74" s="16"/>
      <c r="AQ74" s="16">
        <v>0</v>
      </c>
      <c r="AR74" s="16"/>
      <c r="AS74" s="8">
        <f t="shared" si="3"/>
        <v>239747</v>
      </c>
      <c r="AT74" s="8"/>
      <c r="AU74" s="16">
        <v>0</v>
      </c>
      <c r="AV74" s="16"/>
      <c r="AW74" s="16">
        <v>0</v>
      </c>
      <c r="AX74" s="16"/>
      <c r="AY74" s="16">
        <f t="shared" ref="AY74:AY80" si="33">+E74-K74</f>
        <v>-160621</v>
      </c>
      <c r="AZ74" s="16"/>
      <c r="BA74" s="6" t="s">
        <v>93</v>
      </c>
      <c r="BC74" s="6" t="s">
        <v>92</v>
      </c>
      <c r="BD74" s="16"/>
      <c r="BE74" s="16">
        <f>2826375+176810</f>
        <v>3003185</v>
      </c>
      <c r="BF74" s="16"/>
      <c r="BG74" s="16">
        <v>0</v>
      </c>
      <c r="BH74" s="16"/>
      <c r="BI74" s="16">
        <f>177073+35194+2406474+604019+25000</f>
        <v>3247760</v>
      </c>
      <c r="BJ74" s="16"/>
      <c r="BK74" s="16">
        <f>8043+40936</f>
        <v>48979</v>
      </c>
      <c r="BL74" s="16"/>
      <c r="BM74" s="16">
        <f t="shared" ref="BM74:BM80" si="34">SUM(BE74:BK74)</f>
        <v>6299924</v>
      </c>
      <c r="BN74" s="17" t="s">
        <v>345</v>
      </c>
      <c r="BO74" s="6"/>
      <c r="BP74" s="6"/>
      <c r="BQ74" s="18"/>
      <c r="BR74" s="14"/>
      <c r="BS74" s="16"/>
      <c r="BT74" s="16"/>
      <c r="BU74" s="16"/>
      <c r="BV74" s="16"/>
      <c r="BX74" s="8"/>
      <c r="BY74" s="16"/>
      <c r="BZ74" s="16"/>
      <c r="CA74" s="16"/>
      <c r="CB74" s="16"/>
      <c r="CC74" s="16"/>
      <c r="CD74" s="16"/>
      <c r="CE74" s="16"/>
      <c r="CF74" s="6"/>
      <c r="CG74" s="18"/>
      <c r="CH74" s="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7"/>
      <c r="CT74" s="6"/>
      <c r="CU74" s="6"/>
    </row>
    <row r="75" spans="1:105" ht="12.75" customHeight="1" x14ac:dyDescent="0.2">
      <c r="A75" s="6" t="s">
        <v>89</v>
      </c>
      <c r="C75" s="6" t="s">
        <v>90</v>
      </c>
      <c r="E75" s="16">
        <v>2453636</v>
      </c>
      <c r="F75" s="16"/>
      <c r="G75" s="16">
        <v>4941762</v>
      </c>
      <c r="H75" s="16"/>
      <c r="I75" s="16">
        <f t="shared" ref="I75:I80" si="35">+E75+G75</f>
        <v>7395398</v>
      </c>
      <c r="J75" s="16"/>
      <c r="K75" s="16">
        <v>121550</v>
      </c>
      <c r="L75" s="16"/>
      <c r="M75" s="16">
        <v>295824</v>
      </c>
      <c r="N75" s="16"/>
      <c r="O75" s="16">
        <f t="shared" ref="O75:O80" si="36">+K75+M75</f>
        <v>417374</v>
      </c>
      <c r="P75" s="16"/>
      <c r="Q75" s="16">
        <v>4426879</v>
      </c>
      <c r="R75" s="16"/>
      <c r="S75" s="16">
        <v>0</v>
      </c>
      <c r="T75" s="16"/>
      <c r="U75" s="16">
        <v>2551145</v>
      </c>
      <c r="V75" s="16"/>
      <c r="W75" s="16">
        <f t="shared" si="32"/>
        <v>6978024</v>
      </c>
      <c r="X75" s="16"/>
      <c r="Y75" s="6" t="s">
        <v>89</v>
      </c>
      <c r="AA75" s="6" t="s">
        <v>90</v>
      </c>
      <c r="AB75" s="6"/>
      <c r="AC75" s="16">
        <v>2795551</v>
      </c>
      <c r="AD75" s="16"/>
      <c r="AE75" s="16">
        <f>1865679-151798</f>
        <v>1713881</v>
      </c>
      <c r="AF75" s="16"/>
      <c r="AG75" s="16">
        <v>151798</v>
      </c>
      <c r="AH75" s="16"/>
      <c r="AI75" s="8">
        <f t="shared" si="6"/>
        <v>929872</v>
      </c>
      <c r="AJ75" s="8"/>
      <c r="AK75" s="16">
        <v>0</v>
      </c>
      <c r="AL75" s="8"/>
      <c r="AM75" s="16">
        <v>0</v>
      </c>
      <c r="AN75" s="16"/>
      <c r="AO75" s="16">
        <v>0</v>
      </c>
      <c r="AP75" s="16"/>
      <c r="AQ75" s="16">
        <v>0</v>
      </c>
      <c r="AR75" s="16"/>
      <c r="AS75" s="8">
        <f t="shared" ref="AS75:AS82" si="37">+AI75+AK75+AM75-AO75+AQ75</f>
        <v>929872</v>
      </c>
      <c r="AT75" s="8"/>
      <c r="AU75" s="16">
        <v>0</v>
      </c>
      <c r="AV75" s="16"/>
      <c r="AW75" s="16">
        <v>0</v>
      </c>
      <c r="AX75" s="16"/>
      <c r="AY75" s="16">
        <f t="shared" si="33"/>
        <v>2332086</v>
      </c>
      <c r="AZ75" s="16"/>
      <c r="BA75" s="6" t="s">
        <v>89</v>
      </c>
      <c r="BC75" s="6" t="s">
        <v>90</v>
      </c>
      <c r="BD75" s="16"/>
      <c r="BE75" s="16">
        <v>0</v>
      </c>
      <c r="BF75" s="16"/>
      <c r="BG75" s="16">
        <v>0</v>
      </c>
      <c r="BH75" s="16"/>
      <c r="BI75" s="16">
        <f>135277+7515</f>
        <v>142792</v>
      </c>
      <c r="BJ75" s="16"/>
      <c r="BK75" s="16">
        <f>15092+58393+39186+121361</f>
        <v>234032</v>
      </c>
      <c r="BL75" s="16"/>
      <c r="BM75" s="16">
        <f t="shared" si="34"/>
        <v>376824</v>
      </c>
      <c r="BN75" s="17" t="s">
        <v>345</v>
      </c>
      <c r="BO75" s="6"/>
      <c r="BP75" s="6"/>
      <c r="BQ75" s="6"/>
      <c r="BR75" s="14"/>
      <c r="BS75" s="16"/>
      <c r="BT75" s="16"/>
      <c r="BU75" s="16"/>
      <c r="BV75" s="16"/>
      <c r="BX75" s="8"/>
      <c r="BY75" s="16"/>
      <c r="BZ75" s="16"/>
      <c r="CA75" s="16"/>
      <c r="CB75" s="16"/>
      <c r="CC75" s="16"/>
      <c r="CD75" s="16"/>
      <c r="CE75" s="16"/>
      <c r="CF75" s="6"/>
      <c r="CG75" s="18"/>
      <c r="CH75" s="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7"/>
      <c r="CT75" s="6"/>
      <c r="CU75" s="6"/>
      <c r="CV75" s="6"/>
      <c r="CW75" s="6"/>
      <c r="CX75" s="6"/>
      <c r="CY75" s="6"/>
      <c r="CZ75" s="6"/>
      <c r="DA75" s="6"/>
    </row>
    <row r="76" spans="1:105" ht="12.75" customHeight="1" x14ac:dyDescent="0.2">
      <c r="A76" s="6" t="s">
        <v>94</v>
      </c>
      <c r="C76" s="6" t="s">
        <v>95</v>
      </c>
      <c r="E76" s="16">
        <v>954048</v>
      </c>
      <c r="F76" s="16"/>
      <c r="G76" s="16">
        <v>3868049</v>
      </c>
      <c r="H76" s="16"/>
      <c r="I76" s="16">
        <f t="shared" si="35"/>
        <v>4822097</v>
      </c>
      <c r="J76" s="16"/>
      <c r="K76" s="16">
        <v>58874</v>
      </c>
      <c r="L76" s="16"/>
      <c r="M76" s="16">
        <v>49884</v>
      </c>
      <c r="N76" s="16"/>
      <c r="O76" s="16">
        <f t="shared" si="36"/>
        <v>108758</v>
      </c>
      <c r="P76" s="16"/>
      <c r="Q76" s="16">
        <v>3868049</v>
      </c>
      <c r="R76" s="16"/>
      <c r="S76" s="16">
        <v>0</v>
      </c>
      <c r="T76" s="16"/>
      <c r="U76" s="16">
        <v>845290</v>
      </c>
      <c r="V76" s="16"/>
      <c r="W76" s="16">
        <f t="shared" si="32"/>
        <v>4713339</v>
      </c>
      <c r="X76" s="16"/>
      <c r="Y76" s="6" t="s">
        <v>94</v>
      </c>
      <c r="AA76" s="6" t="s">
        <v>95</v>
      </c>
      <c r="AB76" s="6"/>
      <c r="AC76" s="16">
        <v>1183785</v>
      </c>
      <c r="AD76" s="16"/>
      <c r="AE76" s="16">
        <f>1140904-259060</f>
        <v>881844</v>
      </c>
      <c r="AF76" s="16"/>
      <c r="AG76" s="16">
        <v>259060</v>
      </c>
      <c r="AH76" s="16"/>
      <c r="AI76" s="8">
        <f t="shared" si="6"/>
        <v>42881</v>
      </c>
      <c r="AJ76" s="8"/>
      <c r="AK76" s="16">
        <v>0</v>
      </c>
      <c r="AL76" s="8"/>
      <c r="AM76" s="16">
        <v>0</v>
      </c>
      <c r="AN76" s="16"/>
      <c r="AO76" s="16">
        <v>0</v>
      </c>
      <c r="AP76" s="16"/>
      <c r="AQ76" s="16">
        <v>32000</v>
      </c>
      <c r="AR76" s="16"/>
      <c r="AS76" s="8">
        <f t="shared" si="37"/>
        <v>74881</v>
      </c>
      <c r="AT76" s="8"/>
      <c r="AU76" s="16">
        <v>0</v>
      </c>
      <c r="AV76" s="16"/>
      <c r="AW76" s="16">
        <v>0</v>
      </c>
      <c r="AX76" s="16"/>
      <c r="AY76" s="16">
        <f t="shared" si="33"/>
        <v>895174</v>
      </c>
      <c r="AZ76" s="16"/>
      <c r="BA76" s="6" t="s">
        <v>94</v>
      </c>
      <c r="BC76" s="6" t="s">
        <v>95</v>
      </c>
      <c r="BD76" s="16"/>
      <c r="BE76" s="16">
        <v>0</v>
      </c>
      <c r="BF76" s="16"/>
      <c r="BG76" s="16">
        <v>0</v>
      </c>
      <c r="BH76" s="16"/>
      <c r="BI76" s="16">
        <v>0</v>
      </c>
      <c r="BJ76" s="16"/>
      <c r="BK76" s="16">
        <f>8536+2507</f>
        <v>11043</v>
      </c>
      <c r="BL76" s="16"/>
      <c r="BM76" s="16">
        <f t="shared" si="34"/>
        <v>11043</v>
      </c>
      <c r="BN76" s="17" t="s">
        <v>345</v>
      </c>
      <c r="BP76" s="18"/>
      <c r="BQ76" s="18"/>
      <c r="BR76" s="14"/>
      <c r="BS76" s="16"/>
      <c r="BT76" s="16"/>
      <c r="BU76" s="16"/>
      <c r="BV76" s="16"/>
      <c r="BW76" s="16"/>
      <c r="BX76" s="8"/>
      <c r="BY76" s="8"/>
      <c r="BZ76" s="16"/>
      <c r="CA76" s="16"/>
      <c r="CB76" s="16"/>
      <c r="CC76" s="16"/>
      <c r="CD76" s="16"/>
      <c r="CE76" s="16"/>
      <c r="CF76" s="6"/>
      <c r="CG76" s="18"/>
      <c r="CH76" s="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7"/>
    </row>
    <row r="77" spans="1:105" ht="12.75" customHeight="1" x14ac:dyDescent="0.2">
      <c r="A77" s="6" t="s">
        <v>96</v>
      </c>
      <c r="C77" s="6" t="s">
        <v>15</v>
      </c>
      <c r="E77" s="16">
        <v>1592240</v>
      </c>
      <c r="F77" s="16"/>
      <c r="G77" s="16">
        <v>41645012</v>
      </c>
      <c r="H77" s="16"/>
      <c r="I77" s="16">
        <f t="shared" si="35"/>
        <v>43237252</v>
      </c>
      <c r="J77" s="16"/>
      <c r="K77" s="16">
        <v>3229279</v>
      </c>
      <c r="L77" s="16"/>
      <c r="M77" s="16">
        <v>16445145</v>
      </c>
      <c r="N77" s="16"/>
      <c r="O77" s="16">
        <f t="shared" si="36"/>
        <v>19674424</v>
      </c>
      <c r="P77" s="16"/>
      <c r="Q77" s="16">
        <v>23747456</v>
      </c>
      <c r="R77" s="16"/>
      <c r="S77" s="16">
        <v>0</v>
      </c>
      <c r="T77" s="16"/>
      <c r="U77" s="16">
        <v>-184625</v>
      </c>
      <c r="V77" s="16"/>
      <c r="W77" s="16">
        <f t="shared" si="32"/>
        <v>23562831</v>
      </c>
      <c r="X77" s="16"/>
      <c r="Y77" s="6" t="s">
        <v>96</v>
      </c>
      <c r="AA77" s="6" t="s">
        <v>15</v>
      </c>
      <c r="AB77" s="6"/>
      <c r="AC77" s="16">
        <v>11095509</v>
      </c>
      <c r="AD77" s="16"/>
      <c r="AE77" s="16">
        <f>10846118-1724145</f>
        <v>9121973</v>
      </c>
      <c r="AF77" s="16"/>
      <c r="AG77" s="16">
        <v>1724145</v>
      </c>
      <c r="AH77" s="16"/>
      <c r="AI77" s="8">
        <f t="shared" ref="AI77:AI82" si="38">+AC77-AE77-AG77</f>
        <v>249391</v>
      </c>
      <c r="AJ77" s="8"/>
      <c r="AK77" s="16">
        <v>-600420</v>
      </c>
      <c r="AL77" s="8"/>
      <c r="AM77" s="16">
        <v>0</v>
      </c>
      <c r="AN77" s="16"/>
      <c r="AO77" s="16">
        <v>0</v>
      </c>
      <c r="AP77" s="16"/>
      <c r="AQ77" s="16">
        <v>117033</v>
      </c>
      <c r="AR77" s="16"/>
      <c r="AS77" s="8">
        <f t="shared" si="37"/>
        <v>-233996</v>
      </c>
      <c r="AT77" s="8"/>
      <c r="AU77" s="16">
        <v>0</v>
      </c>
      <c r="AV77" s="16"/>
      <c r="AW77" s="16">
        <v>0</v>
      </c>
      <c r="AX77" s="16"/>
      <c r="AY77" s="16">
        <f t="shared" si="33"/>
        <v>-1637039</v>
      </c>
      <c r="AZ77" s="16"/>
      <c r="BA77" s="6" t="s">
        <v>96</v>
      </c>
      <c r="BC77" s="6" t="s">
        <v>15</v>
      </c>
      <c r="BD77" s="16"/>
      <c r="BE77" s="16">
        <f>2704625+156509</f>
        <v>2861134</v>
      </c>
      <c r="BF77" s="16"/>
      <c r="BG77" s="16">
        <v>0</v>
      </c>
      <c r="BH77" s="16"/>
      <c r="BI77" s="16">
        <f>13009546+1734477</f>
        <v>14744023</v>
      </c>
      <c r="BJ77" s="16"/>
      <c r="BK77" s="16">
        <f>46633+561339+169632</f>
        <v>777604</v>
      </c>
      <c r="BL77" s="16"/>
      <c r="BM77" s="16">
        <f t="shared" si="34"/>
        <v>18382761</v>
      </c>
      <c r="BN77" s="17" t="s">
        <v>345</v>
      </c>
      <c r="BP77" s="18"/>
      <c r="BQ77" s="18"/>
      <c r="BR77" s="14"/>
      <c r="BS77" s="16"/>
      <c r="BT77" s="16"/>
      <c r="BU77" s="16"/>
      <c r="BV77" s="16"/>
      <c r="BW77" s="16"/>
      <c r="BX77" s="8"/>
      <c r="BY77" s="8"/>
      <c r="BZ77" s="16"/>
      <c r="CA77" s="16"/>
      <c r="CB77" s="16"/>
      <c r="CC77" s="16"/>
      <c r="CD77" s="16"/>
      <c r="CE77" s="16"/>
      <c r="CF77" s="6"/>
      <c r="CG77" s="18"/>
      <c r="CH77" s="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7"/>
    </row>
    <row r="78" spans="1:105" ht="12.75" customHeight="1" x14ac:dyDescent="0.2">
      <c r="A78" s="6" t="s">
        <v>97</v>
      </c>
      <c r="C78" s="6" t="s">
        <v>64</v>
      </c>
      <c r="E78" s="16">
        <v>2498166</v>
      </c>
      <c r="F78" s="16"/>
      <c r="G78" s="16">
        <v>8806357</v>
      </c>
      <c r="H78" s="16"/>
      <c r="I78" s="16">
        <f t="shared" si="35"/>
        <v>11304523</v>
      </c>
      <c r="J78" s="16"/>
      <c r="K78" s="16">
        <v>50395</v>
      </c>
      <c r="L78" s="16"/>
      <c r="M78" s="16">
        <v>45523</v>
      </c>
      <c r="N78" s="16"/>
      <c r="O78" s="16">
        <f t="shared" si="36"/>
        <v>95918</v>
      </c>
      <c r="P78" s="16"/>
      <c r="Q78" s="16">
        <v>8806357</v>
      </c>
      <c r="R78" s="16"/>
      <c r="S78" s="16">
        <v>0</v>
      </c>
      <c r="T78" s="16"/>
      <c r="U78" s="16">
        <v>2402248</v>
      </c>
      <c r="V78" s="16"/>
      <c r="W78" s="16">
        <f t="shared" si="32"/>
        <v>11208605</v>
      </c>
      <c r="X78" s="16"/>
      <c r="Y78" s="6" t="s">
        <v>97</v>
      </c>
      <c r="AA78" s="6" t="s">
        <v>64</v>
      </c>
      <c r="AB78" s="6"/>
      <c r="AC78" s="16">
        <v>1444809</v>
      </c>
      <c r="AD78" s="16"/>
      <c r="AE78" s="16">
        <f>1449249-426505</f>
        <v>1022744</v>
      </c>
      <c r="AF78" s="16"/>
      <c r="AG78" s="16">
        <v>426505</v>
      </c>
      <c r="AH78" s="16"/>
      <c r="AI78" s="8">
        <f t="shared" si="38"/>
        <v>-4440</v>
      </c>
      <c r="AJ78" s="8"/>
      <c r="AK78" s="16">
        <v>37539</v>
      </c>
      <c r="AL78" s="8"/>
      <c r="AM78" s="16">
        <v>0</v>
      </c>
      <c r="AN78" s="16"/>
      <c r="AO78" s="16">
        <v>0</v>
      </c>
      <c r="AP78" s="16"/>
      <c r="AQ78" s="16">
        <v>100000</v>
      </c>
      <c r="AR78" s="16"/>
      <c r="AS78" s="8">
        <f t="shared" si="37"/>
        <v>133099</v>
      </c>
      <c r="AT78" s="8"/>
      <c r="AU78" s="16">
        <v>0</v>
      </c>
      <c r="AV78" s="16"/>
      <c r="AW78" s="16">
        <v>0</v>
      </c>
      <c r="AX78" s="16"/>
      <c r="AY78" s="16">
        <f t="shared" si="33"/>
        <v>2447771</v>
      </c>
      <c r="AZ78" s="16"/>
      <c r="BA78" s="6" t="s">
        <v>97</v>
      </c>
      <c r="BC78" s="6" t="s">
        <v>64</v>
      </c>
      <c r="BD78" s="16"/>
      <c r="BE78" s="16">
        <v>0</v>
      </c>
      <c r="BF78" s="16"/>
      <c r="BG78" s="16">
        <v>0</v>
      </c>
      <c r="BH78" s="16"/>
      <c r="BI78" s="16">
        <v>0</v>
      </c>
      <c r="BJ78" s="16"/>
      <c r="BK78" s="16">
        <f>45523+13963</f>
        <v>59486</v>
      </c>
      <c r="BL78" s="16"/>
      <c r="BM78" s="16">
        <f t="shared" si="34"/>
        <v>59486</v>
      </c>
      <c r="BN78" s="17" t="s">
        <v>345</v>
      </c>
      <c r="BP78" s="18"/>
      <c r="BQ78" s="18"/>
      <c r="BR78" s="14"/>
      <c r="BS78" s="16"/>
      <c r="BT78" s="16"/>
      <c r="BU78" s="16"/>
      <c r="BV78" s="16"/>
      <c r="BX78" s="8"/>
      <c r="BY78" s="16"/>
      <c r="BZ78" s="16"/>
      <c r="CA78" s="16"/>
      <c r="CB78" s="16"/>
      <c r="CC78" s="16"/>
      <c r="CD78" s="16"/>
      <c r="CE78" s="16"/>
      <c r="CF78" s="6"/>
      <c r="CG78" s="18"/>
      <c r="CH78" s="7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7"/>
    </row>
    <row r="79" spans="1:105" ht="12.75" customHeight="1" x14ac:dyDescent="0.2">
      <c r="A79" s="6" t="s">
        <v>98</v>
      </c>
      <c r="B79" s="18"/>
      <c r="C79" s="6" t="s">
        <v>25</v>
      </c>
      <c r="E79" s="16">
        <v>7361164</v>
      </c>
      <c r="F79" s="16"/>
      <c r="G79" s="16">
        <v>32790914</v>
      </c>
      <c r="H79" s="16"/>
      <c r="I79" s="16">
        <f t="shared" si="35"/>
        <v>40152078</v>
      </c>
      <c r="J79" s="16"/>
      <c r="K79" s="16">
        <v>2478015</v>
      </c>
      <c r="L79" s="16"/>
      <c r="M79" s="16">
        <v>8740013</v>
      </c>
      <c r="N79" s="16"/>
      <c r="O79" s="16">
        <f t="shared" si="36"/>
        <v>11218028</v>
      </c>
      <c r="P79" s="16"/>
      <c r="Q79" s="16">
        <v>22861061</v>
      </c>
      <c r="R79" s="16"/>
      <c r="S79" s="16">
        <v>0</v>
      </c>
      <c r="T79" s="16"/>
      <c r="U79" s="16">
        <v>6108888</v>
      </c>
      <c r="V79" s="16"/>
      <c r="W79" s="16">
        <f>SUM(Q79:U79)</f>
        <v>28969949</v>
      </c>
      <c r="X79" s="16"/>
      <c r="Y79" s="6" t="s">
        <v>98</v>
      </c>
      <c r="AA79" s="6" t="s">
        <v>25</v>
      </c>
      <c r="AB79" s="6"/>
      <c r="AC79" s="16">
        <v>11112883</v>
      </c>
      <c r="AD79" s="16"/>
      <c r="AE79" s="16">
        <f>9420973-1336092</f>
        <v>8084881</v>
      </c>
      <c r="AF79" s="16"/>
      <c r="AG79" s="16">
        <v>1336092</v>
      </c>
      <c r="AH79" s="16"/>
      <c r="AI79" s="8">
        <f t="shared" si="38"/>
        <v>1691910</v>
      </c>
      <c r="AJ79" s="8"/>
      <c r="AK79" s="16">
        <v>-198092</v>
      </c>
      <c r="AL79" s="8"/>
      <c r="AM79" s="16">
        <v>4127880</v>
      </c>
      <c r="AN79" s="16"/>
      <c r="AO79" s="16">
        <v>570000</v>
      </c>
      <c r="AP79" s="16"/>
      <c r="AQ79" s="16">
        <v>0</v>
      </c>
      <c r="AR79" s="16"/>
      <c r="AS79" s="8">
        <f t="shared" si="37"/>
        <v>5051698</v>
      </c>
      <c r="AT79" s="8"/>
      <c r="AU79" s="16">
        <v>0</v>
      </c>
      <c r="AV79" s="16"/>
      <c r="AW79" s="16">
        <v>0</v>
      </c>
      <c r="AX79" s="16"/>
      <c r="AY79" s="16">
        <f t="shared" si="33"/>
        <v>4883149</v>
      </c>
      <c r="AZ79" s="16"/>
      <c r="BA79" s="6" t="s">
        <v>98</v>
      </c>
      <c r="BC79" s="6" t="s">
        <v>25</v>
      </c>
      <c r="BD79" s="16"/>
      <c r="BE79" s="16">
        <f>2405000+232000</f>
        <v>2637000</v>
      </c>
      <c r="BF79" s="16"/>
      <c r="BG79" s="16">
        <v>0</v>
      </c>
      <c r="BH79" s="16"/>
      <c r="BI79" s="16">
        <f>1673853+3975725+1241449+359202</f>
        <v>7250229</v>
      </c>
      <c r="BJ79" s="16"/>
      <c r="BK79" s="16">
        <f>626426+47994+19721+15309+39288+39235</f>
        <v>787973</v>
      </c>
      <c r="BL79" s="16"/>
      <c r="BM79" s="16">
        <f t="shared" si="34"/>
        <v>10675202</v>
      </c>
      <c r="BN79" s="17" t="s">
        <v>345</v>
      </c>
      <c r="BO79" s="18" t="s">
        <v>403</v>
      </c>
      <c r="BP79" s="18"/>
      <c r="BQ79" s="18"/>
      <c r="BR79" s="14"/>
      <c r="BS79" s="16"/>
      <c r="BT79" s="16"/>
      <c r="BU79" s="16"/>
      <c r="BV79" s="16"/>
      <c r="BW79" s="16"/>
      <c r="BX79" s="8"/>
      <c r="BY79" s="8"/>
      <c r="BZ79" s="16"/>
      <c r="CA79" s="16"/>
      <c r="CB79" s="16"/>
      <c r="CC79" s="16"/>
      <c r="CD79" s="16"/>
      <c r="CE79" s="16"/>
      <c r="CF79" s="6"/>
      <c r="CG79" s="18"/>
      <c r="CH79" s="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7"/>
    </row>
    <row r="80" spans="1:105" ht="12.75" customHeight="1" x14ac:dyDescent="0.2">
      <c r="A80" s="6" t="s">
        <v>99</v>
      </c>
      <c r="C80" s="6" t="s">
        <v>28</v>
      </c>
      <c r="E80" s="16">
        <v>7940512</v>
      </c>
      <c r="F80" s="16"/>
      <c r="G80" s="16">
        <v>18616760</v>
      </c>
      <c r="H80" s="16"/>
      <c r="I80" s="16">
        <f t="shared" si="35"/>
        <v>26557272</v>
      </c>
      <c r="J80" s="16"/>
      <c r="K80" s="16">
        <v>1878079</v>
      </c>
      <c r="L80" s="16"/>
      <c r="M80" s="16">
        <v>10848932</v>
      </c>
      <c r="N80" s="16"/>
      <c r="O80" s="16">
        <f t="shared" si="36"/>
        <v>12727011</v>
      </c>
      <c r="P80" s="16"/>
      <c r="Q80" s="16">
        <v>7506669</v>
      </c>
      <c r="R80" s="16"/>
      <c r="S80" s="16">
        <v>0</v>
      </c>
      <c r="T80" s="16"/>
      <c r="U80" s="16">
        <v>6323592</v>
      </c>
      <c r="V80" s="16"/>
      <c r="W80" s="16">
        <f t="shared" si="32"/>
        <v>13830261</v>
      </c>
      <c r="X80" s="16"/>
      <c r="Y80" s="6" t="s">
        <v>99</v>
      </c>
      <c r="AA80" s="6" t="s">
        <v>28</v>
      </c>
      <c r="AB80" s="6"/>
      <c r="AC80" s="16">
        <v>6508691</v>
      </c>
      <c r="AD80" s="16"/>
      <c r="AE80" s="16">
        <f>6092509-989542</f>
        <v>5102967</v>
      </c>
      <c r="AF80" s="16"/>
      <c r="AG80" s="16">
        <v>989542</v>
      </c>
      <c r="AH80" s="16"/>
      <c r="AI80" s="8">
        <f t="shared" si="38"/>
        <v>416182</v>
      </c>
      <c r="AJ80" s="8"/>
      <c r="AK80" s="16">
        <f>-533945+5075</f>
        <v>-528870</v>
      </c>
      <c r="AL80" s="8"/>
      <c r="AM80" s="16">
        <v>0</v>
      </c>
      <c r="AN80" s="16"/>
      <c r="AO80" s="16">
        <v>0</v>
      </c>
      <c r="AP80" s="16"/>
      <c r="AQ80" s="16">
        <v>50930</v>
      </c>
      <c r="AR80" s="16"/>
      <c r="AS80" s="8">
        <f t="shared" si="37"/>
        <v>-61758</v>
      </c>
      <c r="AT80" s="8"/>
      <c r="AU80" s="16">
        <v>0</v>
      </c>
      <c r="AV80" s="16"/>
      <c r="AW80" s="16">
        <v>0</v>
      </c>
      <c r="AX80" s="16"/>
      <c r="AY80" s="16">
        <f t="shared" si="33"/>
        <v>6062433</v>
      </c>
      <c r="AZ80" s="16"/>
      <c r="BA80" s="6" t="s">
        <v>99</v>
      </c>
      <c r="BC80" s="6" t="s">
        <v>28</v>
      </c>
      <c r="BD80" s="16"/>
      <c r="BE80" s="16">
        <f>8596727+90400</f>
        <v>8687127</v>
      </c>
      <c r="BF80" s="16"/>
      <c r="BG80" s="16">
        <v>0</v>
      </c>
      <c r="BH80" s="16"/>
      <c r="BI80" s="16">
        <v>144178</v>
      </c>
      <c r="BJ80" s="16"/>
      <c r="BK80" s="16">
        <f>2000000+100000+114612+37593+67125+90400+54174+10000</f>
        <v>2473904</v>
      </c>
      <c r="BL80" s="16"/>
      <c r="BM80" s="16">
        <f t="shared" si="34"/>
        <v>11305209</v>
      </c>
      <c r="BN80" s="17" t="s">
        <v>345</v>
      </c>
      <c r="BO80" s="6" t="s">
        <v>403</v>
      </c>
      <c r="BP80" s="18"/>
      <c r="BQ80" s="18"/>
      <c r="BR80" s="14"/>
      <c r="BS80" s="16"/>
      <c r="BT80" s="16"/>
      <c r="BU80" s="16"/>
      <c r="BV80" s="16"/>
      <c r="BX80" s="8"/>
      <c r="BY80" s="16"/>
      <c r="BZ80" s="16"/>
      <c r="CA80" s="16"/>
      <c r="CB80" s="16"/>
      <c r="CC80" s="16"/>
      <c r="CD80" s="16"/>
      <c r="CE80" s="16"/>
      <c r="CF80" s="6"/>
      <c r="CG80" s="18"/>
      <c r="CH80" s="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7"/>
      <c r="CT80" s="6"/>
    </row>
    <row r="81" spans="1:98" ht="12.75" customHeight="1" x14ac:dyDescent="0.2">
      <c r="A81" s="6" t="s">
        <v>100</v>
      </c>
      <c r="C81" s="6" t="s">
        <v>101</v>
      </c>
      <c r="E81" s="16">
        <v>4137197</v>
      </c>
      <c r="F81" s="16"/>
      <c r="G81" s="16">
        <v>25767297</v>
      </c>
      <c r="H81" s="16"/>
      <c r="I81" s="16">
        <f>+E81+G81</f>
        <v>29904494</v>
      </c>
      <c r="J81" s="16"/>
      <c r="K81" s="16">
        <v>2579709</v>
      </c>
      <c r="L81" s="16"/>
      <c r="M81" s="16">
        <v>3720444</v>
      </c>
      <c r="N81" s="16"/>
      <c r="O81" s="16">
        <f>+K81+M81</f>
        <v>6300153</v>
      </c>
      <c r="P81" s="16"/>
      <c r="Q81" s="16">
        <v>19112752</v>
      </c>
      <c r="R81" s="16"/>
      <c r="S81" s="16">
        <v>0</v>
      </c>
      <c r="T81" s="16"/>
      <c r="U81" s="16">
        <v>4491589</v>
      </c>
      <c r="V81" s="16"/>
      <c r="W81" s="16">
        <f t="shared" ref="W81:W156" si="39">SUM(Q81:U81)</f>
        <v>23604341</v>
      </c>
      <c r="X81" s="16"/>
      <c r="Y81" s="6" t="s">
        <v>100</v>
      </c>
      <c r="AA81" s="6" t="s">
        <v>101</v>
      </c>
      <c r="AB81" s="6"/>
      <c r="AC81" s="16">
        <v>5520330</v>
      </c>
      <c r="AD81" s="16"/>
      <c r="AE81" s="16">
        <v>3913369</v>
      </c>
      <c r="AF81" s="16"/>
      <c r="AG81" s="16">
        <v>0</v>
      </c>
      <c r="AH81" s="16"/>
      <c r="AI81" s="8">
        <f t="shared" si="38"/>
        <v>1606961</v>
      </c>
      <c r="AJ81" s="8"/>
      <c r="AK81" s="16">
        <v>-195645</v>
      </c>
      <c r="AL81" s="8"/>
      <c r="AM81" s="16">
        <v>0</v>
      </c>
      <c r="AN81" s="16"/>
      <c r="AO81" s="16">
        <v>0</v>
      </c>
      <c r="AP81" s="16"/>
      <c r="AQ81" s="16">
        <v>0</v>
      </c>
      <c r="AR81" s="16"/>
      <c r="AS81" s="8">
        <f t="shared" si="37"/>
        <v>1411316</v>
      </c>
      <c r="AT81" s="8"/>
      <c r="AU81" s="16">
        <v>0</v>
      </c>
      <c r="AV81" s="16"/>
      <c r="AW81" s="16">
        <v>0</v>
      </c>
      <c r="AX81" s="16"/>
      <c r="AY81" s="16">
        <f t="shared" ref="AY81:AY156" si="40">+E81-K81</f>
        <v>1557488</v>
      </c>
      <c r="AZ81" s="16"/>
      <c r="BA81" s="6" t="s">
        <v>100</v>
      </c>
      <c r="BC81" s="6" t="s">
        <v>101</v>
      </c>
      <c r="BD81" s="16"/>
      <c r="BE81" s="16">
        <f>3528338+829350</f>
        <v>4357688</v>
      </c>
      <c r="BF81" s="16"/>
      <c r="BG81" s="16">
        <v>0</v>
      </c>
      <c r="BH81" s="16"/>
      <c r="BI81" s="16">
        <v>0</v>
      </c>
      <c r="BJ81" s="16"/>
      <c r="BK81" s="16">
        <f>192106+79150</f>
        <v>271256</v>
      </c>
      <c r="BL81" s="16"/>
      <c r="BM81" s="16">
        <f t="shared" ref="BM81:BM155" si="41">SUM(BE81:BK81)</f>
        <v>4628944</v>
      </c>
      <c r="BN81" s="17" t="s">
        <v>345</v>
      </c>
      <c r="BO81" s="6"/>
      <c r="BP81" s="18"/>
      <c r="BQ81" s="18"/>
      <c r="BR81" s="14"/>
      <c r="BS81" s="16"/>
      <c r="BT81" s="16"/>
      <c r="BU81" s="16"/>
      <c r="BV81" s="16"/>
      <c r="BX81" s="8"/>
      <c r="BY81" s="16"/>
      <c r="BZ81" s="16"/>
      <c r="CA81" s="16"/>
      <c r="CB81" s="16"/>
      <c r="CC81" s="16"/>
      <c r="CD81" s="16"/>
      <c r="CE81" s="16"/>
      <c r="CF81" s="6"/>
      <c r="CG81" s="18"/>
      <c r="CH81" s="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7"/>
      <c r="CT81" s="6"/>
    </row>
    <row r="82" spans="1:98" ht="12.75" hidden="1" customHeight="1" x14ac:dyDescent="0.2">
      <c r="A82" s="6" t="s">
        <v>102</v>
      </c>
      <c r="C82" s="6" t="s">
        <v>11</v>
      </c>
      <c r="E82" s="16">
        <f t="shared" ref="E82" si="42">I82-G82</f>
        <v>0</v>
      </c>
      <c r="F82" s="16"/>
      <c r="G82" s="16"/>
      <c r="H82" s="16"/>
      <c r="I82" s="16"/>
      <c r="J82" s="16"/>
      <c r="K82" s="16">
        <f t="shared" ref="K82" si="43">O82-M82</f>
        <v>0</v>
      </c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>
        <f t="shared" si="39"/>
        <v>0</v>
      </c>
      <c r="X82" s="16"/>
      <c r="Y82" s="6" t="s">
        <v>102</v>
      </c>
      <c r="AA82" s="6" t="s">
        <v>11</v>
      </c>
      <c r="AB82" s="6"/>
      <c r="AC82" s="16"/>
      <c r="AD82" s="16"/>
      <c r="AE82" s="16"/>
      <c r="AF82" s="16"/>
      <c r="AG82" s="16"/>
      <c r="AH82" s="16"/>
      <c r="AI82" s="8">
        <f t="shared" si="38"/>
        <v>0</v>
      </c>
      <c r="AJ82" s="8"/>
      <c r="AK82" s="16"/>
      <c r="AL82" s="8"/>
      <c r="AM82" s="16"/>
      <c r="AN82" s="16"/>
      <c r="AO82" s="16"/>
      <c r="AP82" s="16"/>
      <c r="AQ82" s="16"/>
      <c r="AR82" s="16"/>
      <c r="AS82" s="8">
        <f t="shared" si="37"/>
        <v>0</v>
      </c>
      <c r="AT82" s="8"/>
      <c r="AU82" s="16">
        <v>0</v>
      </c>
      <c r="AV82" s="16"/>
      <c r="AW82" s="16">
        <v>0</v>
      </c>
      <c r="AX82" s="16"/>
      <c r="AY82" s="16">
        <f t="shared" si="40"/>
        <v>0</v>
      </c>
      <c r="AZ82" s="16"/>
      <c r="BA82" s="6" t="s">
        <v>102</v>
      </c>
      <c r="BC82" s="6" t="s">
        <v>11</v>
      </c>
      <c r="BD82" s="16"/>
      <c r="BE82" s="16"/>
      <c r="BF82" s="16"/>
      <c r="BG82" s="16"/>
      <c r="BH82" s="16"/>
      <c r="BI82" s="16"/>
      <c r="BJ82" s="16"/>
      <c r="BK82" s="16"/>
      <c r="BL82" s="16"/>
      <c r="BM82" s="16">
        <f t="shared" si="41"/>
        <v>0</v>
      </c>
      <c r="BN82" s="17" t="s">
        <v>345</v>
      </c>
      <c r="BP82" s="18"/>
      <c r="BQ82" s="18"/>
      <c r="BR82" s="14"/>
      <c r="BS82" s="16"/>
      <c r="BT82" s="16"/>
      <c r="BU82" s="16"/>
      <c r="BV82" s="16"/>
      <c r="BW82" s="16"/>
      <c r="BX82" s="8"/>
      <c r="BY82" s="8"/>
      <c r="BZ82" s="16"/>
      <c r="CA82" s="16"/>
      <c r="CB82" s="16"/>
      <c r="CC82" s="16"/>
      <c r="CD82" s="16"/>
      <c r="CE82" s="16"/>
      <c r="CF82" s="6"/>
      <c r="CG82" s="18"/>
      <c r="CH82" s="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7"/>
    </row>
    <row r="83" spans="1:98" s="36" customFormat="1" ht="12.75" customHeight="1" x14ac:dyDescent="0.2">
      <c r="A83" s="19" t="s">
        <v>103</v>
      </c>
      <c r="B83" s="21"/>
      <c r="C83" s="19" t="s">
        <v>25</v>
      </c>
      <c r="D83" s="9"/>
      <c r="E83" s="16">
        <v>1230178</v>
      </c>
      <c r="F83" s="16"/>
      <c r="G83" s="16">
        <v>15864419</v>
      </c>
      <c r="H83" s="16"/>
      <c r="I83" s="16">
        <f>+E83+G83</f>
        <v>17094597</v>
      </c>
      <c r="J83" s="16"/>
      <c r="K83" s="16">
        <v>138066</v>
      </c>
      <c r="L83" s="16"/>
      <c r="M83" s="16">
        <v>65829</v>
      </c>
      <c r="N83" s="16"/>
      <c r="O83" s="16">
        <f>+K83+M83</f>
        <v>203895</v>
      </c>
      <c r="P83" s="16"/>
      <c r="Q83" s="16">
        <v>12142014</v>
      </c>
      <c r="R83" s="16"/>
      <c r="S83" s="16">
        <v>0</v>
      </c>
      <c r="T83" s="16"/>
      <c r="U83" s="16">
        <v>4748688</v>
      </c>
      <c r="V83" s="16"/>
      <c r="W83" s="16">
        <f t="shared" ref="W83:W110" si="44">SUM(Q83:U83)</f>
        <v>16890702</v>
      </c>
      <c r="X83" s="28"/>
      <c r="Y83" s="19" t="s">
        <v>103</v>
      </c>
      <c r="AA83" s="19" t="s">
        <v>25</v>
      </c>
      <c r="AB83" s="19"/>
      <c r="AC83" s="16">
        <v>2259766</v>
      </c>
      <c r="AD83" s="16"/>
      <c r="AE83" s="16">
        <f>1773918-414211</f>
        <v>1359707</v>
      </c>
      <c r="AF83" s="16"/>
      <c r="AG83" s="16">
        <v>414211</v>
      </c>
      <c r="AH83" s="16"/>
      <c r="AI83" s="8">
        <f t="shared" ref="AI83:AI110" si="45">+AC83-AE83-AG83</f>
        <v>485848</v>
      </c>
      <c r="AJ83" s="8"/>
      <c r="AK83" s="16">
        <v>-259470</v>
      </c>
      <c r="AL83" s="8"/>
      <c r="AM83" s="16">
        <v>0</v>
      </c>
      <c r="AN83" s="16"/>
      <c r="AO83" s="16">
        <v>60297</v>
      </c>
      <c r="AP83" s="16"/>
      <c r="AQ83" s="16">
        <v>36778</v>
      </c>
      <c r="AR83" s="16"/>
      <c r="AS83" s="8">
        <f t="shared" ref="AS83:AS110" si="46">+AI83+AK83+AM83-AO83+AQ83</f>
        <v>202859</v>
      </c>
      <c r="AT83" s="8"/>
      <c r="AU83" s="16">
        <v>0</v>
      </c>
      <c r="AV83" s="16"/>
      <c r="AW83" s="16">
        <v>0</v>
      </c>
      <c r="AX83" s="16"/>
      <c r="AY83" s="16">
        <f t="shared" ref="AY83:AY110" si="47">+E83-K83</f>
        <v>1092112</v>
      </c>
      <c r="AZ83" s="28"/>
      <c r="BA83" s="19" t="s">
        <v>103</v>
      </c>
      <c r="BC83" s="19" t="s">
        <v>25</v>
      </c>
      <c r="BD83" s="28"/>
      <c r="BE83" s="16">
        <v>0</v>
      </c>
      <c r="BF83" s="16"/>
      <c r="BG83" s="16">
        <v>0</v>
      </c>
      <c r="BH83" s="16"/>
      <c r="BI83" s="16">
        <f>45592+36134</f>
        <v>81726</v>
      </c>
      <c r="BJ83" s="16"/>
      <c r="BK83" s="16">
        <f>6251+20237</f>
        <v>26488</v>
      </c>
      <c r="BL83" s="16"/>
      <c r="BM83" s="16">
        <f t="shared" ref="BM83:BM110" si="48">SUM(BE83:BK83)</f>
        <v>108214</v>
      </c>
      <c r="BN83" s="37" t="s">
        <v>345</v>
      </c>
      <c r="BR83" s="21"/>
      <c r="BS83" s="28"/>
      <c r="BT83" s="28"/>
      <c r="BU83" s="28"/>
      <c r="BV83" s="28"/>
      <c r="BW83" s="28"/>
      <c r="BX83" s="40"/>
      <c r="BY83" s="40"/>
      <c r="BZ83" s="28"/>
      <c r="CA83" s="28"/>
      <c r="CB83" s="28"/>
      <c r="CC83" s="28"/>
      <c r="CD83" s="28"/>
      <c r="CE83" s="28"/>
      <c r="CF83" s="19"/>
      <c r="CH83" s="19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37"/>
    </row>
    <row r="84" spans="1:98" ht="12.75" hidden="1" customHeight="1" x14ac:dyDescent="0.2">
      <c r="A84" s="6" t="s">
        <v>104</v>
      </c>
      <c r="C84" s="6" t="s">
        <v>105</v>
      </c>
      <c r="E84" s="16">
        <f>I84-G84</f>
        <v>0</v>
      </c>
      <c r="F84" s="16"/>
      <c r="G84" s="16"/>
      <c r="H84" s="16"/>
      <c r="I84" s="16"/>
      <c r="J84" s="16"/>
      <c r="K84" s="16">
        <f>O84-M84</f>
        <v>0</v>
      </c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>
        <f t="shared" si="44"/>
        <v>0</v>
      </c>
      <c r="X84" s="16"/>
      <c r="Y84" s="6" t="s">
        <v>104</v>
      </c>
      <c r="AA84" s="6" t="s">
        <v>105</v>
      </c>
      <c r="AB84" s="6"/>
      <c r="AC84" s="16"/>
      <c r="AD84" s="16"/>
      <c r="AE84" s="16"/>
      <c r="AF84" s="16"/>
      <c r="AG84" s="16"/>
      <c r="AH84" s="16"/>
      <c r="AI84" s="8">
        <f t="shared" si="45"/>
        <v>0</v>
      </c>
      <c r="AJ84" s="8"/>
      <c r="AK84" s="16"/>
      <c r="AL84" s="8"/>
      <c r="AM84" s="16"/>
      <c r="AN84" s="16"/>
      <c r="AO84" s="16"/>
      <c r="AP84" s="16"/>
      <c r="AQ84" s="16"/>
      <c r="AR84" s="16"/>
      <c r="AS84" s="8">
        <f t="shared" si="46"/>
        <v>0</v>
      </c>
      <c r="AT84" s="8"/>
      <c r="AU84" s="16">
        <v>0</v>
      </c>
      <c r="AV84" s="16"/>
      <c r="AW84" s="16">
        <v>0</v>
      </c>
      <c r="AX84" s="16"/>
      <c r="AY84" s="16">
        <f t="shared" si="47"/>
        <v>0</v>
      </c>
      <c r="AZ84" s="16"/>
      <c r="BA84" s="6" t="s">
        <v>104</v>
      </c>
      <c r="BC84" s="6" t="s">
        <v>105</v>
      </c>
      <c r="BD84" s="16"/>
      <c r="BE84" s="16"/>
      <c r="BF84" s="16"/>
      <c r="BG84" s="16"/>
      <c r="BH84" s="16"/>
      <c r="BI84" s="16"/>
      <c r="BJ84" s="16"/>
      <c r="BK84" s="16"/>
      <c r="BL84" s="16"/>
      <c r="BM84" s="16">
        <f t="shared" si="48"/>
        <v>0</v>
      </c>
      <c r="BN84" s="17" t="s">
        <v>345</v>
      </c>
      <c r="BP84" s="18"/>
      <c r="BQ84" s="18"/>
      <c r="BR84" s="14"/>
      <c r="BS84" s="16"/>
      <c r="BT84" s="16"/>
      <c r="BU84" s="16"/>
      <c r="BV84" s="16"/>
      <c r="BW84" s="16"/>
      <c r="BX84" s="8"/>
      <c r="BY84" s="8"/>
      <c r="BZ84" s="16"/>
      <c r="CA84" s="16"/>
      <c r="CB84" s="16"/>
      <c r="CC84" s="16"/>
      <c r="CD84" s="16"/>
      <c r="CE84" s="16"/>
      <c r="CF84" s="6"/>
      <c r="CG84" s="18"/>
      <c r="CH84" s="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7"/>
    </row>
    <row r="85" spans="1:98" ht="12.75" hidden="1" customHeight="1" x14ac:dyDescent="0.2">
      <c r="A85" s="6" t="s">
        <v>106</v>
      </c>
      <c r="C85" s="6" t="s">
        <v>43</v>
      </c>
      <c r="E85" s="16">
        <f>I85-G85</f>
        <v>0</v>
      </c>
      <c r="F85" s="16"/>
      <c r="G85" s="16"/>
      <c r="H85" s="16"/>
      <c r="I85" s="16"/>
      <c r="J85" s="16"/>
      <c r="K85" s="16">
        <f>O85-M85</f>
        <v>0</v>
      </c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>
        <f t="shared" si="44"/>
        <v>0</v>
      </c>
      <c r="X85" s="16"/>
      <c r="Y85" s="6" t="s">
        <v>106</v>
      </c>
      <c r="AA85" s="6" t="s">
        <v>43</v>
      </c>
      <c r="AB85" s="6"/>
      <c r="AC85" s="16"/>
      <c r="AD85" s="16"/>
      <c r="AE85" s="16"/>
      <c r="AF85" s="16"/>
      <c r="AG85" s="16"/>
      <c r="AH85" s="16"/>
      <c r="AI85" s="8">
        <f t="shared" si="45"/>
        <v>0</v>
      </c>
      <c r="AJ85" s="8"/>
      <c r="AK85" s="16"/>
      <c r="AL85" s="8"/>
      <c r="AM85" s="16"/>
      <c r="AN85" s="16"/>
      <c r="AO85" s="16"/>
      <c r="AP85" s="16"/>
      <c r="AQ85" s="16"/>
      <c r="AR85" s="16"/>
      <c r="AS85" s="8">
        <f t="shared" si="46"/>
        <v>0</v>
      </c>
      <c r="AT85" s="8"/>
      <c r="AU85" s="16">
        <v>0</v>
      </c>
      <c r="AV85" s="16"/>
      <c r="AW85" s="16">
        <v>0</v>
      </c>
      <c r="AX85" s="16"/>
      <c r="AY85" s="16">
        <f t="shared" si="47"/>
        <v>0</v>
      </c>
      <c r="AZ85" s="16"/>
      <c r="BA85" s="6" t="s">
        <v>106</v>
      </c>
      <c r="BC85" s="6" t="s">
        <v>43</v>
      </c>
      <c r="BD85" s="16"/>
      <c r="BE85" s="16"/>
      <c r="BF85" s="16"/>
      <c r="BG85" s="16"/>
      <c r="BH85" s="16"/>
      <c r="BI85" s="16"/>
      <c r="BJ85" s="16"/>
      <c r="BK85" s="16"/>
      <c r="BL85" s="16"/>
      <c r="BM85" s="16">
        <f t="shared" si="48"/>
        <v>0</v>
      </c>
      <c r="BN85" s="17" t="s">
        <v>345</v>
      </c>
      <c r="BO85" s="18" t="s">
        <v>402</v>
      </c>
      <c r="BP85" s="18"/>
      <c r="BQ85" s="18"/>
      <c r="BR85" s="14"/>
      <c r="BS85" s="16"/>
      <c r="BT85" s="16"/>
      <c r="BU85" s="16"/>
      <c r="BV85" s="16"/>
      <c r="BW85" s="16"/>
      <c r="BX85" s="8"/>
      <c r="BY85" s="8"/>
      <c r="BZ85" s="16"/>
      <c r="CA85" s="16"/>
      <c r="CB85" s="16"/>
      <c r="CC85" s="16"/>
      <c r="CD85" s="16"/>
      <c r="CE85" s="16"/>
      <c r="CF85" s="6"/>
      <c r="CG85" s="18"/>
      <c r="CH85" s="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7"/>
    </row>
    <row r="86" spans="1:98" ht="12.75" customHeight="1" x14ac:dyDescent="0.2">
      <c r="A86" s="6" t="s">
        <v>107</v>
      </c>
      <c r="B86" s="18"/>
      <c r="C86" s="6" t="s">
        <v>108</v>
      </c>
      <c r="E86" s="16">
        <v>1686586</v>
      </c>
      <c r="F86" s="16"/>
      <c r="G86" s="16">
        <v>13105642</v>
      </c>
      <c r="H86" s="16"/>
      <c r="I86" s="16">
        <f t="shared" ref="I86:I110" si="49">+E86+G86</f>
        <v>14792228</v>
      </c>
      <c r="J86" s="16"/>
      <c r="K86" s="16">
        <v>578257</v>
      </c>
      <c r="L86" s="16"/>
      <c r="M86" s="16">
        <v>2199368</v>
      </c>
      <c r="N86" s="16"/>
      <c r="O86" s="16">
        <f t="shared" ref="O86:O110" si="50">+K86+M86</f>
        <v>2777625</v>
      </c>
      <c r="P86" s="16"/>
      <c r="Q86" s="16">
        <v>10581510</v>
      </c>
      <c r="R86" s="16"/>
      <c r="S86" s="16">
        <v>0</v>
      </c>
      <c r="T86" s="16"/>
      <c r="U86" s="16">
        <v>1433093</v>
      </c>
      <c r="V86" s="16"/>
      <c r="W86" s="16">
        <f t="shared" si="44"/>
        <v>12014603</v>
      </c>
      <c r="X86" s="16"/>
      <c r="Y86" s="6" t="s">
        <v>107</v>
      </c>
      <c r="AA86" s="6" t="s">
        <v>108</v>
      </c>
      <c r="AB86" s="6"/>
      <c r="AC86" s="16">
        <v>2526015</v>
      </c>
      <c r="AD86" s="16"/>
      <c r="AE86" s="16">
        <f>2286416-367223</f>
        <v>1919193</v>
      </c>
      <c r="AF86" s="16"/>
      <c r="AG86" s="16">
        <v>367223</v>
      </c>
      <c r="AH86" s="16"/>
      <c r="AI86" s="8">
        <f t="shared" si="45"/>
        <v>239599</v>
      </c>
      <c r="AJ86" s="8"/>
      <c r="AK86" s="16">
        <v>-96953</v>
      </c>
      <c r="AL86" s="8"/>
      <c r="AM86" s="16">
        <v>0</v>
      </c>
      <c r="AN86" s="16"/>
      <c r="AO86" s="16">
        <v>0</v>
      </c>
      <c r="AP86" s="16"/>
      <c r="AQ86" s="16">
        <v>0</v>
      </c>
      <c r="AR86" s="16"/>
      <c r="AS86" s="8">
        <f t="shared" si="46"/>
        <v>142646</v>
      </c>
      <c r="AT86" s="8"/>
      <c r="AU86" s="16">
        <v>0</v>
      </c>
      <c r="AV86" s="16"/>
      <c r="AW86" s="16">
        <v>0</v>
      </c>
      <c r="AX86" s="16"/>
      <c r="AY86" s="16">
        <f t="shared" si="47"/>
        <v>1108329</v>
      </c>
      <c r="AZ86" s="16"/>
      <c r="BA86" s="6" t="s">
        <v>107</v>
      </c>
      <c r="BC86" s="6" t="s">
        <v>108</v>
      </c>
      <c r="BD86" s="16"/>
      <c r="BE86" s="16">
        <v>0</v>
      </c>
      <c r="BF86" s="16"/>
      <c r="BG86" s="16">
        <v>0</v>
      </c>
      <c r="BH86" s="16"/>
      <c r="BI86" s="16">
        <f>1964029+162979+377548+19577</f>
        <v>2524133</v>
      </c>
      <c r="BJ86" s="16"/>
      <c r="BK86" s="16">
        <f>72360+49684</f>
        <v>122044</v>
      </c>
      <c r="BL86" s="16"/>
      <c r="BM86" s="16">
        <f t="shared" si="48"/>
        <v>2646177</v>
      </c>
      <c r="BN86" s="17" t="s">
        <v>345</v>
      </c>
      <c r="BP86" s="18"/>
      <c r="BQ86" s="18"/>
      <c r="BR86" s="14"/>
      <c r="BS86" s="16"/>
      <c r="BT86" s="16"/>
      <c r="BU86" s="16"/>
      <c r="BV86" s="16"/>
      <c r="BW86" s="16"/>
      <c r="BX86" s="8"/>
      <c r="BY86" s="8"/>
      <c r="BZ86" s="16"/>
      <c r="CA86" s="16"/>
      <c r="CB86" s="16"/>
      <c r="CC86" s="16"/>
      <c r="CD86" s="16"/>
      <c r="CE86" s="16"/>
      <c r="CF86" s="6"/>
      <c r="CG86" s="18"/>
      <c r="CH86" s="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7"/>
    </row>
    <row r="87" spans="1:98" ht="12.75" customHeight="1" x14ac:dyDescent="0.2">
      <c r="A87" s="6" t="s">
        <v>41</v>
      </c>
      <c r="C87" s="6" t="s">
        <v>109</v>
      </c>
      <c r="E87" s="16">
        <v>1442324</v>
      </c>
      <c r="F87" s="16"/>
      <c r="G87" s="16">
        <v>4039152</v>
      </c>
      <c r="H87" s="16"/>
      <c r="I87" s="16">
        <f t="shared" si="49"/>
        <v>5481476</v>
      </c>
      <c r="J87" s="16"/>
      <c r="K87" s="16">
        <v>446894</v>
      </c>
      <c r="L87" s="16"/>
      <c r="M87" s="16">
        <v>111758</v>
      </c>
      <c r="N87" s="16"/>
      <c r="O87" s="16">
        <f t="shared" si="50"/>
        <v>558652</v>
      </c>
      <c r="P87" s="16"/>
      <c r="Q87" s="16">
        <v>3288472</v>
      </c>
      <c r="R87" s="16"/>
      <c r="S87" s="16">
        <f>615677+277630</f>
        <v>893307</v>
      </c>
      <c r="T87" s="16"/>
      <c r="U87" s="16">
        <v>1150523</v>
      </c>
      <c r="V87" s="16"/>
      <c r="W87" s="16">
        <f t="shared" si="44"/>
        <v>5332302</v>
      </c>
      <c r="X87" s="16"/>
      <c r="Y87" s="6" t="s">
        <v>41</v>
      </c>
      <c r="AA87" s="6" t="s">
        <v>109</v>
      </c>
      <c r="AB87" s="6"/>
      <c r="AC87" s="16">
        <v>2515454</v>
      </c>
      <c r="AD87" s="16"/>
      <c r="AE87" s="16">
        <f>2487927-240565</f>
        <v>2247362</v>
      </c>
      <c r="AF87" s="16"/>
      <c r="AG87" s="16">
        <v>240565</v>
      </c>
      <c r="AH87" s="16"/>
      <c r="AI87" s="8">
        <f t="shared" si="45"/>
        <v>27527</v>
      </c>
      <c r="AJ87" s="8"/>
      <c r="AK87" s="16">
        <v>6586</v>
      </c>
      <c r="AL87" s="8"/>
      <c r="AM87" s="16">
        <v>10000</v>
      </c>
      <c r="AN87" s="16"/>
      <c r="AO87" s="16">
        <v>248578</v>
      </c>
      <c r="AP87" s="16"/>
      <c r="AQ87" s="16">
        <v>0</v>
      </c>
      <c r="AR87" s="16"/>
      <c r="AS87" s="8">
        <f t="shared" si="46"/>
        <v>-204465</v>
      </c>
      <c r="AT87" s="8"/>
      <c r="AU87" s="16">
        <v>0</v>
      </c>
      <c r="AV87" s="16"/>
      <c r="AW87" s="16">
        <v>0</v>
      </c>
      <c r="AX87" s="16"/>
      <c r="AY87" s="16">
        <f t="shared" si="47"/>
        <v>995430</v>
      </c>
      <c r="AZ87" s="16"/>
      <c r="BA87" s="6" t="s">
        <v>41</v>
      </c>
      <c r="BC87" s="6" t="s">
        <v>109</v>
      </c>
      <c r="BD87" s="16"/>
      <c r="BE87" s="16">
        <v>0</v>
      </c>
      <c r="BF87" s="16"/>
      <c r="BG87" s="16">
        <v>0</v>
      </c>
      <c r="BH87" s="16"/>
      <c r="BI87" s="16">
        <v>0</v>
      </c>
      <c r="BJ87" s="16"/>
      <c r="BK87" s="16">
        <f>46993+64765+1776</f>
        <v>113534</v>
      </c>
      <c r="BL87" s="16"/>
      <c r="BM87" s="16">
        <f t="shared" si="48"/>
        <v>113534</v>
      </c>
      <c r="BN87" s="17" t="s">
        <v>345</v>
      </c>
      <c r="BP87" s="18"/>
      <c r="BQ87" s="18"/>
      <c r="BR87" s="14"/>
      <c r="BS87" s="16"/>
      <c r="BT87" s="16"/>
      <c r="BU87" s="16"/>
      <c r="BV87" s="16"/>
      <c r="BW87" s="16"/>
      <c r="BX87" s="8"/>
      <c r="BY87" s="8"/>
      <c r="BZ87" s="16"/>
      <c r="CA87" s="16"/>
      <c r="CB87" s="16"/>
      <c r="CC87" s="16"/>
      <c r="CD87" s="16"/>
      <c r="CE87" s="16"/>
      <c r="CF87" s="6"/>
      <c r="CG87" s="18"/>
      <c r="CH87" s="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7"/>
    </row>
    <row r="88" spans="1:98" ht="12.75" customHeight="1" x14ac:dyDescent="0.2">
      <c r="A88" s="6" t="s">
        <v>110</v>
      </c>
      <c r="B88" s="20"/>
      <c r="C88" s="6" t="s">
        <v>74</v>
      </c>
      <c r="E88" s="16">
        <f>11701743+1162656+37678</f>
        <v>12902077</v>
      </c>
      <c r="F88" s="16"/>
      <c r="G88" s="16">
        <v>10792607</v>
      </c>
      <c r="H88" s="16"/>
      <c r="I88" s="16">
        <f t="shared" si="49"/>
        <v>23694684</v>
      </c>
      <c r="J88" s="16"/>
      <c r="K88" s="16">
        <v>341457</v>
      </c>
      <c r="L88" s="16"/>
      <c r="M88" s="16">
        <v>2010003</v>
      </c>
      <c r="N88" s="16"/>
      <c r="O88" s="16">
        <f t="shared" si="50"/>
        <v>2351460</v>
      </c>
      <c r="P88" s="16"/>
      <c r="Q88" s="16">
        <v>10588464</v>
      </c>
      <c r="R88" s="16"/>
      <c r="S88" s="16">
        <v>0</v>
      </c>
      <c r="T88" s="16"/>
      <c r="U88" s="16">
        <v>10754760</v>
      </c>
      <c r="V88" s="16"/>
      <c r="W88" s="16">
        <f t="shared" si="44"/>
        <v>21343224</v>
      </c>
      <c r="X88" s="16"/>
      <c r="Y88" s="6" t="s">
        <v>110</v>
      </c>
      <c r="AA88" s="6" t="s">
        <v>74</v>
      </c>
      <c r="AB88" s="6"/>
      <c r="AC88" s="16">
        <v>7391766</v>
      </c>
      <c r="AD88" s="16"/>
      <c r="AE88" s="16">
        <f>3606939-469753</f>
        <v>3137186</v>
      </c>
      <c r="AF88" s="16"/>
      <c r="AG88" s="16">
        <v>469753</v>
      </c>
      <c r="AH88" s="16"/>
      <c r="AI88" s="8">
        <f t="shared" si="45"/>
        <v>3784827</v>
      </c>
      <c r="AJ88" s="8"/>
      <c r="AK88" s="16">
        <f>-301847+22969</f>
        <v>-278878</v>
      </c>
      <c r="AL88" s="8"/>
      <c r="AM88" s="16">
        <v>2885</v>
      </c>
      <c r="AN88" s="16"/>
      <c r="AO88" s="16">
        <v>0</v>
      </c>
      <c r="AP88" s="16"/>
      <c r="AQ88" s="16">
        <v>0</v>
      </c>
      <c r="AR88" s="16"/>
      <c r="AS88" s="8">
        <f t="shared" si="46"/>
        <v>3508834</v>
      </c>
      <c r="AT88" s="8"/>
      <c r="AU88" s="16">
        <v>0</v>
      </c>
      <c r="AV88" s="16"/>
      <c r="AW88" s="16">
        <v>0</v>
      </c>
      <c r="AX88" s="16"/>
      <c r="AY88" s="16">
        <f t="shared" si="47"/>
        <v>12560620</v>
      </c>
      <c r="AZ88" s="16"/>
      <c r="BA88" s="6" t="s">
        <v>110</v>
      </c>
      <c r="BC88" s="6" t="s">
        <v>74</v>
      </c>
      <c r="BD88" s="16"/>
      <c r="BE88" s="16">
        <v>0</v>
      </c>
      <c r="BF88" s="16"/>
      <c r="BG88" s="16">
        <v>0</v>
      </c>
      <c r="BH88" s="16"/>
      <c r="BI88" s="16">
        <f>1638977+19225+184918</f>
        <v>1843120</v>
      </c>
      <c r="BJ88" s="16"/>
      <c r="BK88" s="16">
        <f>186108+32932</f>
        <v>219040</v>
      </c>
      <c r="BL88" s="16"/>
      <c r="BM88" s="16">
        <f t="shared" si="48"/>
        <v>2062160</v>
      </c>
      <c r="BN88" s="17" t="s">
        <v>345</v>
      </c>
      <c r="BP88" s="18"/>
      <c r="BQ88" s="18"/>
      <c r="BR88" s="20"/>
      <c r="BS88" s="16"/>
      <c r="BT88" s="16"/>
      <c r="BU88" s="16"/>
      <c r="BV88" s="16"/>
      <c r="BW88" s="16"/>
      <c r="BX88" s="8"/>
      <c r="BY88" s="8"/>
      <c r="BZ88" s="16"/>
      <c r="CA88" s="16"/>
      <c r="CB88" s="16"/>
      <c r="CC88" s="16"/>
      <c r="CD88" s="16"/>
      <c r="CE88" s="16"/>
      <c r="CF88" s="6"/>
      <c r="CG88" s="18"/>
      <c r="CH88" s="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7"/>
    </row>
    <row r="89" spans="1:98" ht="12.75" hidden="1" customHeight="1" x14ac:dyDescent="0.2">
      <c r="A89" s="6" t="s">
        <v>111</v>
      </c>
      <c r="B89" s="20"/>
      <c r="C89" s="6" t="s">
        <v>41</v>
      </c>
      <c r="E89" s="16">
        <v>14318825</v>
      </c>
      <c r="F89" s="16"/>
      <c r="G89" s="16">
        <v>16622018</v>
      </c>
      <c r="H89" s="16"/>
      <c r="I89" s="16">
        <f t="shared" si="49"/>
        <v>30940843</v>
      </c>
      <c r="J89" s="16"/>
      <c r="K89" s="16">
        <v>2750713</v>
      </c>
      <c r="L89" s="16"/>
      <c r="M89" s="16">
        <v>302828</v>
      </c>
      <c r="N89" s="16"/>
      <c r="O89" s="16">
        <f t="shared" si="50"/>
        <v>3053541</v>
      </c>
      <c r="P89" s="16"/>
      <c r="Q89" s="16">
        <v>16294460</v>
      </c>
      <c r="R89" s="16"/>
      <c r="S89" s="16">
        <v>0</v>
      </c>
      <c r="T89" s="16"/>
      <c r="U89" s="16">
        <v>11592842</v>
      </c>
      <c r="V89" s="16"/>
      <c r="W89" s="16">
        <f t="shared" si="44"/>
        <v>27887302</v>
      </c>
      <c r="X89" s="16"/>
      <c r="Y89" s="6" t="s">
        <v>111</v>
      </c>
      <c r="AA89" s="6" t="s">
        <v>41</v>
      </c>
      <c r="AB89" s="6"/>
      <c r="AC89" s="16">
        <v>5115183</v>
      </c>
      <c r="AD89" s="16"/>
      <c r="AE89" s="16">
        <f>6749432-493790</f>
        <v>6255642</v>
      </c>
      <c r="AF89" s="16"/>
      <c r="AG89" s="16">
        <v>493790</v>
      </c>
      <c r="AH89" s="16"/>
      <c r="AI89" s="8">
        <f t="shared" si="45"/>
        <v>-1634249</v>
      </c>
      <c r="AJ89" s="8"/>
      <c r="AK89" s="16">
        <v>-15006</v>
      </c>
      <c r="AL89" s="8"/>
      <c r="AM89" s="16">
        <v>0</v>
      </c>
      <c r="AN89" s="16"/>
      <c r="AO89" s="16">
        <v>0</v>
      </c>
      <c r="AP89" s="16"/>
      <c r="AQ89" s="16">
        <v>0</v>
      </c>
      <c r="AR89" s="16"/>
      <c r="AS89" s="8">
        <f t="shared" si="46"/>
        <v>-1649255</v>
      </c>
      <c r="AT89" s="8"/>
      <c r="AU89" s="16">
        <v>0</v>
      </c>
      <c r="AV89" s="16"/>
      <c r="AW89" s="16">
        <v>0</v>
      </c>
      <c r="AX89" s="16"/>
      <c r="AY89" s="16">
        <f t="shared" si="47"/>
        <v>11568112</v>
      </c>
      <c r="AZ89" s="16"/>
      <c r="BA89" s="6" t="s">
        <v>111</v>
      </c>
      <c r="BC89" s="6" t="s">
        <v>41</v>
      </c>
      <c r="BD89" s="16"/>
      <c r="BE89" s="16">
        <f>290479+12802</f>
        <v>303281</v>
      </c>
      <c r="BF89" s="16"/>
      <c r="BG89" s="16">
        <v>0</v>
      </c>
      <c r="BH89" s="16"/>
      <c r="BI89" s="16">
        <f>12349+11928</f>
        <v>24277</v>
      </c>
      <c r="BJ89" s="16"/>
      <c r="BK89" s="16">
        <v>0</v>
      </c>
      <c r="BL89" s="16"/>
      <c r="BM89" s="16">
        <f t="shared" si="48"/>
        <v>327558</v>
      </c>
      <c r="BN89" s="17" t="s">
        <v>345</v>
      </c>
      <c r="BP89" s="18"/>
      <c r="BQ89" s="18"/>
      <c r="BR89" s="20"/>
      <c r="BS89" s="16"/>
      <c r="BT89" s="16"/>
      <c r="BU89" s="16"/>
      <c r="BV89" s="16"/>
      <c r="BW89" s="16"/>
      <c r="BX89" s="8"/>
      <c r="BY89" s="8"/>
      <c r="BZ89" s="16"/>
      <c r="CA89" s="16"/>
      <c r="CB89" s="16"/>
      <c r="CC89" s="16"/>
      <c r="CD89" s="16"/>
      <c r="CE89" s="16"/>
      <c r="CF89" s="6"/>
      <c r="CG89" s="18"/>
      <c r="CH89" s="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7"/>
    </row>
    <row r="90" spans="1:98" ht="12.75" customHeight="1" x14ac:dyDescent="0.2">
      <c r="A90" s="6" t="s">
        <v>483</v>
      </c>
      <c r="C90" s="6" t="s">
        <v>55</v>
      </c>
      <c r="E90" s="16">
        <v>3950370</v>
      </c>
      <c r="F90" s="16"/>
      <c r="G90" s="16">
        <v>10232393</v>
      </c>
      <c r="H90" s="16"/>
      <c r="I90" s="16">
        <f t="shared" si="49"/>
        <v>14182763</v>
      </c>
      <c r="J90" s="16"/>
      <c r="K90" s="16">
        <v>1157680</v>
      </c>
      <c r="L90" s="16"/>
      <c r="M90" s="16">
        <v>5048627</v>
      </c>
      <c r="N90" s="16"/>
      <c r="O90" s="16">
        <f t="shared" si="50"/>
        <v>6206307</v>
      </c>
      <c r="P90" s="16"/>
      <c r="Q90" s="16">
        <v>4942291</v>
      </c>
      <c r="R90" s="16"/>
      <c r="S90" s="16">
        <v>0</v>
      </c>
      <c r="T90" s="16"/>
      <c r="U90" s="16">
        <v>3034165</v>
      </c>
      <c r="V90" s="16"/>
      <c r="W90" s="16">
        <f t="shared" si="44"/>
        <v>7976456</v>
      </c>
      <c r="X90" s="16"/>
      <c r="Y90" s="6" t="s">
        <v>484</v>
      </c>
      <c r="AA90" s="6" t="s">
        <v>55</v>
      </c>
      <c r="AB90" s="6"/>
      <c r="AC90" s="16">
        <v>2847674</v>
      </c>
      <c r="AD90" s="16"/>
      <c r="AE90" s="16">
        <f>1690507-516948</f>
        <v>1173559</v>
      </c>
      <c r="AF90" s="16"/>
      <c r="AG90" s="16">
        <v>516948</v>
      </c>
      <c r="AH90" s="16"/>
      <c r="AI90" s="8">
        <f t="shared" si="45"/>
        <v>1157167</v>
      </c>
      <c r="AJ90" s="8"/>
      <c r="AK90" s="16">
        <v>-219911</v>
      </c>
      <c r="AL90" s="8"/>
      <c r="AM90" s="16">
        <v>44520</v>
      </c>
      <c r="AN90" s="16"/>
      <c r="AO90" s="16">
        <v>22260</v>
      </c>
      <c r="AP90" s="16"/>
      <c r="AQ90" s="16">
        <v>0</v>
      </c>
      <c r="AR90" s="16"/>
      <c r="AS90" s="8">
        <f t="shared" si="46"/>
        <v>959516</v>
      </c>
      <c r="AT90" s="8"/>
      <c r="AU90" s="16">
        <v>0</v>
      </c>
      <c r="AV90" s="16"/>
      <c r="AW90" s="16">
        <v>0</v>
      </c>
      <c r="AX90" s="16"/>
      <c r="AY90" s="16">
        <f t="shared" si="47"/>
        <v>2792690</v>
      </c>
      <c r="AZ90" s="16"/>
      <c r="BA90" s="6" t="s">
        <v>483</v>
      </c>
      <c r="BC90" s="6" t="s">
        <v>55</v>
      </c>
      <c r="BD90" s="16"/>
      <c r="BE90" s="16">
        <v>0</v>
      </c>
      <c r="BF90" s="16"/>
      <c r="BG90" s="16">
        <v>0</v>
      </c>
      <c r="BH90" s="16"/>
      <c r="BI90" s="16">
        <f>13454+4844392+26907+195028</f>
        <v>5079781</v>
      </c>
      <c r="BJ90" s="16"/>
      <c r="BK90" s="16">
        <f>71740+119041+36969</f>
        <v>227750</v>
      </c>
      <c r="BL90" s="16"/>
      <c r="BM90" s="16">
        <f t="shared" si="48"/>
        <v>5307531</v>
      </c>
      <c r="BN90" s="17" t="s">
        <v>345</v>
      </c>
      <c r="BP90" s="18"/>
      <c r="BQ90" s="18"/>
      <c r="BR90" s="14"/>
      <c r="BS90" s="16"/>
      <c r="BT90" s="16"/>
      <c r="BU90" s="16"/>
      <c r="BV90" s="16"/>
      <c r="BW90" s="16"/>
      <c r="BX90" s="8"/>
      <c r="BY90" s="8"/>
      <c r="BZ90" s="16"/>
      <c r="CA90" s="16"/>
      <c r="CB90" s="16"/>
      <c r="CC90" s="16"/>
      <c r="CD90" s="16"/>
      <c r="CE90" s="16"/>
      <c r="CF90" s="6"/>
      <c r="CG90" s="18"/>
      <c r="CH90" s="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7"/>
    </row>
    <row r="91" spans="1:98" ht="12.75" hidden="1" customHeight="1" x14ac:dyDescent="0.2">
      <c r="A91" s="6" t="s">
        <v>112</v>
      </c>
      <c r="C91" s="6" t="s">
        <v>25</v>
      </c>
      <c r="E91" s="16">
        <v>0</v>
      </c>
      <c r="F91" s="16"/>
      <c r="G91" s="16"/>
      <c r="H91" s="16"/>
      <c r="I91" s="16">
        <f t="shared" si="49"/>
        <v>0</v>
      </c>
      <c r="J91" s="16"/>
      <c r="K91" s="16">
        <v>0</v>
      </c>
      <c r="L91" s="16"/>
      <c r="M91" s="16"/>
      <c r="N91" s="16"/>
      <c r="O91" s="16">
        <f t="shared" si="50"/>
        <v>0</v>
      </c>
      <c r="P91" s="16"/>
      <c r="Q91" s="16"/>
      <c r="R91" s="16"/>
      <c r="S91" s="16"/>
      <c r="T91" s="16"/>
      <c r="U91" s="16"/>
      <c r="V91" s="16"/>
      <c r="W91" s="16">
        <f t="shared" si="44"/>
        <v>0</v>
      </c>
      <c r="X91" s="16"/>
      <c r="Y91" s="6" t="s">
        <v>112</v>
      </c>
      <c r="AA91" s="6" t="s">
        <v>25</v>
      </c>
      <c r="AB91" s="6"/>
      <c r="AC91" s="16"/>
      <c r="AD91" s="16"/>
      <c r="AE91" s="16"/>
      <c r="AF91" s="16"/>
      <c r="AG91" s="16"/>
      <c r="AH91" s="16"/>
      <c r="AI91" s="8">
        <f t="shared" si="45"/>
        <v>0</v>
      </c>
      <c r="AJ91" s="8"/>
      <c r="AK91" s="16"/>
      <c r="AL91" s="8"/>
      <c r="AM91" s="16"/>
      <c r="AN91" s="16"/>
      <c r="AO91" s="16"/>
      <c r="AP91" s="16"/>
      <c r="AQ91" s="16"/>
      <c r="AR91" s="16"/>
      <c r="AS91" s="8">
        <f t="shared" si="46"/>
        <v>0</v>
      </c>
      <c r="AT91" s="8"/>
      <c r="AU91" s="16">
        <v>0</v>
      </c>
      <c r="AV91" s="16"/>
      <c r="AW91" s="16">
        <v>0</v>
      </c>
      <c r="AX91" s="16"/>
      <c r="AY91" s="16">
        <f t="shared" si="47"/>
        <v>0</v>
      </c>
      <c r="AZ91" s="16"/>
      <c r="BA91" s="6" t="s">
        <v>112</v>
      </c>
      <c r="BC91" s="6" t="s">
        <v>25</v>
      </c>
      <c r="BD91" s="16"/>
      <c r="BE91" s="16"/>
      <c r="BF91" s="16"/>
      <c r="BG91" s="16"/>
      <c r="BH91" s="16"/>
      <c r="BI91" s="16"/>
      <c r="BJ91" s="16"/>
      <c r="BK91" s="16"/>
      <c r="BL91" s="16"/>
      <c r="BM91" s="16">
        <f t="shared" si="48"/>
        <v>0</v>
      </c>
      <c r="BN91" s="17" t="s">
        <v>345</v>
      </c>
      <c r="BP91" s="18"/>
      <c r="BQ91" s="18"/>
      <c r="BR91" s="14"/>
      <c r="BS91" s="16"/>
      <c r="BT91" s="16"/>
      <c r="BU91" s="16"/>
      <c r="BV91" s="16"/>
      <c r="BW91" s="16"/>
      <c r="BX91" s="8"/>
      <c r="BY91" s="8"/>
      <c r="BZ91" s="16"/>
      <c r="CA91" s="16"/>
      <c r="CB91" s="16"/>
      <c r="CC91" s="16"/>
      <c r="CD91" s="16"/>
      <c r="CE91" s="16"/>
      <c r="CF91" s="6"/>
      <c r="CG91" s="18"/>
      <c r="CH91" s="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7"/>
    </row>
    <row r="92" spans="1:98" ht="12.75" customHeight="1" x14ac:dyDescent="0.2">
      <c r="A92" s="6" t="s">
        <v>113</v>
      </c>
      <c r="B92" s="18"/>
      <c r="C92" s="6" t="s">
        <v>17</v>
      </c>
      <c r="E92" s="16">
        <v>1166412</v>
      </c>
      <c r="F92" s="16"/>
      <c r="G92" s="16">
        <v>7002133</v>
      </c>
      <c r="H92" s="16"/>
      <c r="I92" s="16">
        <f t="shared" si="49"/>
        <v>8168545</v>
      </c>
      <c r="J92" s="16"/>
      <c r="K92" s="16">
        <v>590791</v>
      </c>
      <c r="L92" s="16"/>
      <c r="M92" s="16">
        <v>2696833</v>
      </c>
      <c r="N92" s="16"/>
      <c r="O92" s="16">
        <f t="shared" si="50"/>
        <v>3287624</v>
      </c>
      <c r="P92" s="16"/>
      <c r="Q92" s="16">
        <v>3834397</v>
      </c>
      <c r="R92" s="16"/>
      <c r="S92" s="16">
        <v>0</v>
      </c>
      <c r="T92" s="16"/>
      <c r="U92" s="16">
        <v>1046524</v>
      </c>
      <c r="V92" s="16"/>
      <c r="W92" s="16">
        <f t="shared" si="44"/>
        <v>4880921</v>
      </c>
      <c r="X92" s="16"/>
      <c r="Y92" s="6" t="s">
        <v>113</v>
      </c>
      <c r="AA92" s="6" t="s">
        <v>17</v>
      </c>
      <c r="AB92" s="6"/>
      <c r="AC92" s="16">
        <v>1310402</v>
      </c>
      <c r="AD92" s="16"/>
      <c r="AE92" s="16">
        <f>1013750-244104</f>
        <v>769646</v>
      </c>
      <c r="AF92" s="16"/>
      <c r="AG92" s="16">
        <v>244104</v>
      </c>
      <c r="AH92" s="16"/>
      <c r="AI92" s="8">
        <f t="shared" si="45"/>
        <v>296652</v>
      </c>
      <c r="AJ92" s="8"/>
      <c r="AK92" s="16">
        <v>-147407</v>
      </c>
      <c r="AL92" s="8"/>
      <c r="AM92" s="16">
        <v>74296</v>
      </c>
      <c r="AN92" s="16"/>
      <c r="AO92" s="16">
        <v>0</v>
      </c>
      <c r="AP92" s="16"/>
      <c r="AQ92" s="16">
        <v>862552</v>
      </c>
      <c r="AR92" s="16"/>
      <c r="AS92" s="8">
        <f t="shared" si="46"/>
        <v>1086093</v>
      </c>
      <c r="AT92" s="8"/>
      <c r="AU92" s="16">
        <v>0</v>
      </c>
      <c r="AV92" s="16"/>
      <c r="AW92" s="16">
        <v>0</v>
      </c>
      <c r="AX92" s="16"/>
      <c r="AY92" s="16">
        <f t="shared" si="47"/>
        <v>575621</v>
      </c>
      <c r="AZ92" s="16"/>
      <c r="BA92" s="6" t="s">
        <v>113</v>
      </c>
      <c r="BC92" s="6" t="s">
        <v>17</v>
      </c>
      <c r="BD92" s="16"/>
      <c r="BE92" s="16">
        <v>0</v>
      </c>
      <c r="BF92" s="16"/>
      <c r="BG92" s="16">
        <v>0</v>
      </c>
      <c r="BH92" s="16"/>
      <c r="BI92" s="16">
        <f>72054+253410+2350900+17833+445290</f>
        <v>3139487</v>
      </c>
      <c r="BJ92" s="16"/>
      <c r="BK92" s="16">
        <f>15076+20469</f>
        <v>35545</v>
      </c>
      <c r="BL92" s="16"/>
      <c r="BM92" s="16">
        <f t="shared" si="48"/>
        <v>3175032</v>
      </c>
      <c r="BN92" s="17" t="s">
        <v>345</v>
      </c>
      <c r="BP92" s="18"/>
      <c r="BQ92" s="18"/>
      <c r="BR92" s="14"/>
      <c r="BS92" s="16"/>
      <c r="BT92" s="16"/>
      <c r="BU92" s="16"/>
      <c r="BV92" s="16"/>
      <c r="BW92" s="16"/>
      <c r="BX92" s="8"/>
      <c r="BY92" s="8"/>
      <c r="BZ92" s="16"/>
      <c r="CA92" s="16"/>
      <c r="CB92" s="16"/>
      <c r="CC92" s="16"/>
      <c r="CD92" s="16"/>
      <c r="CE92" s="16"/>
      <c r="CF92" s="6"/>
      <c r="CG92" s="18"/>
      <c r="CH92" s="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7"/>
    </row>
    <row r="93" spans="1:98" ht="12.75" customHeight="1" x14ac:dyDescent="0.2">
      <c r="A93" s="6" t="s">
        <v>114</v>
      </c>
      <c r="C93" s="6" t="s">
        <v>78</v>
      </c>
      <c r="E93" s="16">
        <v>546322</v>
      </c>
      <c r="F93" s="16"/>
      <c r="G93" s="16">
        <v>7140858</v>
      </c>
      <c r="H93" s="16"/>
      <c r="I93" s="16">
        <f t="shared" si="49"/>
        <v>7687180</v>
      </c>
      <c r="J93" s="16"/>
      <c r="K93" s="16">
        <v>187328</v>
      </c>
      <c r="L93" s="16"/>
      <c r="M93" s="16">
        <v>249067</v>
      </c>
      <c r="N93" s="16"/>
      <c r="O93" s="16">
        <f t="shared" si="50"/>
        <v>436395</v>
      </c>
      <c r="P93" s="16"/>
      <c r="Q93" s="16">
        <v>6964017</v>
      </c>
      <c r="R93" s="16"/>
      <c r="S93" s="16">
        <v>0</v>
      </c>
      <c r="T93" s="16"/>
      <c r="U93" s="16">
        <v>286768</v>
      </c>
      <c r="V93" s="16"/>
      <c r="W93" s="16">
        <f t="shared" si="44"/>
        <v>7250785</v>
      </c>
      <c r="X93" s="16"/>
      <c r="Y93" s="6" t="s">
        <v>114</v>
      </c>
      <c r="AA93" s="6" t="s">
        <v>78</v>
      </c>
      <c r="AB93" s="6"/>
      <c r="AC93" s="16">
        <v>1647471</v>
      </c>
      <c r="AD93" s="16"/>
      <c r="AE93" s="16">
        <f>2011106-163087</f>
        <v>1848019</v>
      </c>
      <c r="AF93" s="16"/>
      <c r="AG93" s="16">
        <v>163087</v>
      </c>
      <c r="AH93" s="16"/>
      <c r="AI93" s="8">
        <f t="shared" si="45"/>
        <v>-363635</v>
      </c>
      <c r="AJ93" s="8"/>
      <c r="AK93" s="16">
        <v>-10426</v>
      </c>
      <c r="AL93" s="8"/>
      <c r="AM93" s="16">
        <v>0</v>
      </c>
      <c r="AN93" s="16"/>
      <c r="AO93" s="16">
        <v>0</v>
      </c>
      <c r="AP93" s="16"/>
      <c r="AQ93" s="16">
        <v>0</v>
      </c>
      <c r="AR93" s="16"/>
      <c r="AS93" s="8">
        <f t="shared" si="46"/>
        <v>-374061</v>
      </c>
      <c r="AT93" s="8"/>
      <c r="AU93" s="16">
        <v>0</v>
      </c>
      <c r="AV93" s="16"/>
      <c r="AW93" s="16">
        <v>0</v>
      </c>
      <c r="AX93" s="16"/>
      <c r="AY93" s="16">
        <f t="shared" si="47"/>
        <v>358994</v>
      </c>
      <c r="AZ93" s="16"/>
      <c r="BA93" s="6" t="s">
        <v>114</v>
      </c>
      <c r="BC93" s="6" t="s">
        <v>78</v>
      </c>
      <c r="BD93" s="16"/>
      <c r="BE93" s="16">
        <v>0</v>
      </c>
      <c r="BF93" s="16"/>
      <c r="BG93" s="16">
        <v>0</v>
      </c>
      <c r="BH93" s="16"/>
      <c r="BI93" s="16">
        <f>826627+290953</f>
        <v>1117580</v>
      </c>
      <c r="BJ93" s="16"/>
      <c r="BK93" s="16">
        <f>13551+129831</f>
        <v>143382</v>
      </c>
      <c r="BL93" s="16"/>
      <c r="BM93" s="16">
        <f t="shared" si="48"/>
        <v>1260962</v>
      </c>
      <c r="BN93" s="17" t="s">
        <v>345</v>
      </c>
      <c r="BP93" s="18"/>
      <c r="BQ93" s="18"/>
      <c r="BR93" s="14"/>
      <c r="BS93" s="16"/>
      <c r="BT93" s="16"/>
      <c r="BU93" s="16"/>
      <c r="BV93" s="16"/>
      <c r="BW93" s="16"/>
      <c r="BX93" s="8"/>
      <c r="BY93" s="8"/>
      <c r="BZ93" s="16"/>
      <c r="CA93" s="16"/>
      <c r="CB93" s="16"/>
      <c r="CC93" s="16"/>
      <c r="CD93" s="16"/>
      <c r="CE93" s="16"/>
      <c r="CF93" s="6"/>
      <c r="CG93" s="18"/>
      <c r="CH93" s="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7"/>
    </row>
    <row r="94" spans="1:98" ht="12.75" hidden="1" customHeight="1" x14ac:dyDescent="0.2">
      <c r="A94" s="7" t="s">
        <v>115</v>
      </c>
      <c r="C94" s="6" t="s">
        <v>41</v>
      </c>
      <c r="E94" s="16">
        <v>0</v>
      </c>
      <c r="F94" s="16"/>
      <c r="G94" s="16"/>
      <c r="H94" s="16"/>
      <c r="I94" s="16">
        <f t="shared" si="49"/>
        <v>0</v>
      </c>
      <c r="J94" s="16"/>
      <c r="K94" s="16">
        <v>0</v>
      </c>
      <c r="L94" s="16"/>
      <c r="M94" s="16"/>
      <c r="N94" s="16"/>
      <c r="O94" s="16">
        <f t="shared" si="50"/>
        <v>0</v>
      </c>
      <c r="P94" s="16"/>
      <c r="Q94" s="16"/>
      <c r="R94" s="16"/>
      <c r="S94" s="16"/>
      <c r="T94" s="16"/>
      <c r="U94" s="16"/>
      <c r="V94" s="16"/>
      <c r="W94" s="16">
        <f t="shared" si="44"/>
        <v>0</v>
      </c>
      <c r="X94" s="16"/>
      <c r="Y94" s="7" t="s">
        <v>115</v>
      </c>
      <c r="AA94" s="6" t="s">
        <v>41</v>
      </c>
      <c r="AB94" s="6"/>
      <c r="AC94" s="16"/>
      <c r="AD94" s="16"/>
      <c r="AE94" s="16"/>
      <c r="AF94" s="16"/>
      <c r="AG94" s="16"/>
      <c r="AH94" s="16"/>
      <c r="AI94" s="8">
        <f t="shared" si="45"/>
        <v>0</v>
      </c>
      <c r="AJ94" s="8"/>
      <c r="AK94" s="16"/>
      <c r="AL94" s="8"/>
      <c r="AM94" s="16"/>
      <c r="AN94" s="16"/>
      <c r="AO94" s="16"/>
      <c r="AP94" s="16"/>
      <c r="AQ94" s="16"/>
      <c r="AR94" s="16"/>
      <c r="AS94" s="8">
        <f t="shared" si="46"/>
        <v>0</v>
      </c>
      <c r="AT94" s="8"/>
      <c r="AU94" s="16">
        <v>0</v>
      </c>
      <c r="AV94" s="16"/>
      <c r="AW94" s="16">
        <v>0</v>
      </c>
      <c r="AX94" s="16"/>
      <c r="AY94" s="16">
        <f t="shared" si="47"/>
        <v>0</v>
      </c>
      <c r="AZ94" s="16"/>
      <c r="BA94" s="7" t="s">
        <v>115</v>
      </c>
      <c r="BC94" s="6" t="s">
        <v>41</v>
      </c>
      <c r="BD94" s="16"/>
      <c r="BE94" s="16"/>
      <c r="BF94" s="16"/>
      <c r="BG94" s="16"/>
      <c r="BH94" s="16"/>
      <c r="BI94" s="16"/>
      <c r="BJ94" s="16"/>
      <c r="BK94" s="16"/>
      <c r="BL94" s="16"/>
      <c r="BM94" s="16">
        <f t="shared" si="48"/>
        <v>0</v>
      </c>
      <c r="BN94" s="17" t="s">
        <v>345</v>
      </c>
      <c r="BP94" s="18"/>
      <c r="BQ94" s="18"/>
      <c r="BR94" s="14"/>
      <c r="BS94" s="16"/>
      <c r="BT94" s="16"/>
      <c r="BU94" s="16"/>
      <c r="BV94" s="16"/>
      <c r="BW94" s="16"/>
      <c r="BX94" s="8"/>
      <c r="BY94" s="8"/>
      <c r="BZ94" s="16"/>
      <c r="CA94" s="16"/>
      <c r="CB94" s="16"/>
      <c r="CC94" s="16"/>
      <c r="CD94" s="16"/>
      <c r="CE94" s="16"/>
      <c r="CF94" s="6"/>
      <c r="CG94" s="18"/>
      <c r="CH94" s="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7"/>
    </row>
    <row r="95" spans="1:98" ht="12.75" hidden="1" customHeight="1" x14ac:dyDescent="0.2">
      <c r="A95" s="6" t="s">
        <v>116</v>
      </c>
      <c r="C95" s="6" t="s">
        <v>11</v>
      </c>
      <c r="E95" s="16">
        <v>0</v>
      </c>
      <c r="F95" s="16"/>
      <c r="G95" s="16"/>
      <c r="H95" s="16"/>
      <c r="I95" s="16">
        <f t="shared" si="49"/>
        <v>0</v>
      </c>
      <c r="J95" s="16"/>
      <c r="K95" s="16">
        <v>0</v>
      </c>
      <c r="L95" s="16"/>
      <c r="M95" s="16"/>
      <c r="N95" s="16"/>
      <c r="O95" s="16">
        <f t="shared" si="50"/>
        <v>0</v>
      </c>
      <c r="P95" s="16"/>
      <c r="Q95" s="16"/>
      <c r="R95" s="16"/>
      <c r="S95" s="16"/>
      <c r="T95" s="16"/>
      <c r="U95" s="16"/>
      <c r="V95" s="16"/>
      <c r="W95" s="16">
        <f t="shared" si="44"/>
        <v>0</v>
      </c>
      <c r="X95" s="16"/>
      <c r="Y95" s="6" t="s">
        <v>116</v>
      </c>
      <c r="AA95" s="6" t="s">
        <v>11</v>
      </c>
      <c r="AB95" s="6"/>
      <c r="AC95" s="16"/>
      <c r="AD95" s="16"/>
      <c r="AE95" s="16"/>
      <c r="AF95" s="16"/>
      <c r="AG95" s="16"/>
      <c r="AH95" s="16"/>
      <c r="AI95" s="8">
        <f t="shared" si="45"/>
        <v>0</v>
      </c>
      <c r="AJ95" s="8"/>
      <c r="AK95" s="16"/>
      <c r="AL95" s="8"/>
      <c r="AM95" s="16"/>
      <c r="AN95" s="16"/>
      <c r="AO95" s="16"/>
      <c r="AP95" s="16"/>
      <c r="AQ95" s="16"/>
      <c r="AR95" s="16"/>
      <c r="AS95" s="8">
        <f t="shared" si="46"/>
        <v>0</v>
      </c>
      <c r="AT95" s="8"/>
      <c r="AU95" s="16">
        <v>0</v>
      </c>
      <c r="AV95" s="16"/>
      <c r="AW95" s="16">
        <v>0</v>
      </c>
      <c r="AX95" s="16"/>
      <c r="AY95" s="16">
        <f t="shared" si="47"/>
        <v>0</v>
      </c>
      <c r="AZ95" s="16"/>
      <c r="BA95" s="6" t="s">
        <v>116</v>
      </c>
      <c r="BC95" s="6" t="s">
        <v>11</v>
      </c>
      <c r="BD95" s="16"/>
      <c r="BE95" s="16"/>
      <c r="BF95" s="16"/>
      <c r="BG95" s="16"/>
      <c r="BH95" s="16"/>
      <c r="BI95" s="16"/>
      <c r="BJ95" s="16"/>
      <c r="BK95" s="16"/>
      <c r="BL95" s="16"/>
      <c r="BM95" s="16">
        <f t="shared" si="48"/>
        <v>0</v>
      </c>
      <c r="BN95" s="17" t="s">
        <v>345</v>
      </c>
      <c r="BO95" s="6"/>
      <c r="BP95" s="18"/>
      <c r="BQ95" s="18"/>
      <c r="BR95" s="14"/>
      <c r="BS95" s="16"/>
      <c r="BT95" s="16"/>
      <c r="BU95" s="16"/>
      <c r="BV95" s="16"/>
      <c r="BX95" s="8"/>
      <c r="BY95" s="16"/>
      <c r="BZ95" s="16"/>
      <c r="CA95" s="16"/>
      <c r="CB95" s="16"/>
      <c r="CC95" s="16"/>
      <c r="CD95" s="16"/>
      <c r="CE95" s="16"/>
      <c r="CF95" s="7"/>
      <c r="CG95" s="18"/>
      <c r="CH95" s="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7"/>
      <c r="CT95" s="6"/>
    </row>
    <row r="96" spans="1:98" ht="12.75" customHeight="1" x14ac:dyDescent="0.2">
      <c r="A96" s="6" t="s">
        <v>118</v>
      </c>
      <c r="C96" s="6" t="s">
        <v>119</v>
      </c>
      <c r="E96" s="16">
        <v>5176330</v>
      </c>
      <c r="F96" s="16"/>
      <c r="G96" s="16">
        <v>8393963</v>
      </c>
      <c r="H96" s="16"/>
      <c r="I96" s="16">
        <f t="shared" si="49"/>
        <v>13570293</v>
      </c>
      <c r="J96" s="16"/>
      <c r="K96" s="16">
        <v>313421</v>
      </c>
      <c r="L96" s="16"/>
      <c r="M96" s="16">
        <v>969738</v>
      </c>
      <c r="N96" s="16"/>
      <c r="O96" s="16">
        <f t="shared" si="50"/>
        <v>1283159</v>
      </c>
      <c r="P96" s="16"/>
      <c r="Q96" s="16">
        <v>7248963</v>
      </c>
      <c r="R96" s="16"/>
      <c r="S96" s="16">
        <v>318345</v>
      </c>
      <c r="T96" s="16"/>
      <c r="U96" s="16">
        <v>4719826</v>
      </c>
      <c r="V96" s="16"/>
      <c r="W96" s="16">
        <f t="shared" si="44"/>
        <v>12287134</v>
      </c>
      <c r="X96" s="16"/>
      <c r="Y96" s="6" t="s">
        <v>118</v>
      </c>
      <c r="AA96" s="6" t="s">
        <v>119</v>
      </c>
      <c r="AB96" s="6"/>
      <c r="AC96" s="16">
        <v>2023119</v>
      </c>
      <c r="AD96" s="16"/>
      <c r="AE96" s="16">
        <f>1302110-390393</f>
        <v>911717</v>
      </c>
      <c r="AF96" s="16"/>
      <c r="AG96" s="16">
        <v>390393</v>
      </c>
      <c r="AH96" s="16"/>
      <c r="AI96" s="8">
        <f t="shared" si="45"/>
        <v>721009</v>
      </c>
      <c r="AJ96" s="8"/>
      <c r="AK96" s="16">
        <v>-62137</v>
      </c>
      <c r="AL96" s="8"/>
      <c r="AM96" s="16">
        <v>0</v>
      </c>
      <c r="AN96" s="16"/>
      <c r="AO96" s="16">
        <v>0</v>
      </c>
      <c r="AP96" s="16"/>
      <c r="AQ96" s="16">
        <v>0</v>
      </c>
      <c r="AR96" s="16"/>
      <c r="AS96" s="8">
        <f t="shared" si="46"/>
        <v>658872</v>
      </c>
      <c r="AT96" s="8"/>
      <c r="AU96" s="16">
        <v>0</v>
      </c>
      <c r="AV96" s="16"/>
      <c r="AW96" s="16">
        <v>0</v>
      </c>
      <c r="AX96" s="16"/>
      <c r="AY96" s="16">
        <f t="shared" si="47"/>
        <v>4862909</v>
      </c>
      <c r="AZ96" s="16"/>
      <c r="BA96" s="6" t="s">
        <v>118</v>
      </c>
      <c r="BC96" s="6" t="s">
        <v>119</v>
      </c>
      <c r="BD96" s="16"/>
      <c r="BE96" s="16">
        <v>0</v>
      </c>
      <c r="BF96" s="16"/>
      <c r="BG96" s="16">
        <f>935000+210000</f>
        <v>1145000</v>
      </c>
      <c r="BH96" s="16"/>
      <c r="BI96" s="16">
        <v>0</v>
      </c>
      <c r="BJ96" s="16"/>
      <c r="BK96" s="16">
        <f>34738+6756</f>
        <v>41494</v>
      </c>
      <c r="BL96" s="16"/>
      <c r="BM96" s="16">
        <f t="shared" si="48"/>
        <v>1186494</v>
      </c>
      <c r="BN96" s="17" t="s">
        <v>345</v>
      </c>
      <c r="BO96" s="18" t="s">
        <v>402</v>
      </c>
      <c r="BP96" s="18"/>
      <c r="BQ96" s="18"/>
      <c r="BR96" s="20"/>
      <c r="BS96" s="16"/>
      <c r="BT96" s="16"/>
      <c r="BU96" s="16"/>
      <c r="BV96" s="16"/>
      <c r="BW96" s="16"/>
      <c r="BX96" s="8"/>
      <c r="BY96" s="8"/>
      <c r="BZ96" s="16"/>
      <c r="CA96" s="16"/>
      <c r="CB96" s="16"/>
      <c r="CC96" s="16"/>
      <c r="CD96" s="16"/>
      <c r="CE96" s="16"/>
      <c r="CF96" s="6"/>
      <c r="CG96" s="18"/>
      <c r="CH96" s="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7"/>
    </row>
    <row r="97" spans="1:97" ht="12.75" customHeight="1" x14ac:dyDescent="0.2">
      <c r="A97" s="6" t="s">
        <v>120</v>
      </c>
      <c r="B97" s="18"/>
      <c r="C97" s="6" t="s">
        <v>41</v>
      </c>
      <c r="E97" s="16">
        <v>1738016</v>
      </c>
      <c r="F97" s="16"/>
      <c r="G97" s="16">
        <v>26873935</v>
      </c>
      <c r="H97" s="16"/>
      <c r="I97" s="16">
        <f t="shared" si="49"/>
        <v>28611951</v>
      </c>
      <c r="J97" s="16"/>
      <c r="K97" s="16">
        <v>205674</v>
      </c>
      <c r="L97" s="16"/>
      <c r="M97" s="16">
        <v>451425</v>
      </c>
      <c r="N97" s="16"/>
      <c r="O97" s="16">
        <f t="shared" si="50"/>
        <v>657099</v>
      </c>
      <c r="P97" s="16"/>
      <c r="Q97" s="16">
        <v>26380918</v>
      </c>
      <c r="R97" s="16"/>
      <c r="S97" s="16">
        <v>0</v>
      </c>
      <c r="T97" s="16"/>
      <c r="U97" s="16">
        <v>1573934</v>
      </c>
      <c r="V97" s="16"/>
      <c r="W97" s="16">
        <f t="shared" si="44"/>
        <v>27954852</v>
      </c>
      <c r="X97" s="16"/>
      <c r="Y97" s="6" t="s">
        <v>120</v>
      </c>
      <c r="AA97" s="6" t="s">
        <v>41</v>
      </c>
      <c r="AB97" s="6"/>
      <c r="AC97" s="16">
        <v>889277</v>
      </c>
      <c r="AD97" s="16"/>
      <c r="AE97" s="16">
        <f>1621469-768406</f>
        <v>853063</v>
      </c>
      <c r="AF97" s="16"/>
      <c r="AG97" s="16">
        <v>768406</v>
      </c>
      <c r="AH97" s="16"/>
      <c r="AI97" s="8">
        <f t="shared" si="45"/>
        <v>-732192</v>
      </c>
      <c r="AJ97" s="8"/>
      <c r="AK97" s="16">
        <v>-846420</v>
      </c>
      <c r="AL97" s="8"/>
      <c r="AM97" s="16">
        <v>0</v>
      </c>
      <c r="AN97" s="16"/>
      <c r="AO97" s="16">
        <v>0</v>
      </c>
      <c r="AP97" s="16"/>
      <c r="AQ97" s="16">
        <v>0</v>
      </c>
      <c r="AR97" s="16"/>
      <c r="AS97" s="8">
        <f t="shared" si="46"/>
        <v>-1578612</v>
      </c>
      <c r="AT97" s="8"/>
      <c r="AU97" s="16">
        <v>0</v>
      </c>
      <c r="AV97" s="16"/>
      <c r="AW97" s="16">
        <v>0</v>
      </c>
      <c r="AX97" s="16"/>
      <c r="AY97" s="16">
        <f t="shared" si="47"/>
        <v>1532342</v>
      </c>
      <c r="AZ97" s="16"/>
      <c r="BA97" s="6" t="s">
        <v>120</v>
      </c>
      <c r="BC97" s="6" t="s">
        <v>41</v>
      </c>
      <c r="BD97" s="16"/>
      <c r="BE97" s="16">
        <v>0</v>
      </c>
      <c r="BF97" s="16"/>
      <c r="BG97" s="16">
        <v>0</v>
      </c>
      <c r="BH97" s="16"/>
      <c r="BI97" s="16">
        <f>422720+70297</f>
        <v>493017</v>
      </c>
      <c r="BJ97" s="16"/>
      <c r="BK97" s="16">
        <f>28705+19092</f>
        <v>47797</v>
      </c>
      <c r="BL97" s="16"/>
      <c r="BM97" s="16">
        <f t="shared" si="48"/>
        <v>540814</v>
      </c>
      <c r="BN97" s="17" t="s">
        <v>345</v>
      </c>
      <c r="BP97" s="18"/>
      <c r="BQ97" s="18"/>
      <c r="BR97" s="14"/>
      <c r="BS97" s="16"/>
      <c r="BT97" s="16"/>
      <c r="BU97" s="16"/>
      <c r="BV97" s="16"/>
      <c r="BW97" s="16"/>
      <c r="BX97" s="8"/>
      <c r="BY97" s="8"/>
      <c r="BZ97" s="16"/>
      <c r="CA97" s="16"/>
      <c r="CB97" s="16"/>
      <c r="CC97" s="16"/>
      <c r="CD97" s="16"/>
      <c r="CE97" s="16"/>
      <c r="CF97" s="6"/>
      <c r="CG97" s="18"/>
      <c r="CH97" s="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7"/>
    </row>
    <row r="98" spans="1:97" ht="12.75" customHeight="1" x14ac:dyDescent="0.2">
      <c r="A98" s="6" t="s">
        <v>494</v>
      </c>
      <c r="C98" s="6" t="s">
        <v>41</v>
      </c>
      <c r="E98" s="16">
        <v>1505679</v>
      </c>
      <c r="F98" s="16"/>
      <c r="G98" s="16">
        <v>7177486</v>
      </c>
      <c r="H98" s="16"/>
      <c r="I98" s="16">
        <f t="shared" si="49"/>
        <v>8683165</v>
      </c>
      <c r="J98" s="16"/>
      <c r="K98" s="16">
        <v>133608</v>
      </c>
      <c r="L98" s="16"/>
      <c r="M98" s="16">
        <v>0</v>
      </c>
      <c r="N98" s="16"/>
      <c r="O98" s="16">
        <f t="shared" si="50"/>
        <v>133608</v>
      </c>
      <c r="P98" s="16"/>
      <c r="Q98" s="16">
        <v>7177486</v>
      </c>
      <c r="R98" s="16"/>
      <c r="S98" s="16">
        <v>0</v>
      </c>
      <c r="T98" s="16"/>
      <c r="U98" s="16">
        <v>1372071</v>
      </c>
      <c r="V98" s="16"/>
      <c r="W98" s="16">
        <f t="shared" si="44"/>
        <v>8549557</v>
      </c>
      <c r="X98" s="16"/>
      <c r="Y98" s="6" t="s">
        <v>494</v>
      </c>
      <c r="Z98" s="14"/>
      <c r="AA98" s="6" t="s">
        <v>41</v>
      </c>
      <c r="AB98" s="6"/>
      <c r="AC98" s="16">
        <v>552834</v>
      </c>
      <c r="AD98" s="16"/>
      <c r="AE98" s="16">
        <f>839159-214682</f>
        <v>624477</v>
      </c>
      <c r="AF98" s="16"/>
      <c r="AG98" s="16">
        <v>214682</v>
      </c>
      <c r="AH98" s="16"/>
      <c r="AI98" s="8">
        <f t="shared" si="45"/>
        <v>-286325</v>
      </c>
      <c r="AJ98" s="8"/>
      <c r="AK98" s="16">
        <v>0</v>
      </c>
      <c r="AL98" s="8"/>
      <c r="AM98" s="16">
        <v>372000</v>
      </c>
      <c r="AN98" s="16"/>
      <c r="AO98" s="16">
        <v>0</v>
      </c>
      <c r="AP98" s="16"/>
      <c r="AQ98" s="16">
        <v>0</v>
      </c>
      <c r="AR98" s="16"/>
      <c r="AS98" s="8">
        <f t="shared" si="46"/>
        <v>85675</v>
      </c>
      <c r="AT98" s="8"/>
      <c r="AU98" s="16"/>
      <c r="AV98" s="16"/>
      <c r="AW98" s="16"/>
      <c r="AX98" s="16"/>
      <c r="AY98" s="16">
        <f t="shared" si="47"/>
        <v>1372071</v>
      </c>
      <c r="AZ98" s="16"/>
      <c r="BA98" s="6" t="s">
        <v>494</v>
      </c>
      <c r="BB98" s="14"/>
      <c r="BC98" s="6" t="s">
        <v>41</v>
      </c>
      <c r="BD98" s="16"/>
      <c r="BE98" s="16">
        <v>0</v>
      </c>
      <c r="BF98" s="16"/>
      <c r="BG98" s="16">
        <v>0</v>
      </c>
      <c r="BH98" s="16"/>
      <c r="BI98" s="16">
        <v>0</v>
      </c>
      <c r="BJ98" s="16"/>
      <c r="BK98" s="16">
        <v>0</v>
      </c>
      <c r="BL98" s="16"/>
      <c r="BM98" s="16">
        <f t="shared" si="48"/>
        <v>0</v>
      </c>
      <c r="BN98" s="17"/>
      <c r="BP98" s="18"/>
      <c r="BQ98" s="18"/>
      <c r="BR98" s="14"/>
      <c r="BS98" s="16"/>
      <c r="BT98" s="16"/>
      <c r="BU98" s="16"/>
      <c r="BV98" s="16"/>
      <c r="BW98" s="16"/>
      <c r="BX98" s="8"/>
      <c r="BY98" s="8"/>
      <c r="BZ98" s="16"/>
      <c r="CA98" s="16"/>
      <c r="CB98" s="16"/>
      <c r="CC98" s="16"/>
      <c r="CD98" s="16"/>
      <c r="CE98" s="16"/>
      <c r="CF98" s="6"/>
      <c r="CG98" s="18"/>
      <c r="CH98" s="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7"/>
    </row>
    <row r="99" spans="1:97" ht="12.75" customHeight="1" x14ac:dyDescent="0.2">
      <c r="A99" s="7" t="s">
        <v>43</v>
      </c>
      <c r="C99" s="6" t="s">
        <v>101</v>
      </c>
      <c r="E99" s="16">
        <v>43216801</v>
      </c>
      <c r="F99" s="16"/>
      <c r="G99" s="16">
        <v>46098793</v>
      </c>
      <c r="H99" s="16"/>
      <c r="I99" s="16">
        <f t="shared" si="49"/>
        <v>89315594</v>
      </c>
      <c r="J99" s="16"/>
      <c r="K99" s="16">
        <v>3758593</v>
      </c>
      <c r="L99" s="16"/>
      <c r="M99" s="16">
        <v>56918336</v>
      </c>
      <c r="N99" s="16"/>
      <c r="O99" s="16">
        <f t="shared" si="50"/>
        <v>60676929</v>
      </c>
      <c r="P99" s="16"/>
      <c r="Q99" s="16">
        <v>15122814</v>
      </c>
      <c r="R99" s="16"/>
      <c r="S99" s="16">
        <f>4061623+2000000</f>
        <v>6061623</v>
      </c>
      <c r="T99" s="16"/>
      <c r="U99" s="16">
        <v>7963566</v>
      </c>
      <c r="V99" s="16"/>
      <c r="W99" s="16">
        <f t="shared" si="44"/>
        <v>29148003</v>
      </c>
      <c r="X99" s="16"/>
      <c r="Y99" s="7" t="s">
        <v>43</v>
      </c>
      <c r="Z99" s="16"/>
      <c r="AA99" s="6" t="s">
        <v>101</v>
      </c>
      <c r="AB99" s="14"/>
      <c r="AC99" s="16">
        <v>12068156</v>
      </c>
      <c r="AD99" s="16"/>
      <c r="AE99" s="16">
        <f>9276700-2288196</f>
        <v>6988504</v>
      </c>
      <c r="AF99" s="16"/>
      <c r="AG99" s="16">
        <v>2288196</v>
      </c>
      <c r="AH99" s="16"/>
      <c r="AI99" s="8">
        <f t="shared" si="45"/>
        <v>2791456</v>
      </c>
      <c r="AJ99" s="8"/>
      <c r="AK99" s="16">
        <v>-2482429</v>
      </c>
      <c r="AL99" s="8"/>
      <c r="AM99" s="16">
        <v>0</v>
      </c>
      <c r="AN99" s="16"/>
      <c r="AO99" s="16">
        <v>0</v>
      </c>
      <c r="AP99" s="16"/>
      <c r="AQ99" s="16">
        <v>0</v>
      </c>
      <c r="AR99" s="16"/>
      <c r="AS99" s="8">
        <f t="shared" si="46"/>
        <v>309027</v>
      </c>
      <c r="AT99" s="8"/>
      <c r="AU99" s="16">
        <v>0</v>
      </c>
      <c r="AV99" s="16"/>
      <c r="AW99" s="16">
        <v>0</v>
      </c>
      <c r="AX99" s="16"/>
      <c r="AY99" s="16">
        <f t="shared" si="47"/>
        <v>39458208</v>
      </c>
      <c r="AZ99" s="16"/>
      <c r="BA99" s="7" t="s">
        <v>43</v>
      </c>
      <c r="BC99" s="6" t="s">
        <v>101</v>
      </c>
      <c r="BD99" s="16"/>
      <c r="BE99" s="16">
        <v>0</v>
      </c>
      <c r="BF99" s="16"/>
      <c r="BG99" s="16">
        <f>56339649+2045000</f>
        <v>58384649</v>
      </c>
      <c r="BH99" s="16"/>
      <c r="BI99" s="16">
        <f>383412+16665</f>
        <v>400077</v>
      </c>
      <c r="BJ99" s="16"/>
      <c r="BK99" s="16">
        <f>195275+161166</f>
        <v>356441</v>
      </c>
      <c r="BL99" s="16"/>
      <c r="BM99" s="16">
        <f t="shared" si="48"/>
        <v>59141167</v>
      </c>
      <c r="BN99" s="17" t="s">
        <v>345</v>
      </c>
      <c r="BO99" s="18" t="s">
        <v>402</v>
      </c>
      <c r="BP99" s="18"/>
      <c r="BQ99" s="18"/>
      <c r="BR99" s="14"/>
      <c r="BS99" s="16"/>
      <c r="BT99" s="16"/>
      <c r="BU99" s="16"/>
      <c r="BV99" s="16"/>
      <c r="BW99" s="16"/>
      <c r="BX99" s="8"/>
      <c r="BY99" s="8"/>
      <c r="BZ99" s="16"/>
      <c r="CA99" s="16"/>
      <c r="CB99" s="16"/>
      <c r="CC99" s="16"/>
      <c r="CD99" s="16"/>
      <c r="CE99" s="16"/>
      <c r="CF99" s="6"/>
      <c r="CG99" s="18"/>
      <c r="CH99" s="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7"/>
    </row>
    <row r="100" spans="1:97" ht="12.75" customHeight="1" x14ac:dyDescent="0.2">
      <c r="A100" s="7" t="s">
        <v>121</v>
      </c>
      <c r="C100" s="6" t="s">
        <v>43</v>
      </c>
      <c r="E100" s="16">
        <v>430542</v>
      </c>
      <c r="F100" s="16"/>
      <c r="G100" s="16">
        <v>22581807</v>
      </c>
      <c r="H100" s="16"/>
      <c r="I100" s="16">
        <f t="shared" si="49"/>
        <v>23012349</v>
      </c>
      <c r="J100" s="16"/>
      <c r="K100" s="16">
        <v>1196167</v>
      </c>
      <c r="L100" s="16"/>
      <c r="M100" s="16">
        <v>21602532</v>
      </c>
      <c r="N100" s="16"/>
      <c r="O100" s="16">
        <f t="shared" si="50"/>
        <v>22798699</v>
      </c>
      <c r="P100" s="16"/>
      <c r="Q100" s="16">
        <v>-2121697</v>
      </c>
      <c r="R100" s="16"/>
      <c r="S100" s="16">
        <v>2131205</v>
      </c>
      <c r="T100" s="16"/>
      <c r="U100" s="16">
        <v>204142</v>
      </c>
      <c r="V100" s="16"/>
      <c r="W100" s="16">
        <f t="shared" si="44"/>
        <v>213650</v>
      </c>
      <c r="X100" s="16"/>
      <c r="Y100" s="7" t="s">
        <v>121</v>
      </c>
      <c r="AA100" s="6" t="s">
        <v>43</v>
      </c>
      <c r="AB100" s="6"/>
      <c r="AC100" s="16">
        <v>3207641</v>
      </c>
      <c r="AD100" s="16"/>
      <c r="AE100" s="16">
        <f>2143259-810502</f>
        <v>1332757</v>
      </c>
      <c r="AF100" s="16"/>
      <c r="AG100" s="16">
        <v>810502</v>
      </c>
      <c r="AH100" s="16"/>
      <c r="AI100" s="8">
        <f t="shared" si="45"/>
        <v>1064382</v>
      </c>
      <c r="AJ100" s="8"/>
      <c r="AK100" s="16">
        <v>-1318641</v>
      </c>
      <c r="AL100" s="8"/>
      <c r="AM100" s="16">
        <v>0</v>
      </c>
      <c r="AN100" s="16"/>
      <c r="AO100" s="16">
        <v>0</v>
      </c>
      <c r="AP100" s="16"/>
      <c r="AQ100" s="16">
        <v>0</v>
      </c>
      <c r="AR100" s="16"/>
      <c r="AS100" s="8">
        <f t="shared" si="46"/>
        <v>-254259</v>
      </c>
      <c r="AT100" s="8"/>
      <c r="AU100" s="16">
        <v>0</v>
      </c>
      <c r="AV100" s="16"/>
      <c r="AW100" s="16">
        <v>0</v>
      </c>
      <c r="AX100" s="16"/>
      <c r="AY100" s="16">
        <f t="shared" si="47"/>
        <v>-765625</v>
      </c>
      <c r="AZ100" s="16"/>
      <c r="BA100" s="7" t="s">
        <v>121</v>
      </c>
      <c r="BC100" s="6" t="s">
        <v>43</v>
      </c>
      <c r="BD100" s="16"/>
      <c r="BE100" s="16">
        <f>5504248+170000</f>
        <v>5674248</v>
      </c>
      <c r="BF100" s="16"/>
      <c r="BG100" s="16">
        <f>14716247+780000</f>
        <v>15496247</v>
      </c>
      <c r="BH100" s="16"/>
      <c r="BI100" s="16">
        <f>1292318+92308</f>
        <v>1384626</v>
      </c>
      <c r="BJ100" s="16"/>
      <c r="BK100" s="16">
        <f>89719+7720</f>
        <v>97439</v>
      </c>
      <c r="BL100" s="16"/>
      <c r="BM100" s="16">
        <f t="shared" si="48"/>
        <v>22652560</v>
      </c>
      <c r="BN100" s="17" t="s">
        <v>345</v>
      </c>
      <c r="BP100" s="18"/>
      <c r="BQ100" s="18"/>
      <c r="BR100" s="14"/>
      <c r="BS100" s="16"/>
      <c r="BT100" s="16"/>
      <c r="BU100" s="16"/>
      <c r="BV100" s="16"/>
      <c r="BW100" s="16"/>
      <c r="BX100" s="8"/>
      <c r="BY100" s="8"/>
      <c r="BZ100" s="16"/>
      <c r="CA100" s="16"/>
      <c r="CB100" s="16"/>
      <c r="CC100" s="16"/>
      <c r="CD100" s="16"/>
      <c r="CE100" s="16"/>
      <c r="CF100" s="6"/>
      <c r="CG100" s="18"/>
      <c r="CH100" s="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7"/>
    </row>
    <row r="101" spans="1:97" s="36" customFormat="1" x14ac:dyDescent="0.2">
      <c r="A101" s="6" t="s">
        <v>122</v>
      </c>
      <c r="B101" s="14"/>
      <c r="C101" s="6" t="s">
        <v>123</v>
      </c>
      <c r="D101" s="7"/>
      <c r="E101" s="16">
        <v>3606799</v>
      </c>
      <c r="F101" s="16"/>
      <c r="G101" s="16">
        <v>11244985</v>
      </c>
      <c r="H101" s="16"/>
      <c r="I101" s="16">
        <f t="shared" si="49"/>
        <v>14851784</v>
      </c>
      <c r="J101" s="16"/>
      <c r="K101" s="16">
        <v>390392</v>
      </c>
      <c r="L101" s="16"/>
      <c r="M101" s="16">
        <v>5770321</v>
      </c>
      <c r="N101" s="16"/>
      <c r="O101" s="16">
        <f t="shared" si="50"/>
        <v>6160713</v>
      </c>
      <c r="P101" s="16"/>
      <c r="Q101" s="16">
        <v>5212026</v>
      </c>
      <c r="R101" s="16"/>
      <c r="S101" s="16">
        <v>0</v>
      </c>
      <c r="T101" s="16"/>
      <c r="U101" s="16">
        <v>3479045</v>
      </c>
      <c r="V101" s="16"/>
      <c r="W101" s="16">
        <f t="shared" si="44"/>
        <v>8691071</v>
      </c>
      <c r="X101" s="16"/>
      <c r="Y101" s="6" t="s">
        <v>122</v>
      </c>
      <c r="Z101" s="18"/>
      <c r="AA101" s="6" t="s">
        <v>123</v>
      </c>
      <c r="AB101" s="6"/>
      <c r="AC101" s="16">
        <v>2022158</v>
      </c>
      <c r="AD101" s="16"/>
      <c r="AE101" s="16">
        <f>1698632-374083</f>
        <v>1324549</v>
      </c>
      <c r="AF101" s="16"/>
      <c r="AG101" s="16">
        <v>374083</v>
      </c>
      <c r="AH101" s="16"/>
      <c r="AI101" s="8">
        <f t="shared" si="45"/>
        <v>323526</v>
      </c>
      <c r="AJ101" s="8"/>
      <c r="AK101" s="16">
        <v>-191996</v>
      </c>
      <c r="AL101" s="8"/>
      <c r="AM101" s="16">
        <v>0</v>
      </c>
      <c r="AN101" s="16"/>
      <c r="AO101" s="16">
        <v>0</v>
      </c>
      <c r="AP101" s="16"/>
      <c r="AQ101" s="16">
        <v>594846</v>
      </c>
      <c r="AR101" s="16"/>
      <c r="AS101" s="8">
        <f t="shared" si="46"/>
        <v>726376</v>
      </c>
      <c r="AT101" s="8"/>
      <c r="AU101" s="16">
        <v>0</v>
      </c>
      <c r="AV101" s="16"/>
      <c r="AW101" s="16">
        <v>0</v>
      </c>
      <c r="AX101" s="16"/>
      <c r="AY101" s="16">
        <f t="shared" si="47"/>
        <v>3216407</v>
      </c>
      <c r="AZ101" s="16"/>
      <c r="BA101" s="6" t="s">
        <v>122</v>
      </c>
      <c r="BB101" s="18"/>
      <c r="BC101" s="6" t="s">
        <v>123</v>
      </c>
      <c r="BD101" s="16"/>
      <c r="BE101" s="16">
        <v>0</v>
      </c>
      <c r="BF101" s="16"/>
      <c r="BG101" s="16">
        <v>0</v>
      </c>
      <c r="BH101" s="16"/>
      <c r="BI101" s="16">
        <f>5650414+86876+292193+3476</f>
        <v>6032959</v>
      </c>
      <c r="BJ101" s="16"/>
      <c r="BK101" s="16">
        <f>36519+33031</f>
        <v>69550</v>
      </c>
      <c r="BL101" s="16"/>
      <c r="BM101" s="16">
        <f t="shared" si="48"/>
        <v>6102509</v>
      </c>
      <c r="BN101" s="37" t="s">
        <v>345</v>
      </c>
      <c r="BR101" s="21"/>
      <c r="BS101" s="28"/>
      <c r="BT101" s="28"/>
      <c r="BU101" s="28"/>
      <c r="BV101" s="28"/>
      <c r="BW101" s="28"/>
      <c r="BX101" s="40"/>
      <c r="BY101" s="40"/>
      <c r="BZ101" s="28"/>
      <c r="CA101" s="28"/>
      <c r="CB101" s="28"/>
      <c r="CC101" s="28"/>
      <c r="CD101" s="28"/>
      <c r="CE101" s="28"/>
      <c r="CF101" s="19"/>
      <c r="CH101" s="19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37"/>
    </row>
    <row r="102" spans="1:97" ht="12.75" hidden="1" customHeight="1" x14ac:dyDescent="0.2">
      <c r="A102" s="6" t="s">
        <v>124</v>
      </c>
      <c r="C102" s="6" t="s">
        <v>25</v>
      </c>
      <c r="E102" s="16">
        <v>0</v>
      </c>
      <c r="F102" s="16"/>
      <c r="G102" s="16"/>
      <c r="H102" s="16"/>
      <c r="I102" s="16">
        <f t="shared" si="49"/>
        <v>0</v>
      </c>
      <c r="J102" s="16"/>
      <c r="K102" s="16">
        <v>0</v>
      </c>
      <c r="L102" s="16"/>
      <c r="M102" s="16"/>
      <c r="N102" s="16"/>
      <c r="O102" s="16">
        <f t="shared" si="50"/>
        <v>0</v>
      </c>
      <c r="P102" s="16"/>
      <c r="Q102" s="16"/>
      <c r="R102" s="16"/>
      <c r="S102" s="16"/>
      <c r="T102" s="16"/>
      <c r="U102" s="16"/>
      <c r="V102" s="16"/>
      <c r="W102" s="16">
        <f t="shared" si="44"/>
        <v>0</v>
      </c>
      <c r="X102" s="16"/>
      <c r="Y102" s="6" t="s">
        <v>124</v>
      </c>
      <c r="AA102" s="6" t="s">
        <v>25</v>
      </c>
      <c r="AB102" s="6"/>
      <c r="AC102" s="16"/>
      <c r="AD102" s="16"/>
      <c r="AE102" s="16"/>
      <c r="AF102" s="16"/>
      <c r="AG102" s="16"/>
      <c r="AH102" s="16"/>
      <c r="AI102" s="8">
        <f t="shared" si="45"/>
        <v>0</v>
      </c>
      <c r="AJ102" s="8"/>
      <c r="AK102" s="16"/>
      <c r="AL102" s="8"/>
      <c r="AM102" s="16"/>
      <c r="AN102" s="16"/>
      <c r="AO102" s="16"/>
      <c r="AP102" s="16"/>
      <c r="AQ102" s="16"/>
      <c r="AR102" s="16"/>
      <c r="AS102" s="8">
        <f t="shared" si="46"/>
        <v>0</v>
      </c>
      <c r="AT102" s="8"/>
      <c r="AU102" s="16">
        <v>0</v>
      </c>
      <c r="AV102" s="16"/>
      <c r="AW102" s="16">
        <v>0</v>
      </c>
      <c r="AX102" s="16"/>
      <c r="AY102" s="16">
        <f t="shared" si="47"/>
        <v>0</v>
      </c>
      <c r="AZ102" s="16"/>
      <c r="BA102" s="6" t="s">
        <v>124</v>
      </c>
      <c r="BC102" s="6" t="s">
        <v>25</v>
      </c>
      <c r="BD102" s="16"/>
      <c r="BE102" s="16"/>
      <c r="BF102" s="16"/>
      <c r="BG102" s="16"/>
      <c r="BH102" s="16"/>
      <c r="BI102" s="16"/>
      <c r="BJ102" s="16"/>
      <c r="BK102" s="16"/>
      <c r="BL102" s="16"/>
      <c r="BM102" s="16">
        <f t="shared" si="48"/>
        <v>0</v>
      </c>
      <c r="BN102" s="17" t="s">
        <v>345</v>
      </c>
      <c r="BP102" s="18"/>
      <c r="BQ102" s="18"/>
      <c r="BR102" s="14"/>
      <c r="BS102" s="16"/>
      <c r="BT102" s="16"/>
      <c r="BU102" s="16"/>
      <c r="BV102" s="16"/>
      <c r="BX102" s="8"/>
      <c r="BY102" s="16"/>
      <c r="BZ102" s="16"/>
      <c r="CA102" s="16"/>
      <c r="CB102" s="16"/>
      <c r="CC102" s="16"/>
      <c r="CD102" s="16"/>
      <c r="CE102" s="16"/>
      <c r="CF102" s="6"/>
      <c r="CG102" s="18"/>
      <c r="CH102" s="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7"/>
    </row>
    <row r="103" spans="1:97" ht="12.75" hidden="1" customHeight="1" x14ac:dyDescent="0.2">
      <c r="A103" s="6" t="s">
        <v>125</v>
      </c>
      <c r="C103" s="6" t="s">
        <v>41</v>
      </c>
      <c r="E103" s="16">
        <v>0</v>
      </c>
      <c r="F103" s="16"/>
      <c r="G103" s="16"/>
      <c r="H103" s="16"/>
      <c r="I103" s="16">
        <f t="shared" si="49"/>
        <v>0</v>
      </c>
      <c r="J103" s="16"/>
      <c r="K103" s="16">
        <v>0</v>
      </c>
      <c r="L103" s="16"/>
      <c r="M103" s="16"/>
      <c r="N103" s="16"/>
      <c r="O103" s="16">
        <f t="shared" si="50"/>
        <v>0</v>
      </c>
      <c r="P103" s="16"/>
      <c r="Q103" s="16"/>
      <c r="R103" s="16"/>
      <c r="S103" s="16"/>
      <c r="T103" s="16"/>
      <c r="U103" s="16"/>
      <c r="V103" s="16"/>
      <c r="W103" s="16">
        <f t="shared" si="44"/>
        <v>0</v>
      </c>
      <c r="X103" s="16"/>
      <c r="Y103" s="6" t="s">
        <v>125</v>
      </c>
      <c r="AA103" s="6" t="s">
        <v>41</v>
      </c>
      <c r="AB103" s="6"/>
      <c r="AC103" s="16"/>
      <c r="AD103" s="16"/>
      <c r="AE103" s="16"/>
      <c r="AF103" s="16"/>
      <c r="AG103" s="16"/>
      <c r="AH103" s="16"/>
      <c r="AI103" s="8">
        <f t="shared" si="45"/>
        <v>0</v>
      </c>
      <c r="AJ103" s="8"/>
      <c r="AK103" s="16"/>
      <c r="AL103" s="8"/>
      <c r="AM103" s="16"/>
      <c r="AN103" s="16"/>
      <c r="AO103" s="16"/>
      <c r="AP103" s="16"/>
      <c r="AQ103" s="16"/>
      <c r="AR103" s="16"/>
      <c r="AS103" s="8">
        <f t="shared" si="46"/>
        <v>0</v>
      </c>
      <c r="AT103" s="8"/>
      <c r="AU103" s="16">
        <v>0</v>
      </c>
      <c r="AV103" s="16"/>
      <c r="AW103" s="16">
        <v>0</v>
      </c>
      <c r="AX103" s="16"/>
      <c r="AY103" s="16">
        <f t="shared" si="47"/>
        <v>0</v>
      </c>
      <c r="AZ103" s="16"/>
      <c r="BA103" s="6" t="s">
        <v>125</v>
      </c>
      <c r="BC103" s="6" t="s">
        <v>41</v>
      </c>
      <c r="BD103" s="16"/>
      <c r="BE103" s="16"/>
      <c r="BF103" s="16"/>
      <c r="BG103" s="16"/>
      <c r="BH103" s="16"/>
      <c r="BI103" s="16"/>
      <c r="BJ103" s="16"/>
      <c r="BK103" s="16"/>
      <c r="BL103" s="16"/>
      <c r="BM103" s="16">
        <f t="shared" si="48"/>
        <v>0</v>
      </c>
      <c r="BN103" s="17" t="s">
        <v>345</v>
      </c>
      <c r="BP103" s="18"/>
      <c r="BQ103" s="18"/>
      <c r="BR103" s="14"/>
      <c r="BS103" s="16"/>
      <c r="BT103" s="16"/>
      <c r="BU103" s="16"/>
      <c r="BV103" s="16"/>
      <c r="BX103" s="8"/>
      <c r="BY103" s="16"/>
      <c r="BZ103" s="16"/>
      <c r="CA103" s="16"/>
      <c r="CB103" s="16"/>
      <c r="CC103" s="16"/>
      <c r="CD103" s="16"/>
      <c r="CE103" s="16"/>
      <c r="CF103" s="6"/>
      <c r="CG103" s="18"/>
      <c r="CH103" s="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7"/>
    </row>
    <row r="104" spans="1:97" ht="12.75" customHeight="1" x14ac:dyDescent="0.2">
      <c r="A104" s="6" t="s">
        <v>126</v>
      </c>
      <c r="C104" s="6" t="s">
        <v>117</v>
      </c>
      <c r="E104" s="16">
        <v>2721367</v>
      </c>
      <c r="F104" s="16"/>
      <c r="G104" s="16">
        <v>23806539</v>
      </c>
      <c r="H104" s="16"/>
      <c r="I104" s="16">
        <f t="shared" si="49"/>
        <v>26527906</v>
      </c>
      <c r="J104" s="16"/>
      <c r="K104" s="16">
        <v>395918</v>
      </c>
      <c r="L104" s="16"/>
      <c r="M104" s="16">
        <v>10531402</v>
      </c>
      <c r="N104" s="16"/>
      <c r="O104" s="16">
        <f t="shared" si="50"/>
        <v>10927320</v>
      </c>
      <c r="P104" s="16"/>
      <c r="Q104" s="16">
        <v>13127111</v>
      </c>
      <c r="R104" s="16"/>
      <c r="S104" s="16">
        <v>0</v>
      </c>
      <c r="T104" s="16"/>
      <c r="U104" s="16">
        <v>2473475</v>
      </c>
      <c r="V104" s="16"/>
      <c r="W104" s="16">
        <f t="shared" si="44"/>
        <v>15600586</v>
      </c>
      <c r="X104" s="16"/>
      <c r="Y104" s="6" t="s">
        <v>126</v>
      </c>
      <c r="AA104" s="6" t="s">
        <v>117</v>
      </c>
      <c r="AB104" s="6"/>
      <c r="AC104" s="16">
        <v>2103505</v>
      </c>
      <c r="AD104" s="16"/>
      <c r="AE104" s="16">
        <f>1893523-615565</f>
        <v>1277958</v>
      </c>
      <c r="AF104" s="16"/>
      <c r="AG104" s="16">
        <v>615565</v>
      </c>
      <c r="AH104" s="16"/>
      <c r="AI104" s="8">
        <f t="shared" si="45"/>
        <v>209982</v>
      </c>
      <c r="AJ104" s="8"/>
      <c r="AK104" s="16">
        <v>-535970</v>
      </c>
      <c r="AL104" s="8"/>
      <c r="AM104" s="16">
        <v>0</v>
      </c>
      <c r="AN104" s="16"/>
      <c r="AO104" s="16">
        <v>0</v>
      </c>
      <c r="AP104" s="16"/>
      <c r="AQ104" s="16">
        <v>0</v>
      </c>
      <c r="AR104" s="16"/>
      <c r="AS104" s="8">
        <f t="shared" si="46"/>
        <v>-325988</v>
      </c>
      <c r="AT104" s="8"/>
      <c r="AU104" s="16">
        <v>0</v>
      </c>
      <c r="AV104" s="16"/>
      <c r="AW104" s="16">
        <v>0</v>
      </c>
      <c r="AX104" s="16"/>
      <c r="AY104" s="16">
        <f t="shared" si="47"/>
        <v>2325449</v>
      </c>
      <c r="AZ104" s="16"/>
      <c r="BA104" s="6" t="s">
        <v>126</v>
      </c>
      <c r="BC104" s="6" t="s">
        <v>117</v>
      </c>
      <c r="BD104" s="16"/>
      <c r="BE104" s="16">
        <v>0</v>
      </c>
      <c r="BF104" s="16"/>
      <c r="BG104" s="16">
        <v>0</v>
      </c>
      <c r="BH104" s="16"/>
      <c r="BI104" s="16">
        <f>10350077+130000+87751+10000</f>
        <v>10577828</v>
      </c>
      <c r="BJ104" s="16"/>
      <c r="BK104" s="16">
        <f>42930+8395+1268+16215</f>
        <v>68808</v>
      </c>
      <c r="BL104" s="16"/>
      <c r="BM104" s="16">
        <f t="shared" si="48"/>
        <v>10646636</v>
      </c>
      <c r="BN104" s="17" t="s">
        <v>345</v>
      </c>
      <c r="BP104" s="18"/>
      <c r="BQ104" s="18"/>
      <c r="BR104" s="20"/>
      <c r="BS104" s="16"/>
      <c r="BT104" s="16"/>
      <c r="BU104" s="16"/>
      <c r="BV104" s="16"/>
      <c r="BW104" s="16"/>
      <c r="BX104" s="8"/>
      <c r="BY104" s="8"/>
      <c r="BZ104" s="16"/>
      <c r="CA104" s="16"/>
      <c r="CB104" s="16"/>
      <c r="CC104" s="16"/>
      <c r="CD104" s="16"/>
      <c r="CE104" s="16"/>
      <c r="CF104" s="6"/>
      <c r="CG104" s="18"/>
      <c r="CH104" s="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7"/>
    </row>
    <row r="105" spans="1:97" ht="12.75" customHeight="1" x14ac:dyDescent="0.2">
      <c r="A105" s="6" t="s">
        <v>127</v>
      </c>
      <c r="C105" s="6" t="s">
        <v>78</v>
      </c>
      <c r="E105" s="16">
        <v>850762</v>
      </c>
      <c r="F105" s="16"/>
      <c r="G105" s="16">
        <v>5500875</v>
      </c>
      <c r="H105" s="16"/>
      <c r="I105" s="16">
        <f t="shared" si="49"/>
        <v>6351637</v>
      </c>
      <c r="J105" s="16"/>
      <c r="K105" s="16">
        <v>613101</v>
      </c>
      <c r="L105" s="16"/>
      <c r="M105" s="16">
        <v>321306</v>
      </c>
      <c r="N105" s="16"/>
      <c r="O105" s="16">
        <f t="shared" si="50"/>
        <v>934407</v>
      </c>
      <c r="P105" s="16"/>
      <c r="Q105" s="16">
        <v>4650104</v>
      </c>
      <c r="R105" s="16"/>
      <c r="S105" s="16">
        <v>0</v>
      </c>
      <c r="T105" s="16"/>
      <c r="U105" s="16">
        <v>805639</v>
      </c>
      <c r="V105" s="16"/>
      <c r="W105" s="16">
        <f t="shared" si="44"/>
        <v>5455743</v>
      </c>
      <c r="X105" s="16"/>
      <c r="Y105" s="6" t="s">
        <v>127</v>
      </c>
      <c r="AA105" s="6" t="s">
        <v>78</v>
      </c>
      <c r="AB105" s="6"/>
      <c r="AC105" s="16">
        <v>1556009</v>
      </c>
      <c r="AD105" s="16"/>
      <c r="AE105" s="16">
        <f>979732-245148</f>
        <v>734584</v>
      </c>
      <c r="AF105" s="16"/>
      <c r="AG105" s="16">
        <v>245148</v>
      </c>
      <c r="AH105" s="16"/>
      <c r="AI105" s="8">
        <f t="shared" si="45"/>
        <v>576277</v>
      </c>
      <c r="AJ105" s="8"/>
      <c r="AK105" s="16">
        <v>-258689</v>
      </c>
      <c r="AL105" s="8"/>
      <c r="AM105" s="16">
        <v>10000</v>
      </c>
      <c r="AN105" s="16"/>
      <c r="AO105" s="16">
        <v>0</v>
      </c>
      <c r="AP105" s="16"/>
      <c r="AQ105" s="16">
        <v>0</v>
      </c>
      <c r="AR105" s="16"/>
      <c r="AS105" s="8">
        <f t="shared" si="46"/>
        <v>327588</v>
      </c>
      <c r="AT105" s="8"/>
      <c r="AU105" s="16">
        <v>0</v>
      </c>
      <c r="AV105" s="16"/>
      <c r="AW105" s="16">
        <v>0</v>
      </c>
      <c r="AX105" s="16"/>
      <c r="AY105" s="16">
        <f t="shared" si="47"/>
        <v>237661</v>
      </c>
      <c r="AZ105" s="16"/>
      <c r="BA105" s="6" t="s">
        <v>127</v>
      </c>
      <c r="BC105" s="6" t="s">
        <v>78</v>
      </c>
      <c r="BD105" s="16"/>
      <c r="BE105" s="16">
        <v>0</v>
      </c>
      <c r="BF105" s="16"/>
      <c r="BG105" s="16">
        <v>0</v>
      </c>
      <c r="BH105" s="16"/>
      <c r="BI105" s="16">
        <f>310721+25050</f>
        <v>335771</v>
      </c>
      <c r="BJ105" s="16"/>
      <c r="BK105" s="16">
        <f>10585+4361</f>
        <v>14946</v>
      </c>
      <c r="BL105" s="16"/>
      <c r="BM105" s="16">
        <f t="shared" si="48"/>
        <v>350717</v>
      </c>
      <c r="BN105" s="17" t="s">
        <v>345</v>
      </c>
      <c r="BP105" s="18"/>
      <c r="BQ105" s="18"/>
      <c r="BR105" s="14"/>
      <c r="BS105" s="16"/>
      <c r="BT105" s="16"/>
      <c r="BU105" s="16"/>
      <c r="BV105" s="16"/>
      <c r="BW105" s="16"/>
      <c r="BX105" s="8"/>
      <c r="BY105" s="8"/>
      <c r="BZ105" s="16"/>
      <c r="CA105" s="16"/>
      <c r="CB105" s="16"/>
      <c r="CC105" s="16"/>
      <c r="CD105" s="16"/>
      <c r="CE105" s="16"/>
      <c r="CF105" s="6"/>
      <c r="CG105" s="18"/>
      <c r="CH105" s="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7"/>
    </row>
    <row r="106" spans="1:97" ht="12.75" customHeight="1" x14ac:dyDescent="0.2">
      <c r="A106" s="6" t="s">
        <v>128</v>
      </c>
      <c r="C106" s="6" t="s">
        <v>64</v>
      </c>
      <c r="E106" s="16">
        <v>7456308</v>
      </c>
      <c r="F106" s="16"/>
      <c r="G106" s="16">
        <v>35736523</v>
      </c>
      <c r="H106" s="16"/>
      <c r="I106" s="16">
        <f t="shared" si="49"/>
        <v>43192831</v>
      </c>
      <c r="J106" s="16"/>
      <c r="K106" s="16">
        <v>714622</v>
      </c>
      <c r="L106" s="16"/>
      <c r="M106" s="16">
        <v>1213575</v>
      </c>
      <c r="N106" s="16"/>
      <c r="O106" s="16">
        <f t="shared" si="50"/>
        <v>1928197</v>
      </c>
      <c r="P106" s="16"/>
      <c r="Q106" s="16">
        <v>17270417</v>
      </c>
      <c r="R106" s="16"/>
      <c r="S106" s="16">
        <v>0</v>
      </c>
      <c r="T106" s="16"/>
      <c r="U106" s="16">
        <v>23994217</v>
      </c>
      <c r="V106" s="16"/>
      <c r="W106" s="16">
        <f t="shared" si="44"/>
        <v>41264634</v>
      </c>
      <c r="X106" s="16"/>
      <c r="Y106" s="6" t="s">
        <v>128</v>
      </c>
      <c r="AA106" s="6" t="s">
        <v>64</v>
      </c>
      <c r="AB106" s="6"/>
      <c r="AC106" s="16">
        <v>3893214</v>
      </c>
      <c r="AD106" s="16"/>
      <c r="AE106" s="16">
        <f>3387790-721812</f>
        <v>2665978</v>
      </c>
      <c r="AF106" s="16"/>
      <c r="AG106" s="16">
        <v>721812</v>
      </c>
      <c r="AH106" s="16"/>
      <c r="AI106" s="8">
        <f t="shared" si="45"/>
        <v>505424</v>
      </c>
      <c r="AJ106" s="8"/>
      <c r="AK106" s="16">
        <v>104882</v>
      </c>
      <c r="AL106" s="8"/>
      <c r="AM106" s="16">
        <v>0</v>
      </c>
      <c r="AN106" s="16"/>
      <c r="AO106" s="16">
        <v>229088</v>
      </c>
      <c r="AP106" s="16"/>
      <c r="AQ106" s="16">
        <v>1469734</v>
      </c>
      <c r="AR106" s="16"/>
      <c r="AS106" s="8">
        <f t="shared" si="46"/>
        <v>1850952</v>
      </c>
      <c r="AT106" s="8"/>
      <c r="AU106" s="16">
        <v>0</v>
      </c>
      <c r="AV106" s="16"/>
      <c r="AW106" s="16">
        <v>0</v>
      </c>
      <c r="AX106" s="16"/>
      <c r="AY106" s="16">
        <f t="shared" si="47"/>
        <v>6741686</v>
      </c>
      <c r="AZ106" s="16"/>
      <c r="BA106" s="6" t="s">
        <v>128</v>
      </c>
      <c r="BC106" s="6" t="s">
        <v>64</v>
      </c>
      <c r="BD106" s="16"/>
      <c r="BE106" s="16">
        <v>0</v>
      </c>
      <c r="BF106" s="16"/>
      <c r="BG106" s="16">
        <v>0</v>
      </c>
      <c r="BH106" s="16"/>
      <c r="BI106" s="16">
        <f>1194529+462921</f>
        <v>1657450</v>
      </c>
      <c r="BJ106" s="16"/>
      <c r="BK106" s="16">
        <f>19046+17329</f>
        <v>36375</v>
      </c>
      <c r="BL106" s="16"/>
      <c r="BM106" s="16">
        <f t="shared" si="48"/>
        <v>1693825</v>
      </c>
      <c r="BN106" s="17" t="s">
        <v>345</v>
      </c>
      <c r="BO106" s="18" t="s">
        <v>402</v>
      </c>
      <c r="BP106" s="18"/>
      <c r="BQ106" s="18"/>
      <c r="BR106" s="14"/>
      <c r="BS106" s="16"/>
      <c r="BT106" s="16"/>
      <c r="BU106" s="16"/>
      <c r="BV106" s="16"/>
      <c r="BW106" s="16"/>
      <c r="BX106" s="8"/>
      <c r="BY106" s="8"/>
      <c r="BZ106" s="16"/>
      <c r="CA106" s="16"/>
      <c r="CB106" s="16"/>
      <c r="CC106" s="16"/>
      <c r="CD106" s="16"/>
      <c r="CE106" s="16"/>
      <c r="CF106" s="6"/>
      <c r="CG106" s="18"/>
      <c r="CH106" s="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7"/>
    </row>
    <row r="107" spans="1:97" ht="12.75" customHeight="1" x14ac:dyDescent="0.2">
      <c r="A107" s="6" t="s">
        <v>129</v>
      </c>
      <c r="B107" s="20"/>
      <c r="C107" s="6" t="s">
        <v>11</v>
      </c>
      <c r="E107" s="16">
        <v>1671750</v>
      </c>
      <c r="F107" s="16"/>
      <c r="G107" s="16">
        <v>9588203</v>
      </c>
      <c r="H107" s="16"/>
      <c r="I107" s="16">
        <f t="shared" si="49"/>
        <v>11259953</v>
      </c>
      <c r="J107" s="16"/>
      <c r="K107" s="16">
        <v>1371651</v>
      </c>
      <c r="L107" s="16"/>
      <c r="M107" s="16">
        <v>5059634</v>
      </c>
      <c r="N107" s="16"/>
      <c r="O107" s="16">
        <f t="shared" si="50"/>
        <v>6431285</v>
      </c>
      <c r="P107" s="16"/>
      <c r="Q107" s="16">
        <v>4013576</v>
      </c>
      <c r="R107" s="16"/>
      <c r="S107" s="16">
        <v>0</v>
      </c>
      <c r="T107" s="16"/>
      <c r="U107" s="16">
        <v>815092</v>
      </c>
      <c r="V107" s="16"/>
      <c r="W107" s="16">
        <f t="shared" si="44"/>
        <v>4828668</v>
      </c>
      <c r="X107" s="16"/>
      <c r="Y107" s="6" t="s">
        <v>129</v>
      </c>
      <c r="Z107" s="20"/>
      <c r="AA107" s="6" t="s">
        <v>11</v>
      </c>
      <c r="AB107" s="6"/>
      <c r="AC107" s="16">
        <v>2104219</v>
      </c>
      <c r="AD107" s="16"/>
      <c r="AE107" s="16">
        <f>3100225-316584</f>
        <v>2783641</v>
      </c>
      <c r="AF107" s="16"/>
      <c r="AG107" s="16">
        <v>316584</v>
      </c>
      <c r="AH107" s="16"/>
      <c r="AI107" s="8">
        <f t="shared" si="45"/>
        <v>-996006</v>
      </c>
      <c r="AJ107" s="8"/>
      <c r="AK107" s="16">
        <v>-148663</v>
      </c>
      <c r="AL107" s="8"/>
      <c r="AM107" s="16">
        <v>1775000</v>
      </c>
      <c r="AN107" s="16"/>
      <c r="AO107" s="16">
        <v>0</v>
      </c>
      <c r="AP107" s="16"/>
      <c r="AQ107" s="16">
        <v>0</v>
      </c>
      <c r="AR107" s="16"/>
      <c r="AS107" s="8">
        <f t="shared" si="46"/>
        <v>630331</v>
      </c>
      <c r="AT107" s="8"/>
      <c r="AU107" s="16">
        <v>0</v>
      </c>
      <c r="AV107" s="16"/>
      <c r="AW107" s="16">
        <v>0</v>
      </c>
      <c r="AX107" s="16"/>
      <c r="AY107" s="16">
        <f t="shared" si="47"/>
        <v>300099</v>
      </c>
      <c r="AZ107" s="16"/>
      <c r="BA107" s="6" t="s">
        <v>129</v>
      </c>
      <c r="BB107" s="20"/>
      <c r="BC107" s="6" t="s">
        <v>11</v>
      </c>
      <c r="BD107" s="16"/>
      <c r="BE107" s="16">
        <f>2188675+183000</f>
        <v>2371675</v>
      </c>
      <c r="BF107" s="16"/>
      <c r="BG107" s="16">
        <v>0</v>
      </c>
      <c r="BH107" s="16"/>
      <c r="BI107" s="16">
        <f>2721049+481903</f>
        <v>3202952</v>
      </c>
      <c r="BJ107" s="16"/>
      <c r="BK107" s="16">
        <f>100000+49910+7892</f>
        <v>157802</v>
      </c>
      <c r="BL107" s="16"/>
      <c r="BM107" s="16">
        <f t="shared" si="48"/>
        <v>5732429</v>
      </c>
      <c r="BN107" s="17" t="s">
        <v>345</v>
      </c>
      <c r="BP107" s="18"/>
      <c r="BQ107" s="18"/>
      <c r="BR107" s="20"/>
      <c r="BS107" s="16"/>
      <c r="BT107" s="16"/>
      <c r="BU107" s="16"/>
      <c r="BV107" s="16"/>
      <c r="BW107" s="16"/>
      <c r="BX107" s="8"/>
      <c r="BY107" s="8"/>
      <c r="BZ107" s="16"/>
      <c r="CA107" s="16"/>
      <c r="CB107" s="16"/>
      <c r="CC107" s="16"/>
      <c r="CD107" s="16"/>
      <c r="CE107" s="16"/>
      <c r="CF107" s="6"/>
      <c r="CG107" s="18"/>
      <c r="CH107" s="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7"/>
    </row>
    <row r="108" spans="1:97" ht="12.75" hidden="1" customHeight="1" x14ac:dyDescent="0.2">
      <c r="A108" s="6" t="s">
        <v>36</v>
      </c>
      <c r="C108" s="6" t="s">
        <v>130</v>
      </c>
      <c r="E108" s="16">
        <v>0</v>
      </c>
      <c r="F108" s="16"/>
      <c r="G108" s="16"/>
      <c r="H108" s="16"/>
      <c r="I108" s="16">
        <f t="shared" si="49"/>
        <v>0</v>
      </c>
      <c r="J108" s="16"/>
      <c r="K108" s="16">
        <v>0</v>
      </c>
      <c r="L108" s="16"/>
      <c r="M108" s="16"/>
      <c r="N108" s="16"/>
      <c r="O108" s="16">
        <f t="shared" si="50"/>
        <v>0</v>
      </c>
      <c r="P108" s="16"/>
      <c r="Q108" s="16"/>
      <c r="R108" s="16"/>
      <c r="S108" s="16"/>
      <c r="T108" s="16"/>
      <c r="U108" s="16"/>
      <c r="V108" s="16"/>
      <c r="W108" s="16">
        <f t="shared" si="44"/>
        <v>0</v>
      </c>
      <c r="X108" s="16"/>
      <c r="Y108" s="6" t="s">
        <v>36</v>
      </c>
      <c r="AA108" s="6" t="s">
        <v>130</v>
      </c>
      <c r="AB108" s="6"/>
      <c r="AC108" s="16"/>
      <c r="AD108" s="16"/>
      <c r="AE108" s="16"/>
      <c r="AF108" s="16"/>
      <c r="AG108" s="16"/>
      <c r="AH108" s="16"/>
      <c r="AI108" s="8">
        <f t="shared" si="45"/>
        <v>0</v>
      </c>
      <c r="AJ108" s="8"/>
      <c r="AK108" s="16"/>
      <c r="AL108" s="8"/>
      <c r="AM108" s="16"/>
      <c r="AN108" s="16"/>
      <c r="AO108" s="16"/>
      <c r="AP108" s="16"/>
      <c r="AQ108" s="16"/>
      <c r="AR108" s="16"/>
      <c r="AS108" s="8">
        <f t="shared" si="46"/>
        <v>0</v>
      </c>
      <c r="AT108" s="8"/>
      <c r="AU108" s="16">
        <v>0</v>
      </c>
      <c r="AV108" s="16"/>
      <c r="AW108" s="16">
        <v>0</v>
      </c>
      <c r="AX108" s="16"/>
      <c r="AY108" s="16">
        <f t="shared" si="47"/>
        <v>0</v>
      </c>
      <c r="AZ108" s="16"/>
      <c r="BA108" s="6" t="s">
        <v>36</v>
      </c>
      <c r="BC108" s="6" t="s">
        <v>130</v>
      </c>
      <c r="BD108" s="16"/>
      <c r="BE108" s="16"/>
      <c r="BF108" s="16"/>
      <c r="BG108" s="16"/>
      <c r="BH108" s="16"/>
      <c r="BI108" s="16"/>
      <c r="BJ108" s="16"/>
      <c r="BK108" s="16"/>
      <c r="BL108" s="16"/>
      <c r="BM108" s="16">
        <f t="shared" si="48"/>
        <v>0</v>
      </c>
      <c r="BN108" s="17"/>
      <c r="BP108" s="18"/>
      <c r="BQ108" s="18"/>
      <c r="BR108" s="14"/>
      <c r="BS108" s="16"/>
      <c r="BT108" s="16"/>
      <c r="BU108" s="16"/>
      <c r="BV108" s="16"/>
      <c r="BW108" s="16"/>
      <c r="BX108" s="8"/>
      <c r="BY108" s="8"/>
      <c r="BZ108" s="16"/>
      <c r="CA108" s="16"/>
      <c r="CB108" s="16"/>
      <c r="CC108" s="16"/>
      <c r="CD108" s="16"/>
      <c r="CE108" s="16"/>
      <c r="CF108" s="6"/>
      <c r="CG108" s="18"/>
      <c r="CH108" s="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7"/>
    </row>
    <row r="109" spans="1:97" ht="12.75" hidden="1" customHeight="1" x14ac:dyDescent="0.2">
      <c r="A109" s="6" t="s">
        <v>131</v>
      </c>
      <c r="C109" s="6" t="s">
        <v>25</v>
      </c>
      <c r="E109" s="16">
        <v>0</v>
      </c>
      <c r="F109" s="16"/>
      <c r="G109" s="16"/>
      <c r="H109" s="16"/>
      <c r="I109" s="16">
        <f t="shared" si="49"/>
        <v>0</v>
      </c>
      <c r="J109" s="16"/>
      <c r="K109" s="16">
        <v>0</v>
      </c>
      <c r="L109" s="16"/>
      <c r="M109" s="16"/>
      <c r="N109" s="16"/>
      <c r="O109" s="16">
        <f t="shared" si="50"/>
        <v>0</v>
      </c>
      <c r="P109" s="16"/>
      <c r="Q109" s="16"/>
      <c r="R109" s="16"/>
      <c r="S109" s="16"/>
      <c r="T109" s="16"/>
      <c r="U109" s="16"/>
      <c r="V109" s="16"/>
      <c r="W109" s="16">
        <f t="shared" si="44"/>
        <v>0</v>
      </c>
      <c r="X109" s="16"/>
      <c r="Y109" s="6" t="s">
        <v>131</v>
      </c>
      <c r="AA109" s="6" t="s">
        <v>25</v>
      </c>
      <c r="AB109" s="6"/>
      <c r="AC109" s="16"/>
      <c r="AD109" s="16"/>
      <c r="AE109" s="16"/>
      <c r="AF109" s="16"/>
      <c r="AG109" s="16"/>
      <c r="AH109" s="16"/>
      <c r="AI109" s="8">
        <f t="shared" si="45"/>
        <v>0</v>
      </c>
      <c r="AJ109" s="8"/>
      <c r="AK109" s="16"/>
      <c r="AL109" s="8"/>
      <c r="AM109" s="16"/>
      <c r="AN109" s="16"/>
      <c r="AO109" s="16"/>
      <c r="AP109" s="16"/>
      <c r="AQ109" s="16"/>
      <c r="AR109" s="16"/>
      <c r="AS109" s="8">
        <f t="shared" si="46"/>
        <v>0</v>
      </c>
      <c r="AT109" s="8"/>
      <c r="AU109" s="16">
        <v>0</v>
      </c>
      <c r="AV109" s="16"/>
      <c r="AW109" s="16">
        <v>0</v>
      </c>
      <c r="AX109" s="16"/>
      <c r="AY109" s="16">
        <f t="shared" si="47"/>
        <v>0</v>
      </c>
      <c r="AZ109" s="16"/>
      <c r="BA109" s="6" t="s">
        <v>131</v>
      </c>
      <c r="BC109" s="6" t="s">
        <v>25</v>
      </c>
      <c r="BD109" s="16"/>
      <c r="BE109" s="16"/>
      <c r="BF109" s="16"/>
      <c r="BG109" s="16"/>
      <c r="BH109" s="16"/>
      <c r="BI109" s="16"/>
      <c r="BJ109" s="16"/>
      <c r="BK109" s="16"/>
      <c r="BL109" s="16"/>
      <c r="BM109" s="16">
        <f t="shared" si="48"/>
        <v>0</v>
      </c>
      <c r="BN109" s="17" t="s">
        <v>345</v>
      </c>
      <c r="BP109" s="18"/>
      <c r="BQ109" s="18"/>
      <c r="BR109" s="14"/>
      <c r="BS109" s="16"/>
      <c r="BT109" s="16"/>
      <c r="BU109" s="16"/>
      <c r="BV109" s="16"/>
      <c r="BW109" s="16"/>
      <c r="BX109" s="8"/>
      <c r="BY109" s="8"/>
      <c r="BZ109" s="16"/>
      <c r="CA109" s="16"/>
      <c r="CB109" s="16"/>
      <c r="CC109" s="16"/>
      <c r="CD109" s="16"/>
      <c r="CE109" s="16"/>
      <c r="CF109" s="6"/>
      <c r="CG109" s="18"/>
      <c r="CH109" s="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7"/>
    </row>
    <row r="110" spans="1:97" ht="12.75" customHeight="1" x14ac:dyDescent="0.2">
      <c r="A110" s="6" t="s">
        <v>132</v>
      </c>
      <c r="B110" s="18"/>
      <c r="C110" s="6" t="s">
        <v>133</v>
      </c>
      <c r="E110" s="16">
        <v>2591144</v>
      </c>
      <c r="F110" s="16"/>
      <c r="G110" s="16">
        <f>402976+4857299</f>
        <v>5260275</v>
      </c>
      <c r="H110" s="16"/>
      <c r="I110" s="16">
        <f t="shared" si="49"/>
        <v>7851419</v>
      </c>
      <c r="J110" s="16"/>
      <c r="K110" s="16">
        <v>260337</v>
      </c>
      <c r="L110" s="16"/>
      <c r="M110" s="16">
        <f>37275+5300000+98753+50625</f>
        <v>5486653</v>
      </c>
      <c r="N110" s="16"/>
      <c r="O110" s="16">
        <f t="shared" si="50"/>
        <v>5746990</v>
      </c>
      <c r="P110" s="16"/>
      <c r="Q110" s="16">
        <v>5034725</v>
      </c>
      <c r="R110" s="16"/>
      <c r="S110" s="16">
        <v>0</v>
      </c>
      <c r="T110" s="16"/>
      <c r="U110" s="16">
        <v>-2930296</v>
      </c>
      <c r="V110" s="16"/>
      <c r="W110" s="16">
        <f t="shared" si="44"/>
        <v>2104429</v>
      </c>
      <c r="X110" s="16"/>
      <c r="Y110" s="6" t="s">
        <v>132</v>
      </c>
      <c r="AA110" s="6" t="s">
        <v>133</v>
      </c>
      <c r="AB110" s="6"/>
      <c r="AC110" s="16">
        <v>1214214</v>
      </c>
      <c r="AD110" s="16"/>
      <c r="AE110" s="16">
        <v>1232324</v>
      </c>
      <c r="AF110" s="16"/>
      <c r="AG110" s="16">
        <v>0</v>
      </c>
      <c r="AH110" s="16"/>
      <c r="AI110" s="8">
        <f t="shared" si="45"/>
        <v>-18110</v>
      </c>
      <c r="AJ110" s="8"/>
      <c r="AK110" s="16">
        <v>-258270</v>
      </c>
      <c r="AL110" s="8"/>
      <c r="AM110" s="16">
        <v>0</v>
      </c>
      <c r="AN110" s="16"/>
      <c r="AO110" s="16">
        <v>0</v>
      </c>
      <c r="AP110" s="16"/>
      <c r="AQ110" s="16">
        <v>0</v>
      </c>
      <c r="AR110" s="16"/>
      <c r="AS110" s="8">
        <f t="shared" si="46"/>
        <v>-276380</v>
      </c>
      <c r="AT110" s="8"/>
      <c r="AU110" s="16"/>
      <c r="AV110" s="16"/>
      <c r="AW110" s="16"/>
      <c r="AX110" s="16"/>
      <c r="AY110" s="16">
        <f t="shared" si="47"/>
        <v>2330807</v>
      </c>
      <c r="AZ110" s="16"/>
      <c r="BA110" s="6" t="s">
        <v>132</v>
      </c>
      <c r="BC110" s="6" t="s">
        <v>133</v>
      </c>
      <c r="BD110" s="16"/>
      <c r="BE110" s="16">
        <f>5300000+112500</f>
        <v>5412500</v>
      </c>
      <c r="BF110" s="16"/>
      <c r="BG110" s="16">
        <v>0</v>
      </c>
      <c r="BH110" s="16"/>
      <c r="BI110" s="16">
        <f>98753+50625+72422+3750</f>
        <v>225550</v>
      </c>
      <c r="BJ110" s="16"/>
      <c r="BK110" s="16">
        <f>12712+37275</f>
        <v>49987</v>
      </c>
      <c r="BL110" s="16"/>
      <c r="BM110" s="16">
        <f t="shared" si="48"/>
        <v>5688037</v>
      </c>
      <c r="BN110" s="17"/>
      <c r="BP110" s="18"/>
      <c r="BQ110" s="18"/>
      <c r="BR110" s="14"/>
      <c r="BS110" s="16"/>
      <c r="BT110" s="16"/>
      <c r="BU110" s="16"/>
      <c r="BV110" s="16"/>
      <c r="BW110" s="16"/>
      <c r="BX110" s="8"/>
      <c r="BY110" s="8"/>
      <c r="BZ110" s="16"/>
      <c r="CA110" s="16"/>
      <c r="CB110" s="16"/>
      <c r="CC110" s="16"/>
      <c r="CD110" s="16"/>
      <c r="CE110" s="16"/>
      <c r="CF110" s="6"/>
      <c r="CG110" s="18"/>
      <c r="CH110" s="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7"/>
    </row>
    <row r="111" spans="1:97" ht="11.25" customHeight="1" x14ac:dyDescent="0.2">
      <c r="A111" s="6"/>
      <c r="C111" s="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 t="s">
        <v>478</v>
      </c>
      <c r="X111" s="16"/>
      <c r="Y111" s="6"/>
      <c r="AA111" s="6"/>
      <c r="AB111" s="6"/>
      <c r="AC111" s="16"/>
      <c r="AD111" s="16"/>
      <c r="AE111" s="16"/>
      <c r="AF111" s="16"/>
      <c r="AG111" s="16"/>
      <c r="AH111" s="16"/>
      <c r="AI111" s="8"/>
      <c r="AJ111" s="8"/>
      <c r="AK111" s="16"/>
      <c r="AL111" s="8"/>
      <c r="AM111" s="16"/>
      <c r="AN111" s="16"/>
      <c r="AO111" s="16"/>
      <c r="AP111" s="16"/>
      <c r="AQ111" s="16"/>
      <c r="AR111" s="16"/>
      <c r="AS111" s="8"/>
      <c r="AT111" s="8"/>
      <c r="AU111" s="16"/>
      <c r="AV111" s="16"/>
      <c r="AW111" s="16"/>
      <c r="AX111" s="16"/>
      <c r="AY111" s="16" t="s">
        <v>478</v>
      </c>
      <c r="AZ111" s="16"/>
      <c r="BA111" s="6"/>
      <c r="BC111" s="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 t="s">
        <v>478</v>
      </c>
      <c r="BN111" s="17"/>
      <c r="BP111" s="18"/>
      <c r="BQ111" s="18"/>
      <c r="BR111" s="14"/>
      <c r="BS111" s="16"/>
      <c r="BT111" s="16"/>
      <c r="BU111" s="16"/>
      <c r="BV111" s="16"/>
      <c r="BW111" s="16"/>
      <c r="BX111" s="8"/>
      <c r="BY111" s="8"/>
      <c r="BZ111" s="16"/>
      <c r="CA111" s="16"/>
      <c r="CB111" s="16"/>
      <c r="CC111" s="16"/>
      <c r="CD111" s="16"/>
      <c r="CE111" s="16"/>
      <c r="CF111" s="6"/>
      <c r="CG111" s="18"/>
      <c r="CH111" s="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7"/>
    </row>
    <row r="112" spans="1:97" s="31" customFormat="1" ht="12.75" customHeight="1" x14ac:dyDescent="0.2">
      <c r="A112" s="23" t="s">
        <v>390</v>
      </c>
      <c r="C112" s="32"/>
      <c r="D112" s="7"/>
      <c r="E112" s="24"/>
      <c r="F112" s="24"/>
      <c r="G112" s="24"/>
      <c r="H112" s="24"/>
      <c r="I112" s="24"/>
      <c r="J112" s="24"/>
      <c r="K112" s="24"/>
      <c r="L112" s="24"/>
      <c r="N112" s="24"/>
      <c r="O112" s="23"/>
      <c r="P112" s="24"/>
      <c r="Q112" s="24"/>
      <c r="R112" s="24"/>
      <c r="S112" s="24"/>
      <c r="T112" s="24"/>
      <c r="U112" s="24"/>
      <c r="V112" s="24"/>
      <c r="W112" s="24"/>
      <c r="X112" s="24"/>
      <c r="Y112" s="23" t="s">
        <v>390</v>
      </c>
      <c r="AA112" s="32"/>
      <c r="AB112" s="32"/>
      <c r="AD112" s="6"/>
      <c r="AE112" s="23"/>
      <c r="AF112" s="6"/>
      <c r="AG112" s="6"/>
      <c r="AH112" s="6"/>
      <c r="AI112" s="6"/>
      <c r="AJ112" s="6"/>
      <c r="AK112" s="6"/>
      <c r="AL112" s="6"/>
      <c r="AM112" s="6"/>
      <c r="AN112" s="6"/>
      <c r="AP112" s="6"/>
      <c r="AQ112" s="6"/>
      <c r="AR112" s="6"/>
      <c r="AS112" s="23"/>
      <c r="AT112" s="6"/>
      <c r="AU112" s="6"/>
      <c r="AV112" s="6"/>
      <c r="AW112" s="6"/>
      <c r="AX112" s="6"/>
      <c r="AY112" s="6"/>
      <c r="AZ112" s="6"/>
      <c r="BA112" s="23" t="s">
        <v>390</v>
      </c>
      <c r="BC112" s="32"/>
      <c r="BD112" s="6"/>
      <c r="BF112" s="6"/>
      <c r="BG112" s="6"/>
      <c r="BH112" s="6"/>
      <c r="BI112" s="6"/>
      <c r="BJ112" s="6"/>
      <c r="BK112" s="23"/>
      <c r="BL112" s="6"/>
      <c r="BM112" s="24"/>
      <c r="BN112" s="24"/>
      <c r="BR112" s="14"/>
      <c r="BS112" s="6"/>
      <c r="BU112" s="6"/>
      <c r="BV112" s="6"/>
      <c r="BW112" s="6"/>
      <c r="BX112" s="23"/>
      <c r="BY112" s="6"/>
      <c r="BZ112" s="6"/>
      <c r="CA112" s="6"/>
      <c r="CB112" s="6"/>
      <c r="CC112" s="6"/>
      <c r="CD112" s="6"/>
      <c r="CE112" s="6"/>
      <c r="CF112" s="23"/>
      <c r="CH112" s="32"/>
      <c r="CI112" s="6"/>
      <c r="CK112" s="6"/>
      <c r="CL112" s="6"/>
      <c r="CM112" s="6"/>
      <c r="CN112" s="6"/>
      <c r="CO112" s="6"/>
      <c r="CP112" s="23"/>
      <c r="CQ112" s="6"/>
      <c r="CR112" s="24"/>
      <c r="CS112" s="24"/>
    </row>
    <row r="113" spans="1:104" s="31" customFormat="1" ht="12.75" customHeight="1" x14ac:dyDescent="0.2">
      <c r="A113" s="38" t="s">
        <v>515</v>
      </c>
      <c r="C113" s="32"/>
      <c r="D113" s="7"/>
      <c r="E113" s="24"/>
      <c r="F113" s="24"/>
      <c r="G113" s="24"/>
      <c r="H113" s="24"/>
      <c r="I113" s="24"/>
      <c r="J113" s="24"/>
      <c r="K113" s="24"/>
      <c r="L113" s="24"/>
      <c r="N113" s="24"/>
      <c r="O113" s="23"/>
      <c r="P113" s="24"/>
      <c r="Q113" s="24"/>
      <c r="R113" s="24"/>
      <c r="S113" s="24"/>
      <c r="T113" s="24"/>
      <c r="U113" s="24"/>
      <c r="V113" s="24"/>
      <c r="W113" s="24"/>
      <c r="X113" s="24"/>
      <c r="Y113" s="38" t="s">
        <v>518</v>
      </c>
      <c r="AA113" s="32"/>
      <c r="AB113" s="32"/>
      <c r="AD113" s="6"/>
      <c r="AE113" s="23"/>
      <c r="AF113" s="6"/>
      <c r="AG113" s="6"/>
      <c r="AH113" s="6"/>
      <c r="AI113" s="6"/>
      <c r="AJ113" s="6"/>
      <c r="AK113" s="6"/>
      <c r="AL113" s="6"/>
      <c r="AM113" s="6"/>
      <c r="AN113" s="6"/>
      <c r="AP113" s="6"/>
      <c r="AQ113" s="6"/>
      <c r="AR113" s="6"/>
      <c r="AS113" s="23"/>
      <c r="AT113" s="6"/>
      <c r="AU113" s="6"/>
      <c r="AV113" s="6"/>
      <c r="AW113" s="6"/>
      <c r="AX113" s="6"/>
      <c r="AY113" s="6"/>
      <c r="AZ113" s="6"/>
      <c r="BA113" s="25" t="s">
        <v>346</v>
      </c>
      <c r="BC113" s="32"/>
      <c r="BD113" s="6"/>
      <c r="BF113" s="6"/>
      <c r="BG113" s="6"/>
      <c r="BH113" s="6"/>
      <c r="BI113" s="6"/>
      <c r="BJ113" s="6"/>
      <c r="BK113" s="23"/>
      <c r="BL113" s="6"/>
      <c r="BM113" s="24"/>
      <c r="BN113" s="24"/>
      <c r="BR113" s="14"/>
      <c r="BS113" s="6"/>
      <c r="BU113" s="6"/>
      <c r="BV113" s="6"/>
      <c r="BW113" s="6"/>
      <c r="BX113" s="23"/>
      <c r="BY113" s="6"/>
      <c r="BZ113" s="6"/>
      <c r="CA113" s="6"/>
      <c r="CB113" s="6"/>
      <c r="CC113" s="6"/>
      <c r="CD113" s="6"/>
      <c r="CE113" s="6"/>
      <c r="CF113" s="25"/>
      <c r="CH113" s="32"/>
      <c r="CI113" s="6"/>
      <c r="CK113" s="6"/>
      <c r="CL113" s="6"/>
      <c r="CM113" s="6"/>
      <c r="CN113" s="6"/>
      <c r="CO113" s="6"/>
      <c r="CP113" s="23"/>
      <c r="CQ113" s="6"/>
      <c r="CR113" s="24"/>
      <c r="CS113" s="24"/>
    </row>
    <row r="114" spans="1:104" s="31" customFormat="1" ht="12.75" customHeight="1" x14ac:dyDescent="0.2">
      <c r="A114" s="23" t="s">
        <v>504</v>
      </c>
      <c r="C114" s="32"/>
      <c r="D114" s="7"/>
      <c r="E114" s="24"/>
      <c r="F114" s="24"/>
      <c r="G114" s="24"/>
      <c r="H114" s="24"/>
      <c r="I114" s="24"/>
      <c r="J114" s="24"/>
      <c r="K114" s="24"/>
      <c r="L114" s="24"/>
      <c r="N114" s="24"/>
      <c r="O114" s="23"/>
      <c r="P114" s="24"/>
      <c r="Q114" s="24"/>
      <c r="R114" s="24"/>
      <c r="S114" s="24"/>
      <c r="T114" s="24"/>
      <c r="U114" s="24"/>
      <c r="V114" s="24"/>
      <c r="W114" s="24"/>
      <c r="X114" s="24"/>
      <c r="Y114" s="23" t="s">
        <v>504</v>
      </c>
      <c r="AA114" s="32"/>
      <c r="AB114" s="32"/>
      <c r="AD114" s="6"/>
      <c r="AE114" s="23"/>
      <c r="AF114" s="6"/>
      <c r="AG114" s="6"/>
      <c r="AH114" s="6"/>
      <c r="AI114" s="6"/>
      <c r="AJ114" s="6"/>
      <c r="AK114" s="6"/>
      <c r="AL114" s="6"/>
      <c r="AM114" s="6"/>
      <c r="AN114" s="6"/>
      <c r="AP114" s="6"/>
      <c r="AQ114" s="6"/>
      <c r="AR114" s="6"/>
      <c r="AS114" s="23"/>
      <c r="AT114" s="6"/>
      <c r="AU114" s="6"/>
      <c r="AV114" s="6"/>
      <c r="AW114" s="6"/>
      <c r="AX114" s="6"/>
      <c r="AY114" s="6"/>
      <c r="AZ114" s="6"/>
      <c r="BA114" s="23" t="s">
        <v>504</v>
      </c>
      <c r="BC114" s="32"/>
      <c r="BD114" s="6"/>
      <c r="BF114" s="6"/>
      <c r="BG114" s="6"/>
      <c r="BH114" s="6"/>
      <c r="BI114" s="6"/>
      <c r="BJ114" s="6"/>
      <c r="BK114" s="23"/>
      <c r="BL114" s="6"/>
      <c r="BM114" s="24"/>
      <c r="BN114" s="24"/>
      <c r="BR114" s="14"/>
      <c r="BS114" s="6"/>
      <c r="BU114" s="6"/>
      <c r="BV114" s="6"/>
      <c r="BW114" s="6"/>
      <c r="BX114" s="23"/>
      <c r="BY114" s="6"/>
      <c r="BZ114" s="6"/>
      <c r="CA114" s="6"/>
      <c r="CB114" s="6"/>
      <c r="CC114" s="6"/>
      <c r="CD114" s="6"/>
      <c r="CE114" s="6"/>
      <c r="CF114" s="23"/>
      <c r="CH114" s="32"/>
      <c r="CI114" s="6"/>
      <c r="CK114" s="6"/>
      <c r="CL114" s="6"/>
      <c r="CM114" s="6"/>
      <c r="CN114" s="6"/>
      <c r="CO114" s="6"/>
      <c r="CP114" s="23"/>
      <c r="CQ114" s="6"/>
      <c r="CR114" s="24"/>
      <c r="CS114" s="24"/>
    </row>
    <row r="115" spans="1:104" ht="12.75" customHeight="1" x14ac:dyDescent="0.2">
      <c r="A115" s="34" t="s">
        <v>287</v>
      </c>
      <c r="C115" s="33"/>
      <c r="E115" s="6"/>
      <c r="F115" s="6"/>
      <c r="G115" s="6"/>
      <c r="H115" s="6"/>
      <c r="I115" s="6"/>
      <c r="J115" s="6"/>
      <c r="K115" s="6"/>
      <c r="L115" s="6"/>
      <c r="N115" s="6"/>
      <c r="O115" s="34"/>
      <c r="P115" s="6"/>
      <c r="Q115" s="6"/>
      <c r="R115" s="6"/>
      <c r="S115" s="6"/>
      <c r="T115" s="6"/>
      <c r="U115" s="6"/>
      <c r="V115" s="6"/>
      <c r="W115" s="6"/>
      <c r="X115" s="6"/>
      <c r="Y115" s="34" t="s">
        <v>287</v>
      </c>
      <c r="Z115" s="10"/>
      <c r="AA115" s="33"/>
      <c r="AB115" s="33"/>
      <c r="AD115" s="6"/>
      <c r="AE115" s="34"/>
      <c r="AF115" s="6"/>
      <c r="AG115" s="6"/>
      <c r="AH115" s="6"/>
      <c r="AI115" s="6"/>
      <c r="AJ115" s="6"/>
      <c r="AK115" s="6"/>
      <c r="AL115" s="6"/>
      <c r="AM115" s="6"/>
      <c r="AN115" s="6"/>
      <c r="AP115" s="6"/>
      <c r="AQ115" s="6"/>
      <c r="AR115" s="6"/>
      <c r="AS115" s="34"/>
      <c r="AT115" s="6"/>
      <c r="AU115" s="6"/>
      <c r="AV115" s="6"/>
      <c r="AW115" s="6"/>
      <c r="AX115" s="6"/>
      <c r="AY115" s="6"/>
      <c r="AZ115" s="6"/>
      <c r="BA115" s="34" t="s">
        <v>287</v>
      </c>
      <c r="BB115" s="10"/>
      <c r="BC115" s="33"/>
      <c r="BD115" s="6"/>
      <c r="BE115" s="18"/>
      <c r="BF115" s="6"/>
      <c r="BG115" s="6"/>
      <c r="BH115" s="6"/>
      <c r="BI115" s="6"/>
      <c r="BJ115" s="6"/>
      <c r="BK115" s="34"/>
      <c r="BL115" s="6"/>
      <c r="BM115" s="6"/>
      <c r="BN115" s="6"/>
      <c r="BP115" s="18"/>
      <c r="BQ115" s="18"/>
      <c r="BR115" s="14"/>
      <c r="BS115" s="6"/>
      <c r="BT115" s="18"/>
      <c r="BU115" s="6"/>
      <c r="BV115" s="6"/>
      <c r="BW115" s="6"/>
      <c r="BX115" s="34"/>
      <c r="BY115" s="6"/>
      <c r="BZ115" s="6"/>
      <c r="CA115" s="6"/>
      <c r="CB115" s="6"/>
      <c r="CC115" s="6"/>
      <c r="CD115" s="6"/>
      <c r="CE115" s="6"/>
      <c r="CF115" s="34"/>
      <c r="CH115" s="33"/>
      <c r="CI115" s="6"/>
      <c r="CK115" s="6"/>
      <c r="CL115" s="6"/>
      <c r="CM115" s="6"/>
      <c r="CN115" s="6"/>
      <c r="CO115" s="6"/>
      <c r="CP115" s="34"/>
      <c r="CQ115" s="6"/>
      <c r="CR115" s="6"/>
      <c r="CS115" s="6"/>
    </row>
    <row r="116" spans="1:104" ht="12.75" customHeight="1" x14ac:dyDescent="0.2">
      <c r="A116" s="34" t="s">
        <v>478</v>
      </c>
      <c r="Q116" s="93" t="s">
        <v>512</v>
      </c>
      <c r="R116" s="93"/>
      <c r="S116" s="93"/>
      <c r="T116" s="93"/>
      <c r="U116" s="93"/>
      <c r="Y116" s="34" t="s">
        <v>478</v>
      </c>
      <c r="AU116" s="35" t="s">
        <v>409</v>
      </c>
      <c r="AW116" s="35" t="s">
        <v>410</v>
      </c>
      <c r="BA116" s="34" t="s">
        <v>478</v>
      </c>
      <c r="BE116" s="5" t="s">
        <v>346</v>
      </c>
      <c r="BF116" s="5"/>
      <c r="BG116" s="5"/>
      <c r="BH116" s="5"/>
      <c r="BI116" s="5"/>
      <c r="BJ116" s="5"/>
      <c r="BK116" s="5"/>
      <c r="CG116" s="4"/>
    </row>
    <row r="117" spans="1:104" s="35" customFormat="1" ht="12.75" customHeight="1" x14ac:dyDescent="0.2">
      <c r="D117" s="63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 t="s">
        <v>516</v>
      </c>
      <c r="W117" s="88"/>
      <c r="X117" s="88"/>
      <c r="Z117" s="43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 t="s">
        <v>347</v>
      </c>
      <c r="AV117" s="88"/>
      <c r="AW117" s="88" t="s">
        <v>347</v>
      </c>
      <c r="AX117" s="88"/>
      <c r="AY117" s="88"/>
      <c r="AZ117" s="88"/>
      <c r="BB117" s="43"/>
      <c r="BD117" s="88"/>
      <c r="BE117" s="88" t="s">
        <v>294</v>
      </c>
      <c r="BF117" s="88"/>
      <c r="BG117" s="88" t="s">
        <v>348</v>
      </c>
      <c r="BH117" s="88"/>
      <c r="BI117" s="88"/>
      <c r="BJ117" s="88"/>
      <c r="BK117" s="88" t="s">
        <v>292</v>
      </c>
      <c r="BL117" s="88"/>
      <c r="BM117" s="88" t="s">
        <v>5</v>
      </c>
      <c r="BN117" s="17"/>
      <c r="BR117" s="14"/>
      <c r="BS117" s="88"/>
      <c r="BT117" s="88"/>
      <c r="BU117" s="88"/>
      <c r="BV117" s="88"/>
      <c r="BW117" s="88"/>
      <c r="BX117" s="88"/>
      <c r="BY117" s="88"/>
      <c r="BZ117" s="88"/>
      <c r="CA117" s="88"/>
      <c r="CB117" s="88"/>
      <c r="CC117" s="88"/>
      <c r="CD117" s="88"/>
      <c r="CE117" s="88"/>
      <c r="CG117" s="2"/>
      <c r="CI117" s="88"/>
      <c r="CJ117" s="88"/>
      <c r="CK117" s="88"/>
      <c r="CL117" s="88"/>
      <c r="CM117" s="88"/>
      <c r="CN117" s="88"/>
      <c r="CO117" s="88"/>
      <c r="CP117" s="88"/>
      <c r="CQ117" s="88"/>
      <c r="CR117" s="88"/>
      <c r="CS117" s="17"/>
    </row>
    <row r="118" spans="1:104" s="35" customFormat="1" ht="12.75" customHeight="1" x14ac:dyDescent="0.2">
      <c r="D118" s="88"/>
      <c r="E118" s="88" t="s">
        <v>2</v>
      </c>
      <c r="F118" s="88"/>
      <c r="G118" s="88" t="s">
        <v>349</v>
      </c>
      <c r="H118" s="88"/>
      <c r="I118" s="88" t="s">
        <v>5</v>
      </c>
      <c r="J118" s="88"/>
      <c r="K118" s="88" t="s">
        <v>2</v>
      </c>
      <c r="L118" s="88"/>
      <c r="M118" s="88" t="s">
        <v>349</v>
      </c>
      <c r="N118" s="88"/>
      <c r="O118" s="88" t="s">
        <v>5</v>
      </c>
      <c r="P118" s="88"/>
      <c r="Q118" s="35" t="s">
        <v>519</v>
      </c>
      <c r="R118" s="88"/>
      <c r="S118" s="88"/>
      <c r="T118" s="88"/>
      <c r="U118" s="88"/>
      <c r="V118" s="88"/>
      <c r="W118" s="88" t="s">
        <v>5</v>
      </c>
      <c r="X118" s="88"/>
      <c r="AC118" s="88" t="s">
        <v>343</v>
      </c>
      <c r="AD118" s="88"/>
      <c r="AE118" s="88" t="s">
        <v>351</v>
      </c>
      <c r="AF118" s="88"/>
      <c r="AG118" s="88"/>
      <c r="AH118" s="88"/>
      <c r="AI118" s="88" t="s">
        <v>343</v>
      </c>
      <c r="AJ118" s="88"/>
      <c r="AK118" s="88" t="s">
        <v>352</v>
      </c>
      <c r="AL118" s="88"/>
      <c r="AM118" s="88"/>
      <c r="AN118" s="88"/>
      <c r="AO118" s="88"/>
      <c r="AP118" s="88"/>
      <c r="AQ118" s="88" t="s">
        <v>3</v>
      </c>
      <c r="AR118" s="88"/>
      <c r="AS118" s="88" t="s">
        <v>366</v>
      </c>
      <c r="AT118" s="88"/>
      <c r="AU118" s="88" t="s">
        <v>411</v>
      </c>
      <c r="AV118" s="88"/>
      <c r="AW118" s="88" t="s">
        <v>411</v>
      </c>
      <c r="AX118" s="88"/>
      <c r="AY118" s="88" t="s">
        <v>353</v>
      </c>
      <c r="AZ118" s="88"/>
      <c r="BD118" s="88"/>
      <c r="BE118" s="88" t="s">
        <v>354</v>
      </c>
      <c r="BF118" s="88"/>
      <c r="BG118" s="88" t="s">
        <v>300</v>
      </c>
      <c r="BH118" s="88"/>
      <c r="BI118" s="88"/>
      <c r="BJ118" s="88"/>
      <c r="BK118" s="88" t="s">
        <v>350</v>
      </c>
      <c r="BL118" s="88"/>
      <c r="BM118" s="88" t="s">
        <v>350</v>
      </c>
      <c r="BN118" s="17"/>
      <c r="BR118" s="14"/>
      <c r="BS118" s="88"/>
      <c r="BT118" s="88"/>
      <c r="BU118" s="88"/>
      <c r="BV118" s="88"/>
      <c r="BW118" s="88"/>
      <c r="BX118" s="88"/>
      <c r="BY118" s="88"/>
      <c r="BZ118" s="88"/>
      <c r="CA118" s="88"/>
      <c r="CB118" s="88"/>
      <c r="CC118" s="88"/>
      <c r="CD118" s="88"/>
      <c r="CE118" s="88"/>
      <c r="CI118" s="88"/>
      <c r="CJ118" s="88"/>
      <c r="CK118" s="88"/>
      <c r="CL118" s="88"/>
      <c r="CM118" s="88"/>
      <c r="CN118" s="88"/>
      <c r="CO118" s="88"/>
      <c r="CP118" s="88"/>
      <c r="CQ118" s="88"/>
      <c r="CR118" s="88"/>
      <c r="CS118" s="17"/>
    </row>
    <row r="119" spans="1:104" s="35" customFormat="1" ht="12.75" customHeight="1" x14ac:dyDescent="0.2">
      <c r="A119" s="87" t="s">
        <v>6</v>
      </c>
      <c r="C119" s="87" t="s">
        <v>7</v>
      </c>
      <c r="D119" s="88"/>
      <c r="E119" s="87" t="s">
        <v>0</v>
      </c>
      <c r="F119" s="88"/>
      <c r="G119" s="87" t="s">
        <v>0</v>
      </c>
      <c r="H119" s="88"/>
      <c r="I119" s="87" t="s">
        <v>0</v>
      </c>
      <c r="J119" s="88"/>
      <c r="K119" s="87" t="s">
        <v>1</v>
      </c>
      <c r="L119" s="88"/>
      <c r="M119" s="87" t="s">
        <v>1</v>
      </c>
      <c r="N119" s="88"/>
      <c r="O119" s="87" t="s">
        <v>1</v>
      </c>
      <c r="P119" s="88"/>
      <c r="Q119" s="87" t="s">
        <v>0</v>
      </c>
      <c r="R119" s="88"/>
      <c r="S119" s="87" t="s">
        <v>8</v>
      </c>
      <c r="T119" s="88"/>
      <c r="U119" s="87" t="s">
        <v>9</v>
      </c>
      <c r="V119" s="88"/>
      <c r="W119" s="51" t="s">
        <v>512</v>
      </c>
      <c r="Y119" s="87" t="s">
        <v>6</v>
      </c>
      <c r="AA119" s="87" t="s">
        <v>7</v>
      </c>
      <c r="AB119" s="88"/>
      <c r="AC119" s="27" t="s">
        <v>300</v>
      </c>
      <c r="AD119" s="88"/>
      <c r="AE119" s="27" t="s">
        <v>355</v>
      </c>
      <c r="AF119" s="88"/>
      <c r="AG119" s="27" t="s">
        <v>355</v>
      </c>
      <c r="AH119" s="88"/>
      <c r="AI119" s="27" t="s">
        <v>356</v>
      </c>
      <c r="AJ119" s="88"/>
      <c r="AK119" s="27" t="s">
        <v>412</v>
      </c>
      <c r="AL119" s="88"/>
      <c r="AM119" s="27" t="s">
        <v>357</v>
      </c>
      <c r="AN119" s="88"/>
      <c r="AO119" s="27" t="s">
        <v>358</v>
      </c>
      <c r="AP119" s="88"/>
      <c r="AQ119" s="27" t="s">
        <v>359</v>
      </c>
      <c r="AR119" s="88"/>
      <c r="AS119" s="27" t="s">
        <v>512</v>
      </c>
      <c r="AT119" s="88"/>
      <c r="AU119" s="87" t="s">
        <v>413</v>
      </c>
      <c r="AV119" s="88"/>
      <c r="AW119" s="87" t="s">
        <v>413</v>
      </c>
      <c r="AX119" s="88"/>
      <c r="AY119" s="27" t="s">
        <v>3</v>
      </c>
      <c r="AZ119" s="88"/>
      <c r="BA119" s="87" t="s">
        <v>6</v>
      </c>
      <c r="BC119" s="87" t="s">
        <v>7</v>
      </c>
      <c r="BD119" s="88"/>
      <c r="BE119" s="27" t="s">
        <v>360</v>
      </c>
      <c r="BF119" s="88"/>
      <c r="BG119" s="27" t="s">
        <v>360</v>
      </c>
      <c r="BH119" s="88"/>
      <c r="BI119" s="27" t="s">
        <v>361</v>
      </c>
      <c r="BJ119" s="88"/>
      <c r="BK119" s="27" t="s">
        <v>362</v>
      </c>
      <c r="BL119" s="88"/>
      <c r="BM119" s="87" t="s">
        <v>362</v>
      </c>
      <c r="BN119" s="17"/>
      <c r="BR119" s="14"/>
      <c r="BS119" s="88"/>
      <c r="BT119" s="88"/>
      <c r="BU119" s="88"/>
      <c r="BV119" s="88"/>
      <c r="BW119" s="88"/>
      <c r="BX119" s="88"/>
      <c r="BY119" s="88"/>
      <c r="BZ119" s="88"/>
      <c r="CA119" s="88"/>
      <c r="CB119" s="88"/>
      <c r="CC119" s="88"/>
      <c r="CD119" s="88"/>
      <c r="CE119" s="88"/>
      <c r="CF119" s="88"/>
      <c r="CH119" s="88"/>
      <c r="CI119" s="88"/>
      <c r="CJ119" s="88"/>
      <c r="CK119" s="88"/>
      <c r="CL119" s="88"/>
      <c r="CM119" s="88"/>
      <c r="CN119" s="88"/>
      <c r="CO119" s="88"/>
      <c r="CP119" s="88"/>
      <c r="CQ119" s="88"/>
      <c r="CR119" s="88"/>
      <c r="CS119" s="17"/>
    </row>
    <row r="120" spans="1:104" s="35" customFormat="1" ht="12.75" customHeight="1" x14ac:dyDescent="0.2">
      <c r="A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Y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17"/>
      <c r="BR120" s="14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17"/>
    </row>
    <row r="121" spans="1:104" ht="12.75" customHeight="1" x14ac:dyDescent="0.2">
      <c r="A121" s="6" t="s">
        <v>134</v>
      </c>
      <c r="C121" s="6" t="s">
        <v>134</v>
      </c>
      <c r="E121" s="28">
        <v>2037563</v>
      </c>
      <c r="F121" s="28"/>
      <c r="G121" s="28">
        <v>14938537</v>
      </c>
      <c r="H121" s="28"/>
      <c r="I121" s="28">
        <f t="shared" ref="I121:I160" si="51">+E121+G121</f>
        <v>16976100</v>
      </c>
      <c r="J121" s="28"/>
      <c r="K121" s="28">
        <v>611794</v>
      </c>
      <c r="L121" s="28"/>
      <c r="M121" s="28">
        <v>6386020</v>
      </c>
      <c r="N121" s="28"/>
      <c r="O121" s="28">
        <f t="shared" ref="O121:O160" si="52">+K121+M121</f>
        <v>6997814</v>
      </c>
      <c r="P121" s="28"/>
      <c r="Q121" s="28">
        <v>8297962</v>
      </c>
      <c r="R121" s="28"/>
      <c r="S121" s="28">
        <v>0</v>
      </c>
      <c r="T121" s="28"/>
      <c r="U121" s="28">
        <v>1680324</v>
      </c>
      <c r="V121" s="28"/>
      <c r="W121" s="28">
        <f t="shared" si="39"/>
        <v>9978286</v>
      </c>
      <c r="X121" s="16"/>
      <c r="Y121" s="6" t="s">
        <v>134</v>
      </c>
      <c r="AA121" s="6" t="s">
        <v>134</v>
      </c>
      <c r="AB121" s="6"/>
      <c r="AC121" s="28">
        <v>2485660</v>
      </c>
      <c r="AD121" s="28"/>
      <c r="AE121" s="28">
        <f>2981142-728564</f>
        <v>2252578</v>
      </c>
      <c r="AF121" s="28"/>
      <c r="AG121" s="28">
        <v>728564</v>
      </c>
      <c r="AH121" s="28"/>
      <c r="AI121" s="40">
        <f t="shared" ref="AI121:AI156" si="53">+AC121-AE121-AG121</f>
        <v>-495482</v>
      </c>
      <c r="AJ121" s="40"/>
      <c r="AK121" s="28">
        <v>-65865</v>
      </c>
      <c r="AL121" s="40"/>
      <c r="AM121" s="28">
        <v>0</v>
      </c>
      <c r="AN121" s="28"/>
      <c r="AO121" s="28">
        <v>0</v>
      </c>
      <c r="AP121" s="28"/>
      <c r="AQ121" s="28">
        <v>0</v>
      </c>
      <c r="AR121" s="28"/>
      <c r="AS121" s="40">
        <f t="shared" ref="AS121:AS168" si="54">+AI121+AK121+AM121-AO121+AQ121</f>
        <v>-561347</v>
      </c>
      <c r="AT121" s="40"/>
      <c r="AU121" s="28">
        <v>0</v>
      </c>
      <c r="AV121" s="28"/>
      <c r="AW121" s="28">
        <v>0</v>
      </c>
      <c r="AX121" s="28"/>
      <c r="AY121" s="28">
        <f t="shared" si="40"/>
        <v>1425769</v>
      </c>
      <c r="AZ121" s="16"/>
      <c r="BA121" s="6" t="s">
        <v>134</v>
      </c>
      <c r="BC121" s="6" t="s">
        <v>134</v>
      </c>
      <c r="BD121" s="16"/>
      <c r="BE121" s="28">
        <v>0</v>
      </c>
      <c r="BF121" s="28"/>
      <c r="BG121" s="28">
        <v>0</v>
      </c>
      <c r="BH121" s="28"/>
      <c r="BI121" s="28">
        <f>5995004+382359</f>
        <v>6377363</v>
      </c>
      <c r="BJ121" s="28"/>
      <c r="BK121" s="28">
        <f>162155+228861+69643+34351</f>
        <v>495010</v>
      </c>
      <c r="BL121" s="28"/>
      <c r="BM121" s="28">
        <f t="shared" si="41"/>
        <v>6872373</v>
      </c>
      <c r="BN121" s="17" t="s">
        <v>345</v>
      </c>
      <c r="BP121" s="18"/>
      <c r="BQ121" s="18"/>
      <c r="BR121" s="14"/>
      <c r="BS121" s="16"/>
      <c r="BT121" s="16"/>
      <c r="BU121" s="16"/>
      <c r="BV121" s="16"/>
      <c r="BW121" s="16"/>
      <c r="BX121" s="8"/>
      <c r="BY121" s="8"/>
      <c r="BZ121" s="16"/>
      <c r="CA121" s="16"/>
      <c r="CB121" s="16"/>
      <c r="CC121" s="16"/>
      <c r="CD121" s="16"/>
      <c r="CE121" s="16"/>
      <c r="CF121" s="6"/>
      <c r="CG121" s="18"/>
      <c r="CH121" s="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7"/>
    </row>
    <row r="122" spans="1:104" ht="11.25" customHeight="1" x14ac:dyDescent="0.2">
      <c r="A122" s="6" t="s">
        <v>135</v>
      </c>
      <c r="B122" s="18"/>
      <c r="C122" s="6" t="s">
        <v>20</v>
      </c>
      <c r="E122" s="16">
        <v>4032064</v>
      </c>
      <c r="F122" s="16"/>
      <c r="G122" s="16">
        <v>25950530</v>
      </c>
      <c r="H122" s="16"/>
      <c r="I122" s="16">
        <f t="shared" si="51"/>
        <v>29982594</v>
      </c>
      <c r="J122" s="16"/>
      <c r="K122" s="16">
        <v>1528622</v>
      </c>
      <c r="L122" s="16"/>
      <c r="M122" s="16">
        <v>2917489</v>
      </c>
      <c r="N122" s="16"/>
      <c r="O122" s="16">
        <f t="shared" si="52"/>
        <v>4446111</v>
      </c>
      <c r="P122" s="16"/>
      <c r="Q122" s="16">
        <v>22168423</v>
      </c>
      <c r="R122" s="16"/>
      <c r="S122" s="16">
        <v>0</v>
      </c>
      <c r="T122" s="16"/>
      <c r="U122" s="16">
        <v>3368060</v>
      </c>
      <c r="V122" s="16"/>
      <c r="W122" s="16">
        <f t="shared" si="39"/>
        <v>25536483</v>
      </c>
      <c r="X122" s="16"/>
      <c r="Y122" s="6" t="s">
        <v>135</v>
      </c>
      <c r="AA122" s="6" t="s">
        <v>20</v>
      </c>
      <c r="AB122" s="6"/>
      <c r="AC122" s="16">
        <v>4193536</v>
      </c>
      <c r="AD122" s="16"/>
      <c r="AE122" s="16">
        <f>3560586-807106</f>
        <v>2753480</v>
      </c>
      <c r="AF122" s="16"/>
      <c r="AG122" s="16">
        <v>807106</v>
      </c>
      <c r="AH122" s="16"/>
      <c r="AI122" s="8">
        <f t="shared" si="53"/>
        <v>632950</v>
      </c>
      <c r="AJ122" s="8"/>
      <c r="AK122" s="16">
        <v>-110629</v>
      </c>
      <c r="AL122" s="8"/>
      <c r="AM122" s="16">
        <v>0</v>
      </c>
      <c r="AN122" s="16"/>
      <c r="AO122" s="16">
        <v>0</v>
      </c>
      <c r="AP122" s="16"/>
      <c r="AQ122" s="16">
        <f>39218+31542</f>
        <v>70760</v>
      </c>
      <c r="AR122" s="16"/>
      <c r="AS122" s="8">
        <f t="shared" si="54"/>
        <v>593081</v>
      </c>
      <c r="AT122" s="8"/>
      <c r="AU122" s="16">
        <v>0</v>
      </c>
      <c r="AV122" s="16"/>
      <c r="AW122" s="16">
        <v>0</v>
      </c>
      <c r="AX122" s="16"/>
      <c r="AY122" s="16">
        <f t="shared" si="40"/>
        <v>2503442</v>
      </c>
      <c r="AZ122" s="16"/>
      <c r="BA122" s="6" t="s">
        <v>135</v>
      </c>
      <c r="BC122" s="6" t="s">
        <v>20</v>
      </c>
      <c r="BD122" s="16"/>
      <c r="BE122" s="16">
        <v>0</v>
      </c>
      <c r="BF122" s="16"/>
      <c r="BG122" s="16">
        <v>0</v>
      </c>
      <c r="BH122" s="16"/>
      <c r="BI122" s="16">
        <f>2890714+17444+198949</f>
        <v>3107107</v>
      </c>
      <c r="BJ122" s="16"/>
      <c r="BK122" s="16">
        <f>9331+98521</f>
        <v>107852</v>
      </c>
      <c r="BL122" s="16"/>
      <c r="BM122" s="16">
        <f t="shared" si="41"/>
        <v>3214959</v>
      </c>
      <c r="BN122" s="17" t="s">
        <v>345</v>
      </c>
      <c r="BP122" s="18"/>
      <c r="BQ122" s="18"/>
      <c r="BR122" s="14"/>
      <c r="BS122" s="16"/>
      <c r="BT122" s="16"/>
      <c r="BU122" s="16"/>
      <c r="BV122" s="16"/>
      <c r="BW122" s="16"/>
      <c r="BX122" s="8"/>
      <c r="BY122" s="8"/>
      <c r="BZ122" s="16"/>
      <c r="CA122" s="16"/>
      <c r="CB122" s="16"/>
      <c r="CC122" s="16"/>
      <c r="CD122" s="16"/>
      <c r="CE122" s="16"/>
      <c r="CF122" s="6"/>
      <c r="CG122" s="18"/>
      <c r="CH122" s="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7"/>
    </row>
    <row r="123" spans="1:104" ht="12.75" hidden="1" customHeight="1" x14ac:dyDescent="0.2">
      <c r="A123" s="6" t="s">
        <v>136</v>
      </c>
      <c r="C123" s="6" t="s">
        <v>137</v>
      </c>
      <c r="E123" s="16">
        <v>0</v>
      </c>
      <c r="F123" s="16"/>
      <c r="G123" s="16"/>
      <c r="H123" s="16"/>
      <c r="I123" s="16">
        <f t="shared" si="51"/>
        <v>0</v>
      </c>
      <c r="J123" s="16"/>
      <c r="K123" s="16">
        <v>0</v>
      </c>
      <c r="L123" s="16"/>
      <c r="M123" s="16"/>
      <c r="N123" s="16"/>
      <c r="O123" s="16">
        <f t="shared" si="52"/>
        <v>0</v>
      </c>
      <c r="P123" s="16"/>
      <c r="Q123" s="16"/>
      <c r="R123" s="16"/>
      <c r="S123" s="16"/>
      <c r="T123" s="16"/>
      <c r="U123" s="16"/>
      <c r="V123" s="16"/>
      <c r="W123" s="16">
        <f t="shared" si="39"/>
        <v>0</v>
      </c>
      <c r="X123" s="16"/>
      <c r="Y123" s="6" t="s">
        <v>136</v>
      </c>
      <c r="AA123" s="6" t="s">
        <v>137</v>
      </c>
      <c r="AB123" s="6"/>
      <c r="AC123" s="16"/>
      <c r="AD123" s="16"/>
      <c r="AE123" s="16"/>
      <c r="AF123" s="16"/>
      <c r="AG123" s="16"/>
      <c r="AH123" s="16"/>
      <c r="AI123" s="8">
        <f t="shared" si="53"/>
        <v>0</v>
      </c>
      <c r="AJ123" s="8"/>
      <c r="AK123" s="16"/>
      <c r="AL123" s="8"/>
      <c r="AM123" s="16"/>
      <c r="AN123" s="16"/>
      <c r="AO123" s="16"/>
      <c r="AP123" s="16"/>
      <c r="AQ123" s="16"/>
      <c r="AR123" s="16"/>
      <c r="AS123" s="8">
        <f t="shared" si="54"/>
        <v>0</v>
      </c>
      <c r="AT123" s="8"/>
      <c r="AU123" s="16">
        <v>0</v>
      </c>
      <c r="AV123" s="16"/>
      <c r="AW123" s="16">
        <v>0</v>
      </c>
      <c r="AX123" s="16"/>
      <c r="AY123" s="16">
        <f t="shared" si="40"/>
        <v>0</v>
      </c>
      <c r="AZ123" s="16"/>
      <c r="BA123" s="6" t="s">
        <v>136</v>
      </c>
      <c r="BC123" s="6" t="s">
        <v>137</v>
      </c>
      <c r="BD123" s="16"/>
      <c r="BE123" s="16"/>
      <c r="BF123" s="16"/>
      <c r="BG123" s="16"/>
      <c r="BH123" s="16"/>
      <c r="BI123" s="16"/>
      <c r="BJ123" s="16"/>
      <c r="BK123" s="16"/>
      <c r="BL123" s="16"/>
      <c r="BM123" s="16">
        <f t="shared" si="41"/>
        <v>0</v>
      </c>
      <c r="BN123" s="17" t="s">
        <v>345</v>
      </c>
      <c r="BO123" s="6"/>
      <c r="BP123" s="6"/>
      <c r="BQ123" s="6"/>
      <c r="BR123" s="14"/>
      <c r="BS123" s="16"/>
      <c r="BT123" s="16"/>
      <c r="BU123" s="16"/>
      <c r="BV123" s="16"/>
      <c r="BX123" s="8"/>
      <c r="BY123" s="16"/>
      <c r="BZ123" s="16"/>
      <c r="CA123" s="16"/>
      <c r="CB123" s="16"/>
      <c r="CC123" s="16"/>
      <c r="CD123" s="16"/>
      <c r="CE123" s="16"/>
      <c r="CF123" s="6"/>
      <c r="CG123" s="18"/>
      <c r="CH123" s="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7"/>
      <c r="CT123" s="6"/>
      <c r="CU123" s="6"/>
      <c r="CV123" s="6"/>
    </row>
    <row r="124" spans="1:104" ht="12.75" hidden="1" customHeight="1" x14ac:dyDescent="0.2">
      <c r="A124" s="6" t="s">
        <v>138</v>
      </c>
      <c r="C124" s="6" t="s">
        <v>64</v>
      </c>
      <c r="E124" s="16">
        <v>0</v>
      </c>
      <c r="F124" s="16"/>
      <c r="G124" s="16"/>
      <c r="H124" s="16"/>
      <c r="I124" s="16">
        <f t="shared" si="51"/>
        <v>0</v>
      </c>
      <c r="J124" s="16"/>
      <c r="K124" s="16">
        <v>0</v>
      </c>
      <c r="L124" s="16"/>
      <c r="M124" s="16"/>
      <c r="N124" s="16"/>
      <c r="O124" s="16">
        <f t="shared" si="52"/>
        <v>0</v>
      </c>
      <c r="P124" s="16"/>
      <c r="Q124" s="16"/>
      <c r="R124" s="16"/>
      <c r="S124" s="16"/>
      <c r="T124" s="16"/>
      <c r="U124" s="16"/>
      <c r="V124" s="16"/>
      <c r="W124" s="16">
        <f t="shared" si="39"/>
        <v>0</v>
      </c>
      <c r="X124" s="16"/>
      <c r="Y124" s="6" t="s">
        <v>138</v>
      </c>
      <c r="AA124" s="6" t="s">
        <v>64</v>
      </c>
      <c r="AB124" s="6"/>
      <c r="AC124" s="16"/>
      <c r="AD124" s="16"/>
      <c r="AE124" s="16"/>
      <c r="AF124" s="16"/>
      <c r="AG124" s="16"/>
      <c r="AH124" s="16"/>
      <c r="AI124" s="8">
        <f t="shared" si="53"/>
        <v>0</v>
      </c>
      <c r="AJ124" s="8"/>
      <c r="AK124" s="16"/>
      <c r="AL124" s="8"/>
      <c r="AM124" s="16"/>
      <c r="AN124" s="16"/>
      <c r="AO124" s="16"/>
      <c r="AP124" s="16"/>
      <c r="AQ124" s="16"/>
      <c r="AR124" s="16"/>
      <c r="AS124" s="8">
        <f t="shared" si="54"/>
        <v>0</v>
      </c>
      <c r="AT124" s="8"/>
      <c r="AU124" s="16">
        <v>0</v>
      </c>
      <c r="AV124" s="16"/>
      <c r="AW124" s="16">
        <v>0</v>
      </c>
      <c r="AX124" s="16"/>
      <c r="AY124" s="16">
        <f t="shared" si="40"/>
        <v>0</v>
      </c>
      <c r="AZ124" s="16"/>
      <c r="BA124" s="6" t="s">
        <v>138</v>
      </c>
      <c r="BC124" s="6" t="s">
        <v>64</v>
      </c>
      <c r="BD124" s="16"/>
      <c r="BE124" s="16"/>
      <c r="BF124" s="16"/>
      <c r="BG124" s="16"/>
      <c r="BH124" s="16"/>
      <c r="BI124" s="16"/>
      <c r="BJ124" s="16"/>
      <c r="BK124" s="16"/>
      <c r="BL124" s="16"/>
      <c r="BM124" s="16">
        <f t="shared" si="41"/>
        <v>0</v>
      </c>
      <c r="BN124" s="17" t="s">
        <v>345</v>
      </c>
      <c r="BO124" s="6"/>
      <c r="BP124" s="6"/>
      <c r="BQ124" s="6"/>
      <c r="BR124" s="14"/>
      <c r="BS124" s="16"/>
      <c r="BT124" s="16"/>
      <c r="BU124" s="16"/>
      <c r="BV124" s="16"/>
      <c r="BX124" s="8"/>
      <c r="BY124" s="16"/>
      <c r="BZ124" s="16"/>
      <c r="CA124" s="16"/>
      <c r="CB124" s="16"/>
      <c r="CC124" s="16"/>
      <c r="CD124" s="16"/>
      <c r="CE124" s="16"/>
      <c r="CF124" s="6"/>
      <c r="CG124" s="18"/>
      <c r="CH124" s="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7"/>
      <c r="CT124" s="6"/>
      <c r="CU124" s="6"/>
      <c r="CV124" s="6"/>
      <c r="CW124" s="6"/>
      <c r="CX124" s="6"/>
      <c r="CY124" s="6"/>
      <c r="CZ124" s="6"/>
    </row>
    <row r="125" spans="1:104" ht="12.75" customHeight="1" x14ac:dyDescent="0.2">
      <c r="A125" s="6" t="s">
        <v>472</v>
      </c>
      <c r="C125" s="6" t="s">
        <v>90</v>
      </c>
      <c r="E125" s="16">
        <v>442344</v>
      </c>
      <c r="F125" s="16"/>
      <c r="G125" s="16">
        <v>2560808</v>
      </c>
      <c r="H125" s="16"/>
      <c r="I125" s="16">
        <f t="shared" si="51"/>
        <v>3003152</v>
      </c>
      <c r="J125" s="16"/>
      <c r="K125" s="16">
        <v>39840</v>
      </c>
      <c r="L125" s="16"/>
      <c r="M125" s="16">
        <v>518045</v>
      </c>
      <c r="N125" s="16"/>
      <c r="O125" s="16">
        <f t="shared" si="52"/>
        <v>557885</v>
      </c>
      <c r="P125" s="16"/>
      <c r="Q125" s="16">
        <v>2021263</v>
      </c>
      <c r="R125" s="16"/>
      <c r="S125" s="16">
        <v>0</v>
      </c>
      <c r="T125" s="16"/>
      <c r="U125" s="16">
        <v>431230</v>
      </c>
      <c r="V125" s="16"/>
      <c r="W125" s="16">
        <f t="shared" ref="W125" si="55">SUM(Q125:U125)</f>
        <v>2452493</v>
      </c>
      <c r="X125" s="16"/>
      <c r="Y125" s="6" t="s">
        <v>472</v>
      </c>
      <c r="Z125" s="14"/>
      <c r="AA125" s="6" t="s">
        <v>90</v>
      </c>
      <c r="AB125" s="6"/>
      <c r="AC125" s="16">
        <v>99894</v>
      </c>
      <c r="AD125" s="16"/>
      <c r="AE125" s="16">
        <f>79321-14645</f>
        <v>64676</v>
      </c>
      <c r="AF125" s="16"/>
      <c r="AG125" s="16">
        <v>14645</v>
      </c>
      <c r="AH125" s="16"/>
      <c r="AI125" s="8">
        <f t="shared" si="53"/>
        <v>20573</v>
      </c>
      <c r="AJ125" s="8"/>
      <c r="AK125" s="16">
        <v>-22742</v>
      </c>
      <c r="AL125" s="8"/>
      <c r="AM125" s="16">
        <v>51811</v>
      </c>
      <c r="AN125" s="16"/>
      <c r="AO125" s="16">
        <v>0</v>
      </c>
      <c r="AP125" s="16"/>
      <c r="AQ125" s="16">
        <v>923309</v>
      </c>
      <c r="AR125" s="16"/>
      <c r="AS125" s="8">
        <f t="shared" ref="AS125" si="56">+AI125+AK125+AM125-AO125+AQ125</f>
        <v>972951</v>
      </c>
      <c r="AT125" s="8"/>
      <c r="AU125" s="16">
        <v>0</v>
      </c>
      <c r="AV125" s="16"/>
      <c r="AW125" s="16">
        <v>0</v>
      </c>
      <c r="AX125" s="16"/>
      <c r="AY125" s="16">
        <f t="shared" ref="AY125" si="57">+E125-K125</f>
        <v>402504</v>
      </c>
      <c r="AZ125" s="16"/>
      <c r="BA125" s="6" t="s">
        <v>472</v>
      </c>
      <c r="BB125" s="14"/>
      <c r="BC125" s="6" t="s">
        <v>90</v>
      </c>
      <c r="BD125" s="16"/>
      <c r="BE125" s="16">
        <f>333500+14530</f>
        <v>348030</v>
      </c>
      <c r="BF125" s="16"/>
      <c r="BG125" s="16">
        <v>0</v>
      </c>
      <c r="BH125" s="16"/>
      <c r="BI125" s="16">
        <f>184545+14196</f>
        <v>198741</v>
      </c>
      <c r="BJ125" s="16"/>
      <c r="BK125" s="16">
        <v>0</v>
      </c>
      <c r="BL125" s="16"/>
      <c r="BM125" s="16">
        <f t="shared" si="41"/>
        <v>546771</v>
      </c>
      <c r="BN125" s="17" t="s">
        <v>345</v>
      </c>
      <c r="BO125" s="6"/>
      <c r="BP125" s="6"/>
      <c r="BQ125" s="18"/>
      <c r="BR125" s="14"/>
      <c r="BS125" s="16"/>
      <c r="BT125" s="16"/>
      <c r="BU125" s="16"/>
      <c r="BV125" s="16"/>
      <c r="BX125" s="8"/>
      <c r="BY125" s="16"/>
      <c r="BZ125" s="16"/>
      <c r="CA125" s="16"/>
      <c r="CB125" s="16"/>
      <c r="CC125" s="16"/>
      <c r="CD125" s="16"/>
      <c r="CE125" s="16"/>
      <c r="CF125" s="6"/>
      <c r="CG125" s="18"/>
      <c r="CH125" s="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7"/>
      <c r="CT125" s="6"/>
      <c r="CU125" s="6"/>
    </row>
    <row r="126" spans="1:104" ht="12.75" customHeight="1" x14ac:dyDescent="0.2">
      <c r="A126" s="6" t="s">
        <v>139</v>
      </c>
      <c r="B126" s="18"/>
      <c r="C126" s="6" t="s">
        <v>25</v>
      </c>
      <c r="E126" s="16">
        <v>7517776</v>
      </c>
      <c r="F126" s="16"/>
      <c r="G126" s="16">
        <v>36665417</v>
      </c>
      <c r="H126" s="16"/>
      <c r="I126" s="16">
        <f t="shared" si="51"/>
        <v>44183193</v>
      </c>
      <c r="J126" s="16"/>
      <c r="K126" s="16">
        <v>1576763</v>
      </c>
      <c r="L126" s="16"/>
      <c r="M126" s="16">
        <v>18853051</v>
      </c>
      <c r="N126" s="16"/>
      <c r="O126" s="16">
        <f t="shared" si="52"/>
        <v>20429814</v>
      </c>
      <c r="P126" s="16"/>
      <c r="Q126" s="16">
        <v>17025545</v>
      </c>
      <c r="R126" s="16"/>
      <c r="S126" s="16">
        <v>472598</v>
      </c>
      <c r="T126" s="16"/>
      <c r="U126" s="16">
        <v>4850256</v>
      </c>
      <c r="V126" s="16"/>
      <c r="W126" s="16">
        <f t="shared" si="39"/>
        <v>22348399</v>
      </c>
      <c r="X126" s="16"/>
      <c r="Y126" s="6" t="s">
        <v>139</v>
      </c>
      <c r="AA126" s="6" t="s">
        <v>25</v>
      </c>
      <c r="AB126" s="6"/>
      <c r="AC126" s="16">
        <v>7273475</v>
      </c>
      <c r="AD126" s="16"/>
      <c r="AE126" s="16">
        <f>4829270-852420</f>
        <v>3976850</v>
      </c>
      <c r="AF126" s="16"/>
      <c r="AG126" s="16">
        <v>852420</v>
      </c>
      <c r="AH126" s="16"/>
      <c r="AI126" s="8">
        <f t="shared" si="53"/>
        <v>2444205</v>
      </c>
      <c r="AJ126" s="8"/>
      <c r="AK126" s="16">
        <v>1116309</v>
      </c>
      <c r="AL126" s="8"/>
      <c r="AM126" s="16">
        <v>0</v>
      </c>
      <c r="AN126" s="16"/>
      <c r="AO126" s="16">
        <v>1491611</v>
      </c>
      <c r="AP126" s="16"/>
      <c r="AQ126" s="16">
        <v>0</v>
      </c>
      <c r="AR126" s="16"/>
      <c r="AS126" s="8">
        <f t="shared" si="54"/>
        <v>2068903</v>
      </c>
      <c r="AT126" s="8"/>
      <c r="AU126" s="16">
        <v>0</v>
      </c>
      <c r="AV126" s="16"/>
      <c r="AW126" s="16">
        <v>0</v>
      </c>
      <c r="AX126" s="16"/>
      <c r="AY126" s="16">
        <f t="shared" si="40"/>
        <v>5941013</v>
      </c>
      <c r="AZ126" s="16"/>
      <c r="BA126" s="6" t="s">
        <v>139</v>
      </c>
      <c r="BC126" s="6" t="s">
        <v>25</v>
      </c>
      <c r="BD126" s="16"/>
      <c r="BE126" s="16">
        <f>5849985+483011</f>
        <v>6332996</v>
      </c>
      <c r="BF126" s="16"/>
      <c r="BG126" s="16">
        <f>11487836+430000</f>
        <v>11917836</v>
      </c>
      <c r="BH126" s="16"/>
      <c r="BI126" s="16">
        <f>267337+34486</f>
        <v>301823</v>
      </c>
      <c r="BJ126" s="16"/>
      <c r="BK126" s="16">
        <f>173324+1074569+148369+80650</f>
        <v>1476912</v>
      </c>
      <c r="BL126" s="16"/>
      <c r="BM126" s="16">
        <f t="shared" si="41"/>
        <v>20029567</v>
      </c>
      <c r="BN126" s="17" t="s">
        <v>345</v>
      </c>
      <c r="BO126" s="6"/>
      <c r="BP126" s="6"/>
      <c r="BQ126" s="18"/>
      <c r="BR126" s="14"/>
      <c r="BS126" s="16"/>
      <c r="BT126" s="16"/>
      <c r="BU126" s="16"/>
      <c r="BV126" s="16"/>
      <c r="BX126" s="8"/>
      <c r="BY126" s="16"/>
      <c r="BZ126" s="16"/>
      <c r="CA126" s="16"/>
      <c r="CB126" s="16"/>
      <c r="CC126" s="16"/>
      <c r="CD126" s="16"/>
      <c r="CE126" s="16"/>
      <c r="CF126" s="6"/>
      <c r="CG126" s="18"/>
      <c r="CH126" s="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7"/>
      <c r="CT126" s="6"/>
      <c r="CU126" s="6"/>
    </row>
    <row r="127" spans="1:104" ht="12.75" customHeight="1" x14ac:dyDescent="0.2">
      <c r="A127" s="6" t="s">
        <v>140</v>
      </c>
      <c r="C127" s="6" t="s">
        <v>100</v>
      </c>
      <c r="E127" s="16">
        <v>13766972</v>
      </c>
      <c r="F127" s="16"/>
      <c r="G127" s="16">
        <v>71458580</v>
      </c>
      <c r="H127" s="16"/>
      <c r="I127" s="16">
        <f t="shared" si="51"/>
        <v>85225552</v>
      </c>
      <c r="J127" s="16"/>
      <c r="K127" s="16">
        <v>6014673</v>
      </c>
      <c r="L127" s="16"/>
      <c r="M127" s="16">
        <v>58123717</v>
      </c>
      <c r="N127" s="16"/>
      <c r="O127" s="16">
        <f t="shared" si="52"/>
        <v>64138390</v>
      </c>
      <c r="P127" s="16"/>
      <c r="Q127" s="16">
        <v>7377763</v>
      </c>
      <c r="R127" s="16"/>
      <c r="S127" s="16">
        <v>1908736</v>
      </c>
      <c r="T127" s="16"/>
      <c r="U127" s="16">
        <v>12140253</v>
      </c>
      <c r="V127" s="16"/>
      <c r="W127" s="16">
        <f t="shared" si="39"/>
        <v>21426752</v>
      </c>
      <c r="X127" s="16"/>
      <c r="Y127" s="6" t="s">
        <v>140</v>
      </c>
      <c r="AA127" s="6" t="s">
        <v>100</v>
      </c>
      <c r="AB127" s="6"/>
      <c r="AC127" s="16">
        <v>10620930</v>
      </c>
      <c r="AD127" s="16"/>
      <c r="AE127" s="16">
        <f>7651186-3354085</f>
        <v>4297101</v>
      </c>
      <c r="AF127" s="16"/>
      <c r="AG127" s="16">
        <v>3354085</v>
      </c>
      <c r="AH127" s="16"/>
      <c r="AI127" s="8">
        <f t="shared" si="53"/>
        <v>2969744</v>
      </c>
      <c r="AJ127" s="8"/>
      <c r="AK127" s="16">
        <v>-2330633</v>
      </c>
      <c r="AL127" s="8"/>
      <c r="AM127" s="16">
        <v>0</v>
      </c>
      <c r="AN127" s="16"/>
      <c r="AO127" s="16">
        <v>0</v>
      </c>
      <c r="AP127" s="16"/>
      <c r="AQ127" s="16">
        <v>170824</v>
      </c>
      <c r="AR127" s="16"/>
      <c r="AS127" s="8">
        <f t="shared" si="54"/>
        <v>809935</v>
      </c>
      <c r="AT127" s="8"/>
      <c r="AU127" s="16">
        <v>0</v>
      </c>
      <c r="AV127" s="16"/>
      <c r="AW127" s="16">
        <v>0</v>
      </c>
      <c r="AX127" s="16"/>
      <c r="AY127" s="16">
        <f t="shared" si="40"/>
        <v>7752299</v>
      </c>
      <c r="AZ127" s="16"/>
      <c r="BA127" s="6" t="s">
        <v>140</v>
      </c>
      <c r="BC127" s="6" t="s">
        <v>100</v>
      </c>
      <c r="BD127" s="16"/>
      <c r="BE127" s="16">
        <v>0</v>
      </c>
      <c r="BF127" s="16"/>
      <c r="BG127" s="16">
        <f>22463758+760000</f>
        <v>23223758</v>
      </c>
      <c r="BH127" s="16"/>
      <c r="BI127" s="16">
        <f>35233682+3268787</f>
        <v>38502469</v>
      </c>
      <c r="BJ127" s="16"/>
      <c r="BK127" s="16">
        <f>426277+32077</f>
        <v>458354</v>
      </c>
      <c r="BL127" s="16"/>
      <c r="BM127" s="16">
        <f t="shared" si="41"/>
        <v>62184581</v>
      </c>
      <c r="BN127" s="17" t="s">
        <v>345</v>
      </c>
      <c r="BO127" s="18" t="s">
        <v>403</v>
      </c>
      <c r="BP127" s="18"/>
      <c r="BQ127" s="18"/>
      <c r="BR127" s="14"/>
      <c r="BS127" s="16"/>
      <c r="BT127" s="16"/>
      <c r="BU127" s="16"/>
      <c r="BV127" s="16"/>
      <c r="BW127" s="16"/>
      <c r="BX127" s="8"/>
      <c r="BY127" s="8"/>
      <c r="BZ127" s="16"/>
      <c r="CA127" s="16"/>
      <c r="CB127" s="16"/>
      <c r="CC127" s="16"/>
      <c r="CD127" s="16"/>
      <c r="CE127" s="16"/>
      <c r="CF127" s="6"/>
      <c r="CG127" s="18"/>
      <c r="CH127" s="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7"/>
    </row>
    <row r="128" spans="1:104" ht="12.75" customHeight="1" x14ac:dyDescent="0.2">
      <c r="A128" s="6" t="s">
        <v>141</v>
      </c>
      <c r="C128" s="6" t="s">
        <v>109</v>
      </c>
      <c r="E128" s="16">
        <v>4278190</v>
      </c>
      <c r="F128" s="16"/>
      <c r="G128" s="16">
        <v>25713791</v>
      </c>
      <c r="H128" s="16"/>
      <c r="I128" s="16">
        <f t="shared" si="51"/>
        <v>29991981</v>
      </c>
      <c r="J128" s="16"/>
      <c r="K128" s="16">
        <v>160821</v>
      </c>
      <c r="L128" s="16"/>
      <c r="M128" s="16">
        <v>8778797</v>
      </c>
      <c r="N128" s="16"/>
      <c r="O128" s="16">
        <f t="shared" si="52"/>
        <v>8939618</v>
      </c>
      <c r="P128" s="16"/>
      <c r="Q128" s="16">
        <v>15838150</v>
      </c>
      <c r="R128" s="16"/>
      <c r="S128" s="16">
        <f>906681+240000</f>
        <v>1146681</v>
      </c>
      <c r="T128" s="16"/>
      <c r="U128" s="16">
        <v>4290173</v>
      </c>
      <c r="V128" s="16"/>
      <c r="W128" s="16">
        <f t="shared" si="39"/>
        <v>21275004</v>
      </c>
      <c r="X128" s="16"/>
      <c r="Y128" s="6" t="s">
        <v>141</v>
      </c>
      <c r="AA128" s="6" t="s">
        <v>109</v>
      </c>
      <c r="AB128" s="6"/>
      <c r="AC128" s="16">
        <v>3505373</v>
      </c>
      <c r="AD128" s="16"/>
      <c r="AE128" s="16">
        <f>3105703-988252</f>
        <v>2117451</v>
      </c>
      <c r="AF128" s="16"/>
      <c r="AG128" s="16">
        <v>988252</v>
      </c>
      <c r="AH128" s="16"/>
      <c r="AI128" s="8">
        <f t="shared" si="53"/>
        <v>399670</v>
      </c>
      <c r="AJ128" s="8"/>
      <c r="AK128" s="16">
        <v>-541250</v>
      </c>
      <c r="AL128" s="8"/>
      <c r="AM128" s="16">
        <v>0</v>
      </c>
      <c r="AN128" s="16"/>
      <c r="AO128" s="16">
        <v>0</v>
      </c>
      <c r="AP128" s="16"/>
      <c r="AQ128" s="16">
        <v>249255</v>
      </c>
      <c r="AR128" s="16"/>
      <c r="AS128" s="8">
        <f t="shared" si="54"/>
        <v>107675</v>
      </c>
      <c r="AT128" s="8"/>
      <c r="AU128" s="16">
        <v>0</v>
      </c>
      <c r="AV128" s="16"/>
      <c r="AW128" s="16">
        <v>0</v>
      </c>
      <c r="AX128" s="16"/>
      <c r="AY128" s="16">
        <f t="shared" si="40"/>
        <v>4117369</v>
      </c>
      <c r="AZ128" s="16"/>
      <c r="BA128" s="6" t="s">
        <v>141</v>
      </c>
      <c r="BC128" s="6" t="s">
        <v>109</v>
      </c>
      <c r="BD128" s="16"/>
      <c r="BE128" s="16">
        <v>0</v>
      </c>
      <c r="BF128" s="16"/>
      <c r="BG128" s="16">
        <f>535000+8193960</f>
        <v>8728960</v>
      </c>
      <c r="BH128" s="16"/>
      <c r="BI128" s="16">
        <v>0</v>
      </c>
      <c r="BJ128" s="16"/>
      <c r="BK128" s="16">
        <f>49837+12643</f>
        <v>62480</v>
      </c>
      <c r="BL128" s="16"/>
      <c r="BM128" s="16">
        <f t="shared" si="41"/>
        <v>8791440</v>
      </c>
      <c r="BN128" s="17" t="s">
        <v>345</v>
      </c>
      <c r="BO128" s="6"/>
      <c r="BP128" s="18"/>
      <c r="BQ128" s="18"/>
      <c r="BR128" s="14"/>
      <c r="BS128" s="16"/>
      <c r="BT128" s="16"/>
      <c r="BU128" s="16"/>
      <c r="BV128" s="16"/>
      <c r="BX128" s="8"/>
      <c r="BY128" s="16"/>
      <c r="BZ128" s="16"/>
      <c r="CA128" s="16"/>
      <c r="CB128" s="16"/>
      <c r="CC128" s="16"/>
      <c r="CD128" s="16"/>
      <c r="CE128" s="16"/>
      <c r="CF128" s="6"/>
      <c r="CG128" s="18"/>
      <c r="CH128" s="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7"/>
      <c r="CT128" s="6"/>
    </row>
    <row r="129" spans="1:104" ht="12.75" customHeight="1" x14ac:dyDescent="0.2">
      <c r="A129" s="6" t="s">
        <v>142</v>
      </c>
      <c r="C129" s="6" t="s">
        <v>86</v>
      </c>
      <c r="E129" s="16">
        <v>9036842</v>
      </c>
      <c r="F129" s="16"/>
      <c r="G129" s="16">
        <v>47625995</v>
      </c>
      <c r="H129" s="16"/>
      <c r="I129" s="16">
        <f t="shared" si="51"/>
        <v>56662837</v>
      </c>
      <c r="J129" s="16"/>
      <c r="K129" s="16">
        <v>1367889</v>
      </c>
      <c r="L129" s="16"/>
      <c r="M129" s="16">
        <v>27846725</v>
      </c>
      <c r="N129" s="16"/>
      <c r="O129" s="16">
        <f t="shared" si="52"/>
        <v>29214614</v>
      </c>
      <c r="P129" s="16"/>
      <c r="Q129" s="16">
        <v>16262791</v>
      </c>
      <c r="R129" s="16"/>
      <c r="S129" s="16">
        <v>0</v>
      </c>
      <c r="T129" s="16"/>
      <c r="U129" s="16">
        <v>10136054</v>
      </c>
      <c r="V129" s="16"/>
      <c r="W129" s="16">
        <f t="shared" si="39"/>
        <v>26398845</v>
      </c>
      <c r="X129" s="16"/>
      <c r="Y129" s="6" t="s">
        <v>142</v>
      </c>
      <c r="AA129" s="6" t="s">
        <v>86</v>
      </c>
      <c r="AB129" s="6"/>
      <c r="AC129" s="16">
        <v>10144675</v>
      </c>
      <c r="AD129" s="16"/>
      <c r="AE129" s="16">
        <f>7296067-1774630</f>
        <v>5521437</v>
      </c>
      <c r="AF129" s="16"/>
      <c r="AG129" s="16">
        <v>1774630</v>
      </c>
      <c r="AH129" s="16"/>
      <c r="AI129" s="8">
        <f t="shared" si="53"/>
        <v>2848608</v>
      </c>
      <c r="AJ129" s="8"/>
      <c r="AK129" s="16">
        <v>-978614</v>
      </c>
      <c r="AL129" s="8"/>
      <c r="AM129" s="16">
        <v>0</v>
      </c>
      <c r="AN129" s="16"/>
      <c r="AO129" s="16">
        <v>0</v>
      </c>
      <c r="AP129" s="16"/>
      <c r="AQ129" s="16">
        <v>0</v>
      </c>
      <c r="AR129" s="16"/>
      <c r="AS129" s="8">
        <f t="shared" si="54"/>
        <v>1869994</v>
      </c>
      <c r="AT129" s="8"/>
      <c r="AU129" s="16">
        <v>0</v>
      </c>
      <c r="AV129" s="16"/>
      <c r="AW129" s="16">
        <v>0</v>
      </c>
      <c r="AX129" s="16"/>
      <c r="AY129" s="16">
        <f t="shared" si="40"/>
        <v>7668953</v>
      </c>
      <c r="AZ129" s="16"/>
      <c r="BA129" s="6" t="s">
        <v>142</v>
      </c>
      <c r="BC129" s="6" t="s">
        <v>86</v>
      </c>
      <c r="BD129" s="16"/>
      <c r="BE129" s="16">
        <f>4655912+306895</f>
        <v>4962807</v>
      </c>
      <c r="BF129" s="16"/>
      <c r="BG129" s="16">
        <v>19362250</v>
      </c>
      <c r="BH129" s="16"/>
      <c r="BI129" s="16">
        <f>3561741+375311</f>
        <v>3937052</v>
      </c>
      <c r="BJ129" s="16"/>
      <c r="BK129" s="16">
        <f>264532+2290+26797+33941</f>
        <v>327560</v>
      </c>
      <c r="BL129" s="16"/>
      <c r="BM129" s="16">
        <f t="shared" si="41"/>
        <v>28589669</v>
      </c>
      <c r="BN129" s="17" t="s">
        <v>345</v>
      </c>
      <c r="BP129" s="18"/>
      <c r="BQ129" s="18"/>
      <c r="BR129" s="14"/>
      <c r="BS129" s="16"/>
      <c r="BT129" s="16"/>
      <c r="BU129" s="16"/>
      <c r="BV129" s="16"/>
      <c r="BW129" s="16"/>
      <c r="BX129" s="8"/>
      <c r="BY129" s="8"/>
      <c r="BZ129" s="16"/>
      <c r="CA129" s="16"/>
      <c r="CB129" s="16"/>
      <c r="CC129" s="16"/>
      <c r="CD129" s="16"/>
      <c r="CE129" s="16"/>
      <c r="CF129" s="7"/>
      <c r="CG129" s="18"/>
      <c r="CH129" s="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7"/>
    </row>
    <row r="130" spans="1:104" ht="12.75" customHeight="1" x14ac:dyDescent="0.2">
      <c r="A130" s="6" t="s">
        <v>34</v>
      </c>
      <c r="C130" s="6" t="s">
        <v>143</v>
      </c>
      <c r="E130" s="16">
        <v>1269671</v>
      </c>
      <c r="F130" s="16"/>
      <c r="G130" s="16">
        <v>15746187</v>
      </c>
      <c r="H130" s="16"/>
      <c r="I130" s="16">
        <f t="shared" si="51"/>
        <v>17015858</v>
      </c>
      <c r="J130" s="16"/>
      <c r="K130" s="16">
        <v>887237</v>
      </c>
      <c r="L130" s="16"/>
      <c r="M130" s="16">
        <v>7730224</v>
      </c>
      <c r="N130" s="16"/>
      <c r="O130" s="16">
        <f t="shared" si="52"/>
        <v>8617461</v>
      </c>
      <c r="P130" s="16"/>
      <c r="Q130" s="16">
        <v>7607332</v>
      </c>
      <c r="R130" s="16"/>
      <c r="S130" s="16">
        <v>0</v>
      </c>
      <c r="T130" s="16"/>
      <c r="U130" s="16">
        <v>791065</v>
      </c>
      <c r="V130" s="16"/>
      <c r="W130" s="16">
        <f t="shared" si="39"/>
        <v>8398397</v>
      </c>
      <c r="X130" s="16"/>
      <c r="Y130" s="6" t="s">
        <v>34</v>
      </c>
      <c r="AA130" s="6" t="s">
        <v>143</v>
      </c>
      <c r="AB130" s="6"/>
      <c r="AC130" s="16">
        <v>1352418</v>
      </c>
      <c r="AD130" s="16"/>
      <c r="AE130" s="16">
        <f>937189-236802</f>
        <v>700387</v>
      </c>
      <c r="AF130" s="16"/>
      <c r="AG130" s="16">
        <v>236802</v>
      </c>
      <c r="AH130" s="16"/>
      <c r="AI130" s="8">
        <f t="shared" si="53"/>
        <v>415229</v>
      </c>
      <c r="AJ130" s="8"/>
      <c r="AK130" s="16">
        <v>241087</v>
      </c>
      <c r="AL130" s="8"/>
      <c r="AM130" s="16">
        <v>0</v>
      </c>
      <c r="AN130" s="16"/>
      <c r="AO130" s="16">
        <v>0</v>
      </c>
      <c r="AP130" s="16"/>
      <c r="AQ130" s="16">
        <v>0</v>
      </c>
      <c r="AR130" s="16"/>
      <c r="AS130" s="8">
        <f t="shared" si="54"/>
        <v>656316</v>
      </c>
      <c r="AT130" s="8"/>
      <c r="AU130" s="16">
        <v>0</v>
      </c>
      <c r="AV130" s="16"/>
      <c r="AW130" s="16">
        <v>0</v>
      </c>
      <c r="AX130" s="16"/>
      <c r="AY130" s="16">
        <f t="shared" si="40"/>
        <v>382434</v>
      </c>
      <c r="AZ130" s="16"/>
      <c r="BA130" s="6" t="s">
        <v>34</v>
      </c>
      <c r="BC130" s="6" t="s">
        <v>143</v>
      </c>
      <c r="BD130" s="16"/>
      <c r="BE130" s="16">
        <v>0</v>
      </c>
      <c r="BF130" s="16"/>
      <c r="BG130" s="16">
        <v>0</v>
      </c>
      <c r="BH130" s="16"/>
      <c r="BI130" s="16">
        <f>7676731+100227</f>
        <v>7776958</v>
      </c>
      <c r="BJ130" s="16"/>
      <c r="BK130" s="16">
        <f>53493+23153</f>
        <v>76646</v>
      </c>
      <c r="BL130" s="16"/>
      <c r="BM130" s="16">
        <f t="shared" si="41"/>
        <v>7853604</v>
      </c>
      <c r="BN130" s="17" t="s">
        <v>345</v>
      </c>
      <c r="BP130" s="18"/>
      <c r="BQ130" s="18"/>
      <c r="BR130" s="14"/>
      <c r="BS130" s="16"/>
      <c r="BT130" s="16"/>
      <c r="BU130" s="16"/>
      <c r="BV130" s="16"/>
      <c r="BW130" s="16"/>
      <c r="BX130" s="8"/>
      <c r="BY130" s="8"/>
      <c r="BZ130" s="16"/>
      <c r="CA130" s="16"/>
      <c r="CB130" s="16"/>
      <c r="CC130" s="16"/>
      <c r="CD130" s="16"/>
      <c r="CE130" s="16"/>
      <c r="CF130" s="6"/>
      <c r="CG130" s="18"/>
      <c r="CH130" s="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7"/>
    </row>
    <row r="131" spans="1:104" ht="12.75" customHeight="1" x14ac:dyDescent="0.2">
      <c r="A131" s="6" t="s">
        <v>144</v>
      </c>
      <c r="B131" s="18"/>
      <c r="C131" s="6" t="s">
        <v>145</v>
      </c>
      <c r="E131" s="16">
        <v>2307133</v>
      </c>
      <c r="F131" s="16"/>
      <c r="G131" s="16">
        <v>30227860</v>
      </c>
      <c r="H131" s="16"/>
      <c r="I131" s="16">
        <f t="shared" si="51"/>
        <v>32534993</v>
      </c>
      <c r="J131" s="16"/>
      <c r="K131" s="16">
        <v>1605662</v>
      </c>
      <c r="L131" s="16"/>
      <c r="M131" s="16">
        <v>25138692</v>
      </c>
      <c r="N131" s="16"/>
      <c r="O131" s="16">
        <f t="shared" si="52"/>
        <v>26744354</v>
      </c>
      <c r="P131" s="16"/>
      <c r="Q131" s="16">
        <v>3592737</v>
      </c>
      <c r="R131" s="16"/>
      <c r="S131" s="16">
        <v>0</v>
      </c>
      <c r="T131" s="16"/>
      <c r="U131" s="16">
        <v>2197902</v>
      </c>
      <c r="V131" s="16"/>
      <c r="W131" s="16">
        <f t="shared" si="39"/>
        <v>5790639</v>
      </c>
      <c r="X131" s="16"/>
      <c r="Y131" s="6" t="s">
        <v>144</v>
      </c>
      <c r="AA131" s="6" t="s">
        <v>145</v>
      </c>
      <c r="AB131" s="6"/>
      <c r="AC131" s="16">
        <v>2857137</v>
      </c>
      <c r="AD131" s="16"/>
      <c r="AE131" s="16">
        <f>2471139-1628969</f>
        <v>842170</v>
      </c>
      <c r="AF131" s="16"/>
      <c r="AG131" s="16">
        <v>1628969</v>
      </c>
      <c r="AH131" s="16"/>
      <c r="AI131" s="8">
        <f t="shared" si="53"/>
        <v>385998</v>
      </c>
      <c r="AJ131" s="8"/>
      <c r="AK131" s="16">
        <v>-243737</v>
      </c>
      <c r="AL131" s="8"/>
      <c r="AM131" s="16">
        <v>0</v>
      </c>
      <c r="AN131" s="16"/>
      <c r="AO131" s="16">
        <v>0</v>
      </c>
      <c r="AP131" s="16"/>
      <c r="AQ131" s="16">
        <v>0</v>
      </c>
      <c r="AR131" s="16"/>
      <c r="AS131" s="8">
        <f t="shared" si="54"/>
        <v>142261</v>
      </c>
      <c r="AT131" s="8"/>
      <c r="AU131" s="16">
        <v>0</v>
      </c>
      <c r="AV131" s="16"/>
      <c r="AW131" s="16">
        <v>0</v>
      </c>
      <c r="AX131" s="16"/>
      <c r="AY131" s="16">
        <f t="shared" si="40"/>
        <v>701471</v>
      </c>
      <c r="AZ131" s="16"/>
      <c r="BA131" s="6" t="s">
        <v>144</v>
      </c>
      <c r="BC131" s="6" t="s">
        <v>145</v>
      </c>
      <c r="BD131" s="16"/>
      <c r="BE131" s="16">
        <v>0</v>
      </c>
      <c r="BF131" s="16"/>
      <c r="BG131" s="16">
        <v>0</v>
      </c>
      <c r="BH131" s="16"/>
      <c r="BI131" s="16">
        <f>25068246+1566877</f>
        <v>26635123</v>
      </c>
      <c r="BJ131" s="16"/>
      <c r="BK131" s="16">
        <f>40000+30446+10772</f>
        <v>81218</v>
      </c>
      <c r="BL131" s="16"/>
      <c r="BM131" s="16">
        <f t="shared" si="41"/>
        <v>26716341</v>
      </c>
      <c r="BN131" s="17" t="s">
        <v>345</v>
      </c>
      <c r="BP131" s="18"/>
      <c r="BQ131" s="18"/>
      <c r="BR131" s="14"/>
      <c r="BS131" s="16"/>
      <c r="BT131" s="16"/>
      <c r="BU131" s="16"/>
      <c r="BV131" s="16"/>
      <c r="BW131" s="16"/>
      <c r="BX131" s="8"/>
      <c r="BY131" s="8"/>
      <c r="BZ131" s="16"/>
      <c r="CA131" s="16"/>
      <c r="CB131" s="16"/>
      <c r="CC131" s="16"/>
      <c r="CD131" s="16"/>
      <c r="CE131" s="16"/>
      <c r="CF131" s="6"/>
      <c r="CG131" s="18"/>
      <c r="CH131" s="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7"/>
    </row>
    <row r="132" spans="1:104" ht="12.75" customHeight="1" x14ac:dyDescent="0.2">
      <c r="A132" s="6" t="s">
        <v>15</v>
      </c>
      <c r="C132" s="6" t="s">
        <v>15</v>
      </c>
      <c r="E132" s="16">
        <v>12256796</v>
      </c>
      <c r="F132" s="16"/>
      <c r="G132" s="16">
        <v>85809212</v>
      </c>
      <c r="H132" s="16"/>
      <c r="I132" s="16">
        <f t="shared" si="51"/>
        <v>98066008</v>
      </c>
      <c r="J132" s="16"/>
      <c r="K132" s="16">
        <v>4752432</v>
      </c>
      <c r="L132" s="16"/>
      <c r="M132" s="16">
        <v>38200279</v>
      </c>
      <c r="N132" s="16"/>
      <c r="O132" s="16">
        <f t="shared" si="52"/>
        <v>42952711</v>
      </c>
      <c r="P132" s="16"/>
      <c r="Q132" s="16">
        <v>45812888</v>
      </c>
      <c r="R132" s="16"/>
      <c r="S132" s="16">
        <f>525518+1515668</f>
        <v>2041186</v>
      </c>
      <c r="T132" s="16"/>
      <c r="U132" s="16">
        <v>7259223</v>
      </c>
      <c r="V132" s="16"/>
      <c r="W132" s="16">
        <f t="shared" si="39"/>
        <v>55113297</v>
      </c>
      <c r="X132" s="16"/>
      <c r="Y132" s="6" t="s">
        <v>15</v>
      </c>
      <c r="AA132" s="6" t="s">
        <v>15</v>
      </c>
      <c r="AB132" s="6"/>
      <c r="AC132" s="16">
        <v>14317023</v>
      </c>
      <c r="AD132" s="16"/>
      <c r="AE132" s="16">
        <f>12318705-2008476</f>
        <v>10310229</v>
      </c>
      <c r="AF132" s="16"/>
      <c r="AG132" s="16">
        <v>2008476</v>
      </c>
      <c r="AH132" s="16"/>
      <c r="AI132" s="8">
        <f t="shared" si="53"/>
        <v>1998318</v>
      </c>
      <c r="AJ132" s="8"/>
      <c r="AK132" s="16">
        <v>1218755</v>
      </c>
      <c r="AL132" s="8"/>
      <c r="AM132" s="16">
        <v>20000</v>
      </c>
      <c r="AN132" s="16"/>
      <c r="AO132" s="16">
        <v>50000</v>
      </c>
      <c r="AP132" s="16"/>
      <c r="AQ132" s="16">
        <v>0</v>
      </c>
      <c r="AR132" s="16"/>
      <c r="AS132" s="8">
        <f t="shared" si="54"/>
        <v>3187073</v>
      </c>
      <c r="AT132" s="8"/>
      <c r="AU132" s="16">
        <v>0</v>
      </c>
      <c r="AV132" s="16"/>
      <c r="AW132" s="16">
        <v>0</v>
      </c>
      <c r="AX132" s="16"/>
      <c r="AY132" s="16">
        <f t="shared" si="40"/>
        <v>7504364</v>
      </c>
      <c r="AZ132" s="16"/>
      <c r="BA132" s="6" t="s">
        <v>15</v>
      </c>
      <c r="BC132" s="6" t="s">
        <v>15</v>
      </c>
      <c r="BD132" s="16"/>
      <c r="BE132" s="16">
        <f>53903+25533</f>
        <v>79436</v>
      </c>
      <c r="BF132" s="16"/>
      <c r="BG132" s="16">
        <v>0</v>
      </c>
      <c r="BH132" s="16"/>
      <c r="BI132" s="16">
        <f>36664942+2138794</f>
        <v>38803736</v>
      </c>
      <c r="BJ132" s="16"/>
      <c r="BK132" s="16">
        <f>678553+640638+162243+165878+48567+120000</f>
        <v>1815879</v>
      </c>
      <c r="BL132" s="16"/>
      <c r="BM132" s="16">
        <f t="shared" si="41"/>
        <v>40699051</v>
      </c>
      <c r="BN132" s="17" t="s">
        <v>345</v>
      </c>
      <c r="BP132" s="18"/>
      <c r="BQ132" s="18"/>
      <c r="BR132" s="14"/>
      <c r="BS132" s="16"/>
      <c r="BT132" s="16"/>
      <c r="BU132" s="16"/>
      <c r="BV132" s="16"/>
      <c r="BW132" s="16"/>
      <c r="BX132" s="8"/>
      <c r="BY132" s="8"/>
      <c r="BZ132" s="16"/>
      <c r="CA132" s="16"/>
      <c r="CB132" s="16"/>
      <c r="CC132" s="16"/>
      <c r="CD132" s="16"/>
      <c r="CE132" s="16"/>
      <c r="CF132" s="6"/>
      <c r="CG132" s="18"/>
      <c r="CH132" s="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7"/>
    </row>
    <row r="133" spans="1:104" ht="12.75" customHeight="1" x14ac:dyDescent="0.2">
      <c r="A133" s="6" t="s">
        <v>146</v>
      </c>
      <c r="C133" s="6" t="s">
        <v>13</v>
      </c>
      <c r="E133" s="16">
        <v>1774255</v>
      </c>
      <c r="F133" s="16"/>
      <c r="G133" s="16">
        <v>5156763</v>
      </c>
      <c r="H133" s="16"/>
      <c r="I133" s="16">
        <f t="shared" si="51"/>
        <v>6931018</v>
      </c>
      <c r="J133" s="16"/>
      <c r="K133" s="16">
        <v>1143081</v>
      </c>
      <c r="L133" s="16"/>
      <c r="M133" s="16">
        <v>547847</v>
      </c>
      <c r="N133" s="16"/>
      <c r="O133" s="16">
        <f t="shared" si="52"/>
        <v>1690928</v>
      </c>
      <c r="P133" s="16"/>
      <c r="Q133" s="16">
        <v>4324699</v>
      </c>
      <c r="R133" s="16"/>
      <c r="S133" s="16">
        <v>0</v>
      </c>
      <c r="T133" s="16"/>
      <c r="U133" s="16">
        <v>915391</v>
      </c>
      <c r="V133" s="16"/>
      <c r="W133" s="16">
        <f t="shared" si="39"/>
        <v>5240090</v>
      </c>
      <c r="X133" s="16"/>
      <c r="Y133" s="6" t="s">
        <v>146</v>
      </c>
      <c r="AA133" s="6" t="s">
        <v>13</v>
      </c>
      <c r="AB133" s="6"/>
      <c r="AC133" s="16">
        <v>938589</v>
      </c>
      <c r="AD133" s="16"/>
      <c r="AE133" s="16">
        <f>997497-204452</f>
        <v>793045</v>
      </c>
      <c r="AF133" s="16"/>
      <c r="AG133" s="16">
        <v>204452</v>
      </c>
      <c r="AH133" s="16"/>
      <c r="AI133" s="8">
        <f t="shared" si="53"/>
        <v>-58908</v>
      </c>
      <c r="AJ133" s="8"/>
      <c r="AK133" s="16">
        <v>505480</v>
      </c>
      <c r="AL133" s="8"/>
      <c r="AM133" s="16">
        <v>0</v>
      </c>
      <c r="AN133" s="16"/>
      <c r="AO133" s="16">
        <v>0</v>
      </c>
      <c r="AP133" s="16"/>
      <c r="AQ133" s="16">
        <v>0</v>
      </c>
      <c r="AR133" s="16"/>
      <c r="AS133" s="8">
        <f t="shared" si="54"/>
        <v>446572</v>
      </c>
      <c r="AT133" s="8"/>
      <c r="AU133" s="16">
        <v>0</v>
      </c>
      <c r="AV133" s="16"/>
      <c r="AW133" s="16">
        <v>0</v>
      </c>
      <c r="AX133" s="16"/>
      <c r="AY133" s="16">
        <f t="shared" si="40"/>
        <v>631174</v>
      </c>
      <c r="AZ133" s="16"/>
      <c r="BA133" s="6" t="s">
        <v>146</v>
      </c>
      <c r="BC133" s="6" t="s">
        <v>13</v>
      </c>
      <c r="BD133" s="16"/>
      <c r="BE133" s="16">
        <f>501928+281600</f>
        <v>783528</v>
      </c>
      <c r="BF133" s="16"/>
      <c r="BG133" s="16">
        <v>0</v>
      </c>
      <c r="BH133" s="16"/>
      <c r="BI133" s="16">
        <v>0</v>
      </c>
      <c r="BJ133" s="16"/>
      <c r="BK133" s="16">
        <f>21203+24716+23820+29623</f>
        <v>99362</v>
      </c>
      <c r="BL133" s="16"/>
      <c r="BM133" s="16">
        <f t="shared" si="41"/>
        <v>882890</v>
      </c>
      <c r="BN133" s="17" t="s">
        <v>345</v>
      </c>
      <c r="BP133" s="18"/>
      <c r="BQ133" s="18"/>
      <c r="BR133" s="14"/>
      <c r="BS133" s="16"/>
      <c r="BT133" s="16"/>
      <c r="BU133" s="16"/>
      <c r="BV133" s="16"/>
      <c r="BW133" s="16"/>
      <c r="BX133" s="8"/>
      <c r="BY133" s="8"/>
      <c r="BZ133" s="16"/>
      <c r="CA133" s="16"/>
      <c r="CB133" s="16"/>
      <c r="CC133" s="16"/>
      <c r="CD133" s="16"/>
      <c r="CE133" s="16"/>
      <c r="CF133" s="6"/>
      <c r="CG133" s="18"/>
      <c r="CH133" s="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7"/>
    </row>
    <row r="134" spans="1:104" ht="12.75" customHeight="1" x14ac:dyDescent="0.2">
      <c r="A134" s="6" t="s">
        <v>147</v>
      </c>
      <c r="C134" s="6" t="s">
        <v>43</v>
      </c>
      <c r="E134" s="16">
        <v>1105373</v>
      </c>
      <c r="F134" s="16"/>
      <c r="G134" s="16">
        <f>59490+1186585</f>
        <v>1246075</v>
      </c>
      <c r="H134" s="16"/>
      <c r="I134" s="16">
        <f t="shared" si="51"/>
        <v>2351448</v>
      </c>
      <c r="J134" s="16"/>
      <c r="K134" s="16">
        <v>524186</v>
      </c>
      <c r="L134" s="16"/>
      <c r="M134" s="16">
        <v>3200</v>
      </c>
      <c r="N134" s="16"/>
      <c r="O134" s="16">
        <f t="shared" si="52"/>
        <v>527386</v>
      </c>
      <c r="P134" s="16"/>
      <c r="Q134" s="16">
        <v>1238875</v>
      </c>
      <c r="R134" s="16"/>
      <c r="S134" s="16">
        <v>0</v>
      </c>
      <c r="T134" s="16"/>
      <c r="U134" s="16">
        <v>585187</v>
      </c>
      <c r="V134" s="16"/>
      <c r="W134" s="16">
        <f t="shared" si="39"/>
        <v>1824062</v>
      </c>
      <c r="X134" s="16"/>
      <c r="Y134" s="6" t="s">
        <v>147</v>
      </c>
      <c r="AA134" s="6" t="s">
        <v>43</v>
      </c>
      <c r="AB134" s="6"/>
      <c r="AC134" s="16">
        <v>3280557</v>
      </c>
      <c r="AD134" s="16"/>
      <c r="AE134" s="16">
        <f>3297257-57895</f>
        <v>3239362</v>
      </c>
      <c r="AF134" s="16"/>
      <c r="AG134" s="16">
        <v>57895</v>
      </c>
      <c r="AH134" s="16"/>
      <c r="AI134" s="8">
        <f t="shared" si="53"/>
        <v>-16700</v>
      </c>
      <c r="AJ134" s="8"/>
      <c r="AK134" s="16">
        <v>-243</v>
      </c>
      <c r="AL134" s="8"/>
      <c r="AM134" s="16">
        <v>4250</v>
      </c>
      <c r="AN134" s="16"/>
      <c r="AO134" s="16">
        <v>0</v>
      </c>
      <c r="AP134" s="16"/>
      <c r="AQ134" s="16">
        <v>0</v>
      </c>
      <c r="AR134" s="16"/>
      <c r="AS134" s="8">
        <f t="shared" si="54"/>
        <v>-12693</v>
      </c>
      <c r="AT134" s="8"/>
      <c r="AU134" s="16">
        <v>0</v>
      </c>
      <c r="AV134" s="16"/>
      <c r="AW134" s="16">
        <v>0</v>
      </c>
      <c r="AX134" s="16"/>
      <c r="AY134" s="16">
        <f t="shared" si="40"/>
        <v>581187</v>
      </c>
      <c r="AZ134" s="16"/>
      <c r="BA134" s="6" t="s">
        <v>147</v>
      </c>
      <c r="BC134" s="6" t="s">
        <v>43</v>
      </c>
      <c r="BD134" s="16"/>
      <c r="BE134" s="16">
        <f>3200+4000</f>
        <v>7200</v>
      </c>
      <c r="BF134" s="16"/>
      <c r="BG134" s="16">
        <v>0</v>
      </c>
      <c r="BH134" s="16"/>
      <c r="BI134" s="16">
        <v>0</v>
      </c>
      <c r="BJ134" s="16"/>
      <c r="BK134" s="16">
        <v>0</v>
      </c>
      <c r="BL134" s="16"/>
      <c r="BM134" s="16">
        <f t="shared" si="41"/>
        <v>7200</v>
      </c>
      <c r="BN134" s="17" t="s">
        <v>345</v>
      </c>
      <c r="BP134" s="18"/>
      <c r="BQ134" s="18"/>
      <c r="BR134" s="14"/>
      <c r="BS134" s="16"/>
      <c r="BT134" s="16"/>
      <c r="BU134" s="16"/>
      <c r="BV134" s="16"/>
      <c r="BX134" s="8"/>
      <c r="BY134" s="16"/>
      <c r="BZ134" s="16"/>
      <c r="CA134" s="16"/>
      <c r="CB134" s="16"/>
      <c r="CC134" s="16"/>
      <c r="CD134" s="16"/>
      <c r="CE134" s="16"/>
      <c r="CF134" s="6"/>
      <c r="CG134" s="18"/>
      <c r="CH134" s="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7"/>
    </row>
    <row r="135" spans="1:104" ht="12.75" hidden="1" customHeight="1" x14ac:dyDescent="0.2">
      <c r="A135" s="6" t="s">
        <v>148</v>
      </c>
      <c r="C135" s="6" t="s">
        <v>25</v>
      </c>
      <c r="E135" s="16">
        <v>0</v>
      </c>
      <c r="F135" s="16"/>
      <c r="G135" s="16"/>
      <c r="H135" s="16"/>
      <c r="I135" s="16">
        <f t="shared" si="51"/>
        <v>0</v>
      </c>
      <c r="J135" s="16"/>
      <c r="K135" s="16">
        <v>0</v>
      </c>
      <c r="L135" s="16"/>
      <c r="M135" s="16"/>
      <c r="N135" s="16"/>
      <c r="O135" s="16">
        <f t="shared" si="52"/>
        <v>0</v>
      </c>
      <c r="P135" s="16"/>
      <c r="Q135" s="16"/>
      <c r="R135" s="16"/>
      <c r="S135" s="16"/>
      <c r="T135" s="16"/>
      <c r="U135" s="16"/>
      <c r="V135" s="16"/>
      <c r="W135" s="16">
        <f t="shared" si="39"/>
        <v>0</v>
      </c>
      <c r="X135" s="16"/>
      <c r="Y135" s="6" t="s">
        <v>148</v>
      </c>
      <c r="AA135" s="6" t="s">
        <v>25</v>
      </c>
      <c r="AB135" s="6"/>
      <c r="AC135" s="16"/>
      <c r="AD135" s="16"/>
      <c r="AE135" s="16"/>
      <c r="AF135" s="16"/>
      <c r="AG135" s="16"/>
      <c r="AH135" s="16"/>
      <c r="AI135" s="8">
        <f t="shared" si="53"/>
        <v>0</v>
      </c>
      <c r="AJ135" s="8"/>
      <c r="AK135" s="16"/>
      <c r="AL135" s="8"/>
      <c r="AM135" s="16"/>
      <c r="AN135" s="16"/>
      <c r="AO135" s="16"/>
      <c r="AP135" s="16"/>
      <c r="AQ135" s="16"/>
      <c r="AR135" s="16"/>
      <c r="AS135" s="8">
        <f t="shared" si="54"/>
        <v>0</v>
      </c>
      <c r="AT135" s="8"/>
      <c r="AU135" s="16">
        <v>0</v>
      </c>
      <c r="AV135" s="16"/>
      <c r="AW135" s="16">
        <v>0</v>
      </c>
      <c r="AX135" s="16"/>
      <c r="AY135" s="16">
        <f t="shared" si="40"/>
        <v>0</v>
      </c>
      <c r="AZ135" s="16"/>
      <c r="BA135" s="6" t="s">
        <v>148</v>
      </c>
      <c r="BC135" s="6" t="s">
        <v>25</v>
      </c>
      <c r="BD135" s="16"/>
      <c r="BE135" s="16"/>
      <c r="BF135" s="16"/>
      <c r="BG135" s="16"/>
      <c r="BH135" s="16"/>
      <c r="BI135" s="16"/>
      <c r="BJ135" s="16"/>
      <c r="BK135" s="16"/>
      <c r="BL135" s="16"/>
      <c r="BM135" s="16">
        <f t="shared" si="41"/>
        <v>0</v>
      </c>
      <c r="BN135" s="17" t="s">
        <v>345</v>
      </c>
      <c r="BO135" s="6"/>
      <c r="BP135" s="18"/>
      <c r="BQ135" s="18"/>
      <c r="BR135" s="14"/>
      <c r="BS135" s="16"/>
      <c r="BT135" s="16"/>
      <c r="BU135" s="16"/>
      <c r="BV135" s="16"/>
      <c r="BX135" s="8"/>
      <c r="BY135" s="16"/>
      <c r="BZ135" s="16"/>
      <c r="CA135" s="16"/>
      <c r="CB135" s="16"/>
      <c r="CC135" s="16"/>
      <c r="CD135" s="16"/>
      <c r="CE135" s="16"/>
      <c r="CF135" s="6"/>
      <c r="CG135" s="18"/>
      <c r="CH135" s="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7"/>
      <c r="CT135" s="6"/>
    </row>
    <row r="136" spans="1:104" ht="12.75" hidden="1" customHeight="1" x14ac:dyDescent="0.2">
      <c r="A136" s="6" t="s">
        <v>149</v>
      </c>
      <c r="C136" s="6" t="s">
        <v>11</v>
      </c>
      <c r="E136" s="16">
        <v>0</v>
      </c>
      <c r="F136" s="16"/>
      <c r="G136" s="16"/>
      <c r="H136" s="16"/>
      <c r="I136" s="16">
        <f t="shared" si="51"/>
        <v>0</v>
      </c>
      <c r="J136" s="16"/>
      <c r="K136" s="16">
        <v>0</v>
      </c>
      <c r="L136" s="16"/>
      <c r="M136" s="16"/>
      <c r="N136" s="16"/>
      <c r="O136" s="16">
        <f t="shared" si="52"/>
        <v>0</v>
      </c>
      <c r="P136" s="16"/>
      <c r="Q136" s="16"/>
      <c r="R136" s="16"/>
      <c r="S136" s="16"/>
      <c r="T136" s="16"/>
      <c r="U136" s="16"/>
      <c r="V136" s="16"/>
      <c r="W136" s="16">
        <f t="shared" si="39"/>
        <v>0</v>
      </c>
      <c r="X136" s="16"/>
      <c r="Y136" s="6" t="s">
        <v>149</v>
      </c>
      <c r="AA136" s="6" t="s">
        <v>11</v>
      </c>
      <c r="AB136" s="6"/>
      <c r="AC136" s="16"/>
      <c r="AD136" s="16"/>
      <c r="AE136" s="16"/>
      <c r="AF136" s="16"/>
      <c r="AG136" s="16"/>
      <c r="AH136" s="16"/>
      <c r="AI136" s="8">
        <f t="shared" si="53"/>
        <v>0</v>
      </c>
      <c r="AJ136" s="8"/>
      <c r="AK136" s="16"/>
      <c r="AL136" s="8"/>
      <c r="AM136" s="16"/>
      <c r="AN136" s="16"/>
      <c r="AO136" s="16"/>
      <c r="AP136" s="16"/>
      <c r="AQ136" s="16"/>
      <c r="AR136" s="16"/>
      <c r="AS136" s="8">
        <f t="shared" si="54"/>
        <v>0</v>
      </c>
      <c r="AT136" s="8"/>
      <c r="AU136" s="16">
        <v>0</v>
      </c>
      <c r="AV136" s="16"/>
      <c r="AW136" s="16">
        <v>0</v>
      </c>
      <c r="AX136" s="16"/>
      <c r="AY136" s="16">
        <f t="shared" si="40"/>
        <v>0</v>
      </c>
      <c r="AZ136" s="16"/>
      <c r="BA136" s="6" t="s">
        <v>149</v>
      </c>
      <c r="BC136" s="6" t="s">
        <v>11</v>
      </c>
      <c r="BD136" s="16"/>
      <c r="BE136" s="16"/>
      <c r="BF136" s="16"/>
      <c r="BG136" s="16"/>
      <c r="BH136" s="16"/>
      <c r="BI136" s="16"/>
      <c r="BJ136" s="16"/>
      <c r="BK136" s="16"/>
      <c r="BL136" s="16"/>
      <c r="BM136" s="16">
        <f t="shared" si="41"/>
        <v>0</v>
      </c>
      <c r="BN136" s="17" t="s">
        <v>345</v>
      </c>
      <c r="BP136" s="18"/>
      <c r="BQ136" s="18"/>
      <c r="BR136" s="14"/>
      <c r="BS136" s="16"/>
      <c r="BT136" s="16"/>
      <c r="BU136" s="16"/>
      <c r="BV136" s="16"/>
      <c r="BW136" s="16"/>
      <c r="BX136" s="8"/>
      <c r="BY136" s="8"/>
      <c r="BZ136" s="16"/>
      <c r="CA136" s="16"/>
      <c r="CB136" s="16"/>
      <c r="CC136" s="16"/>
      <c r="CD136" s="16"/>
      <c r="CE136" s="16"/>
      <c r="CF136" s="6"/>
      <c r="CG136" s="18"/>
      <c r="CH136" s="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7"/>
    </row>
    <row r="137" spans="1:104" ht="12.75" customHeight="1" x14ac:dyDescent="0.2">
      <c r="A137" s="6" t="s">
        <v>150</v>
      </c>
      <c r="C137" s="6" t="s">
        <v>151</v>
      </c>
      <c r="E137" s="16">
        <v>11772756</v>
      </c>
      <c r="F137" s="16"/>
      <c r="G137" s="16">
        <v>30953865</v>
      </c>
      <c r="H137" s="16"/>
      <c r="I137" s="16">
        <f t="shared" si="51"/>
        <v>42726621</v>
      </c>
      <c r="J137" s="16"/>
      <c r="K137" s="16">
        <v>496037</v>
      </c>
      <c r="L137" s="16"/>
      <c r="M137" s="16">
        <v>2300469</v>
      </c>
      <c r="N137" s="16"/>
      <c r="O137" s="16">
        <f t="shared" si="52"/>
        <v>2796506</v>
      </c>
      <c r="P137" s="16"/>
      <c r="Q137" s="16">
        <v>28885898</v>
      </c>
      <c r="R137" s="16"/>
      <c r="S137" s="16">
        <v>3247764</v>
      </c>
      <c r="T137" s="16"/>
      <c r="U137" s="16">
        <v>7796453</v>
      </c>
      <c r="V137" s="16"/>
      <c r="W137" s="16">
        <f t="shared" si="39"/>
        <v>39930115</v>
      </c>
      <c r="X137" s="16"/>
      <c r="Y137" s="6" t="s">
        <v>150</v>
      </c>
      <c r="AA137" s="6" t="s">
        <v>151</v>
      </c>
      <c r="AB137" s="6"/>
      <c r="AC137" s="16">
        <v>7057826</v>
      </c>
      <c r="AD137" s="16"/>
      <c r="AE137" s="16">
        <f>7953611-354672</f>
        <v>7598939</v>
      </c>
      <c r="AF137" s="16"/>
      <c r="AG137" s="16">
        <v>354672</v>
      </c>
      <c r="AH137" s="16"/>
      <c r="AI137" s="8">
        <f t="shared" si="53"/>
        <v>-895785</v>
      </c>
      <c r="AJ137" s="8"/>
      <c r="AK137" s="16">
        <v>-163097</v>
      </c>
      <c r="AL137" s="8"/>
      <c r="AM137" s="16">
        <v>0</v>
      </c>
      <c r="AN137" s="16"/>
      <c r="AO137" s="16">
        <v>0</v>
      </c>
      <c r="AP137" s="16"/>
      <c r="AQ137" s="16">
        <v>2637101</v>
      </c>
      <c r="AR137" s="16"/>
      <c r="AS137" s="8">
        <f t="shared" si="54"/>
        <v>1578219</v>
      </c>
      <c r="AT137" s="8"/>
      <c r="AU137" s="16">
        <v>0</v>
      </c>
      <c r="AV137" s="16"/>
      <c r="AW137" s="16">
        <v>0</v>
      </c>
      <c r="AX137" s="16"/>
      <c r="AY137" s="16">
        <f t="shared" si="40"/>
        <v>11276719</v>
      </c>
      <c r="AZ137" s="16"/>
      <c r="BA137" s="6" t="s">
        <v>150</v>
      </c>
      <c r="BC137" s="6" t="s">
        <v>151</v>
      </c>
      <c r="BD137" s="16"/>
      <c r="BE137" s="16">
        <f>935000+40000</f>
        <v>975000</v>
      </c>
      <c r="BF137" s="16"/>
      <c r="BG137" s="16">
        <v>0</v>
      </c>
      <c r="BH137" s="16"/>
      <c r="BI137" s="16">
        <v>0</v>
      </c>
      <c r="BJ137" s="16"/>
      <c r="BK137" s="16">
        <f>1132967+232502+4253+242621</f>
        <v>1612343</v>
      </c>
      <c r="BL137" s="16"/>
      <c r="BM137" s="16">
        <f t="shared" si="41"/>
        <v>2587343</v>
      </c>
      <c r="BN137" s="17" t="s">
        <v>345</v>
      </c>
      <c r="BO137" s="18" t="s">
        <v>403</v>
      </c>
      <c r="BP137" s="6"/>
      <c r="BQ137" s="6"/>
      <c r="BR137" s="14"/>
      <c r="BS137" s="16"/>
      <c r="BT137" s="16"/>
      <c r="BU137" s="16"/>
      <c r="BV137" s="16"/>
      <c r="BX137" s="8"/>
      <c r="BY137" s="16"/>
      <c r="BZ137" s="16"/>
      <c r="CA137" s="16"/>
      <c r="CB137" s="16"/>
      <c r="CC137" s="16"/>
      <c r="CD137" s="16"/>
      <c r="CE137" s="16"/>
      <c r="CF137" s="6"/>
      <c r="CG137" s="18"/>
      <c r="CH137" s="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7"/>
      <c r="CU137" s="6"/>
      <c r="CV137" s="6"/>
      <c r="CW137" s="6"/>
      <c r="CX137" s="6"/>
      <c r="CY137" s="6"/>
      <c r="CZ137" s="6"/>
    </row>
    <row r="138" spans="1:104" ht="12.75" hidden="1" customHeight="1" x14ac:dyDescent="0.2">
      <c r="A138" s="6" t="s">
        <v>152</v>
      </c>
      <c r="C138" s="6" t="s">
        <v>25</v>
      </c>
      <c r="E138" s="16">
        <v>0</v>
      </c>
      <c r="F138" s="16"/>
      <c r="G138" s="16"/>
      <c r="H138" s="16"/>
      <c r="I138" s="16">
        <f t="shared" si="51"/>
        <v>0</v>
      </c>
      <c r="J138" s="16"/>
      <c r="K138" s="16">
        <v>0</v>
      </c>
      <c r="L138" s="16"/>
      <c r="M138" s="16"/>
      <c r="N138" s="16"/>
      <c r="O138" s="16">
        <f t="shared" si="52"/>
        <v>0</v>
      </c>
      <c r="P138" s="16"/>
      <c r="Q138" s="16"/>
      <c r="R138" s="16"/>
      <c r="S138" s="16"/>
      <c r="T138" s="16"/>
      <c r="U138" s="16"/>
      <c r="V138" s="16"/>
      <c r="W138" s="16">
        <f t="shared" si="39"/>
        <v>0</v>
      </c>
      <c r="X138" s="16"/>
      <c r="Y138" s="6" t="s">
        <v>152</v>
      </c>
      <c r="AA138" s="6" t="s">
        <v>25</v>
      </c>
      <c r="AB138" s="6"/>
      <c r="AC138" s="16"/>
      <c r="AD138" s="16"/>
      <c r="AE138" s="16"/>
      <c r="AF138" s="16"/>
      <c r="AG138" s="16"/>
      <c r="AH138" s="16"/>
      <c r="AI138" s="8">
        <f t="shared" si="53"/>
        <v>0</v>
      </c>
      <c r="AJ138" s="8"/>
      <c r="AK138" s="16"/>
      <c r="AL138" s="8"/>
      <c r="AM138" s="16"/>
      <c r="AN138" s="16"/>
      <c r="AO138" s="16"/>
      <c r="AP138" s="16"/>
      <c r="AQ138" s="16"/>
      <c r="AR138" s="16"/>
      <c r="AS138" s="8">
        <f t="shared" si="54"/>
        <v>0</v>
      </c>
      <c r="AT138" s="8"/>
      <c r="AU138" s="16">
        <v>0</v>
      </c>
      <c r="AV138" s="16"/>
      <c r="AW138" s="16">
        <v>0</v>
      </c>
      <c r="AX138" s="16"/>
      <c r="AY138" s="16">
        <f t="shared" si="40"/>
        <v>0</v>
      </c>
      <c r="AZ138" s="16"/>
      <c r="BA138" s="6" t="s">
        <v>152</v>
      </c>
      <c r="BC138" s="6" t="s">
        <v>25</v>
      </c>
      <c r="BD138" s="16"/>
      <c r="BE138" s="16"/>
      <c r="BF138" s="16"/>
      <c r="BG138" s="16"/>
      <c r="BH138" s="16"/>
      <c r="BI138" s="16"/>
      <c r="BJ138" s="16"/>
      <c r="BK138" s="16"/>
      <c r="BL138" s="16"/>
      <c r="BM138" s="16">
        <f t="shared" si="41"/>
        <v>0</v>
      </c>
      <c r="BN138" s="17" t="s">
        <v>345</v>
      </c>
      <c r="BP138" s="18"/>
      <c r="BQ138" s="18"/>
      <c r="BR138" s="14"/>
      <c r="BS138" s="16"/>
      <c r="BT138" s="16"/>
      <c r="BU138" s="16"/>
      <c r="BV138" s="16"/>
      <c r="BX138" s="8"/>
      <c r="BY138" s="16"/>
      <c r="BZ138" s="16"/>
      <c r="CA138" s="16"/>
      <c r="CB138" s="16"/>
      <c r="CC138" s="16"/>
      <c r="CD138" s="16"/>
      <c r="CE138" s="16"/>
      <c r="CF138" s="6"/>
      <c r="CG138" s="18"/>
      <c r="CH138" s="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7"/>
    </row>
    <row r="139" spans="1:104" ht="12.75" customHeight="1" x14ac:dyDescent="0.2">
      <c r="A139" s="6" t="s">
        <v>153</v>
      </c>
      <c r="B139" s="18"/>
      <c r="C139" s="6" t="s">
        <v>38</v>
      </c>
      <c r="E139" s="16">
        <v>5631649</v>
      </c>
      <c r="F139" s="16"/>
      <c r="G139" s="16">
        <v>10506099</v>
      </c>
      <c r="H139" s="16"/>
      <c r="I139" s="16">
        <f t="shared" si="51"/>
        <v>16137748</v>
      </c>
      <c r="J139" s="16"/>
      <c r="K139" s="16">
        <v>854242</v>
      </c>
      <c r="L139" s="16"/>
      <c r="M139" s="16">
        <v>5349344</v>
      </c>
      <c r="N139" s="16"/>
      <c r="O139" s="16">
        <f t="shared" si="52"/>
        <v>6203586</v>
      </c>
      <c r="P139" s="16"/>
      <c r="Q139" s="16">
        <v>5724828</v>
      </c>
      <c r="R139" s="16"/>
      <c r="S139" s="16">
        <v>0</v>
      </c>
      <c r="T139" s="16"/>
      <c r="U139" s="16">
        <v>4209324</v>
      </c>
      <c r="V139" s="16"/>
      <c r="W139" s="16">
        <f t="shared" si="39"/>
        <v>9934152</v>
      </c>
      <c r="X139" s="16"/>
      <c r="Y139" s="6" t="s">
        <v>153</v>
      </c>
      <c r="AA139" s="6" t="s">
        <v>38</v>
      </c>
      <c r="AB139" s="6"/>
      <c r="AC139" s="16">
        <v>3002162</v>
      </c>
      <c r="AD139" s="16"/>
      <c r="AE139" s="16">
        <f>2802976-372187</f>
        <v>2430789</v>
      </c>
      <c r="AF139" s="16"/>
      <c r="AG139" s="16">
        <v>372187</v>
      </c>
      <c r="AH139" s="16"/>
      <c r="AI139" s="8">
        <f t="shared" si="53"/>
        <v>199186</v>
      </c>
      <c r="AJ139" s="8"/>
      <c r="AK139" s="16">
        <v>318796</v>
      </c>
      <c r="AL139" s="8"/>
      <c r="AM139" s="16">
        <v>0</v>
      </c>
      <c r="AN139" s="16"/>
      <c r="AO139" s="16">
        <v>0</v>
      </c>
      <c r="AP139" s="16"/>
      <c r="AQ139" s="16">
        <v>0</v>
      </c>
      <c r="AR139" s="16"/>
      <c r="AS139" s="8">
        <f t="shared" si="54"/>
        <v>517982</v>
      </c>
      <c r="AT139" s="8"/>
      <c r="AU139" s="16">
        <v>0</v>
      </c>
      <c r="AV139" s="16"/>
      <c r="AW139" s="16">
        <v>0</v>
      </c>
      <c r="AX139" s="16"/>
      <c r="AY139" s="16">
        <f t="shared" si="40"/>
        <v>4777407</v>
      </c>
      <c r="AZ139" s="16"/>
      <c r="BA139" s="6" t="s">
        <v>153</v>
      </c>
      <c r="BC139" s="6" t="s">
        <v>38</v>
      </c>
      <c r="BD139" s="16"/>
      <c r="BE139" s="16">
        <v>0</v>
      </c>
      <c r="BF139" s="16"/>
      <c r="BG139" s="16">
        <v>0</v>
      </c>
      <c r="BH139" s="16"/>
      <c r="BI139" s="16">
        <f>218506+4309665+11738+77156</f>
        <v>4617065</v>
      </c>
      <c r="BJ139" s="16"/>
      <c r="BK139" s="16">
        <f>18183+803000+323000+69075</f>
        <v>1213258</v>
      </c>
      <c r="BL139" s="16"/>
      <c r="BM139" s="16">
        <f t="shared" si="41"/>
        <v>5830323</v>
      </c>
      <c r="BN139" s="17" t="s">
        <v>345</v>
      </c>
      <c r="BO139" s="18" t="s">
        <v>404</v>
      </c>
      <c r="BP139" s="18"/>
      <c r="BQ139" s="18"/>
      <c r="BR139" s="14"/>
      <c r="BS139" s="16"/>
      <c r="BT139" s="16"/>
      <c r="BU139" s="16"/>
      <c r="BV139" s="16"/>
      <c r="BW139" s="16"/>
      <c r="BX139" s="8"/>
      <c r="BY139" s="8"/>
      <c r="BZ139" s="16"/>
      <c r="CA139" s="16"/>
      <c r="CB139" s="16"/>
      <c r="CC139" s="16"/>
      <c r="CD139" s="16"/>
      <c r="CE139" s="16"/>
      <c r="CF139" s="6"/>
      <c r="CG139" s="18"/>
      <c r="CH139" s="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7"/>
    </row>
    <row r="140" spans="1:104" ht="12.75" customHeight="1" x14ac:dyDescent="0.2">
      <c r="A140" s="6" t="s">
        <v>154</v>
      </c>
      <c r="C140" s="6" t="s">
        <v>154</v>
      </c>
      <c r="E140" s="16">
        <v>6185047</v>
      </c>
      <c r="F140" s="16"/>
      <c r="G140" s="16">
        <v>23680937</v>
      </c>
      <c r="H140" s="16"/>
      <c r="I140" s="16">
        <f t="shared" si="51"/>
        <v>29865984</v>
      </c>
      <c r="J140" s="16"/>
      <c r="K140" s="16">
        <v>2514627</v>
      </c>
      <c r="L140" s="16"/>
      <c r="M140" s="16">
        <v>23090099</v>
      </c>
      <c r="N140" s="16"/>
      <c r="O140" s="16">
        <f t="shared" si="52"/>
        <v>25604726</v>
      </c>
      <c r="P140" s="16"/>
      <c r="Q140" s="16">
        <v>3277277</v>
      </c>
      <c r="R140" s="16"/>
      <c r="S140" s="16">
        <v>0</v>
      </c>
      <c r="T140" s="16"/>
      <c r="U140" s="16">
        <v>983981</v>
      </c>
      <c r="V140" s="16"/>
      <c r="W140" s="16">
        <f t="shared" si="39"/>
        <v>4261258</v>
      </c>
      <c r="X140" s="16"/>
      <c r="Y140" s="6" t="s">
        <v>154</v>
      </c>
      <c r="AA140" s="6" t="s">
        <v>154</v>
      </c>
      <c r="AB140" s="6"/>
      <c r="AC140" s="16">
        <v>5811035</v>
      </c>
      <c r="AD140" s="16"/>
      <c r="AE140" s="16">
        <f>4577481-1975221</f>
        <v>2602260</v>
      </c>
      <c r="AF140" s="16"/>
      <c r="AG140" s="16">
        <v>1975221</v>
      </c>
      <c r="AH140" s="16"/>
      <c r="AI140" s="8">
        <f t="shared" si="53"/>
        <v>1233554</v>
      </c>
      <c r="AJ140" s="8"/>
      <c r="AK140" s="16">
        <v>-734954</v>
      </c>
      <c r="AL140" s="8"/>
      <c r="AM140" s="16">
        <v>0</v>
      </c>
      <c r="AN140" s="16"/>
      <c r="AO140" s="16">
        <v>0</v>
      </c>
      <c r="AP140" s="16"/>
      <c r="AQ140" s="16">
        <v>72871</v>
      </c>
      <c r="AR140" s="16"/>
      <c r="AS140" s="8">
        <f t="shared" si="54"/>
        <v>571471</v>
      </c>
      <c r="AT140" s="8"/>
      <c r="AU140" s="16">
        <v>0</v>
      </c>
      <c r="AV140" s="16"/>
      <c r="AW140" s="16">
        <v>0</v>
      </c>
      <c r="AX140" s="16"/>
      <c r="AY140" s="16">
        <f t="shared" si="40"/>
        <v>3670420</v>
      </c>
      <c r="AZ140" s="16"/>
      <c r="BA140" s="6" t="s">
        <v>154</v>
      </c>
      <c r="BC140" s="6" t="s">
        <v>154</v>
      </c>
      <c r="BD140" s="16"/>
      <c r="BE140" s="16">
        <f>8666365+330696</f>
        <v>8997061</v>
      </c>
      <c r="BF140" s="16"/>
      <c r="BG140" s="16">
        <v>0</v>
      </c>
      <c r="BH140" s="16"/>
      <c r="BI140" s="16">
        <f>13286583+842710+1480365+114288</f>
        <v>15723946</v>
      </c>
      <c r="BJ140" s="16"/>
      <c r="BK140" s="16">
        <f>842710+294441+69179</f>
        <v>1206330</v>
      </c>
      <c r="BL140" s="16"/>
      <c r="BM140" s="16">
        <f t="shared" si="41"/>
        <v>25927337</v>
      </c>
      <c r="BN140" s="17" t="s">
        <v>345</v>
      </c>
      <c r="BO140" s="6"/>
      <c r="BP140" s="18"/>
      <c r="BQ140" s="18"/>
      <c r="BR140" s="14"/>
      <c r="BS140" s="16"/>
      <c r="BT140" s="16"/>
      <c r="BU140" s="16"/>
      <c r="BV140" s="16"/>
      <c r="BX140" s="8"/>
      <c r="BY140" s="16"/>
      <c r="BZ140" s="16"/>
      <c r="CA140" s="16"/>
      <c r="CB140" s="16"/>
      <c r="CC140" s="16"/>
      <c r="CD140" s="16"/>
      <c r="CE140" s="16"/>
      <c r="CF140" s="6"/>
      <c r="CG140" s="18"/>
      <c r="CH140" s="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7"/>
      <c r="CT140" s="6"/>
    </row>
    <row r="141" spans="1:104" ht="12.75" hidden="1" customHeight="1" x14ac:dyDescent="0.2">
      <c r="A141" s="6" t="s">
        <v>155</v>
      </c>
      <c r="C141" s="6" t="s">
        <v>31</v>
      </c>
      <c r="E141" s="16">
        <v>0</v>
      </c>
      <c r="F141" s="16"/>
      <c r="G141" s="16"/>
      <c r="H141" s="16"/>
      <c r="I141" s="16">
        <f t="shared" si="51"/>
        <v>0</v>
      </c>
      <c r="J141" s="16"/>
      <c r="K141" s="16">
        <v>0</v>
      </c>
      <c r="L141" s="16"/>
      <c r="M141" s="16"/>
      <c r="N141" s="16"/>
      <c r="O141" s="16">
        <f t="shared" si="52"/>
        <v>0</v>
      </c>
      <c r="P141" s="16"/>
      <c r="Q141" s="16"/>
      <c r="R141" s="16"/>
      <c r="S141" s="16"/>
      <c r="T141" s="16"/>
      <c r="U141" s="16"/>
      <c r="V141" s="16"/>
      <c r="W141" s="16">
        <f t="shared" si="39"/>
        <v>0</v>
      </c>
      <c r="X141" s="16"/>
      <c r="Y141" s="6" t="s">
        <v>155</v>
      </c>
      <c r="AA141" s="6" t="s">
        <v>31</v>
      </c>
      <c r="AB141" s="6"/>
      <c r="AC141" s="16"/>
      <c r="AD141" s="16"/>
      <c r="AE141" s="16"/>
      <c r="AF141" s="16"/>
      <c r="AG141" s="16"/>
      <c r="AH141" s="16"/>
      <c r="AI141" s="8">
        <f t="shared" si="53"/>
        <v>0</v>
      </c>
      <c r="AJ141" s="8"/>
      <c r="AK141" s="16"/>
      <c r="AL141" s="8"/>
      <c r="AM141" s="16"/>
      <c r="AN141" s="16"/>
      <c r="AO141" s="16"/>
      <c r="AP141" s="16"/>
      <c r="AQ141" s="16"/>
      <c r="AR141" s="16"/>
      <c r="AS141" s="8">
        <f t="shared" si="54"/>
        <v>0</v>
      </c>
      <c r="AT141" s="8"/>
      <c r="AU141" s="16">
        <v>0</v>
      </c>
      <c r="AV141" s="16"/>
      <c r="AW141" s="16">
        <v>0</v>
      </c>
      <c r="AX141" s="16"/>
      <c r="AY141" s="16">
        <f t="shared" si="40"/>
        <v>0</v>
      </c>
      <c r="AZ141" s="16"/>
      <c r="BA141" s="6" t="s">
        <v>155</v>
      </c>
      <c r="BC141" s="6" t="s">
        <v>31</v>
      </c>
      <c r="BD141" s="16"/>
      <c r="BE141" s="16"/>
      <c r="BF141" s="16"/>
      <c r="BG141" s="16"/>
      <c r="BH141" s="16"/>
      <c r="BI141" s="16"/>
      <c r="BJ141" s="16"/>
      <c r="BK141" s="16"/>
      <c r="BL141" s="16"/>
      <c r="BM141" s="16">
        <f t="shared" si="41"/>
        <v>0</v>
      </c>
      <c r="BN141" s="17" t="s">
        <v>345</v>
      </c>
      <c r="BP141" s="18"/>
      <c r="BQ141" s="18"/>
      <c r="BR141" s="14"/>
      <c r="BS141" s="16"/>
      <c r="BT141" s="16"/>
      <c r="BU141" s="16"/>
      <c r="BV141" s="16"/>
      <c r="BW141" s="16"/>
      <c r="BX141" s="8"/>
      <c r="BY141" s="8"/>
      <c r="BZ141" s="16"/>
      <c r="CA141" s="16"/>
      <c r="CB141" s="16"/>
      <c r="CC141" s="16"/>
      <c r="CD141" s="16"/>
      <c r="CE141" s="16"/>
      <c r="CF141" s="6"/>
      <c r="CG141" s="18"/>
      <c r="CH141" s="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7"/>
    </row>
    <row r="142" spans="1:104" ht="12.75" customHeight="1" x14ac:dyDescent="0.2">
      <c r="A142" s="6" t="s">
        <v>156</v>
      </c>
      <c r="C142" s="6" t="s">
        <v>157</v>
      </c>
      <c r="E142" s="16">
        <v>12092475</v>
      </c>
      <c r="F142" s="16"/>
      <c r="G142" s="16">
        <v>153266346</v>
      </c>
      <c r="H142" s="16"/>
      <c r="I142" s="16">
        <f t="shared" si="51"/>
        <v>165358821</v>
      </c>
      <c r="J142" s="16"/>
      <c r="K142" s="16">
        <v>1844970</v>
      </c>
      <c r="L142" s="16"/>
      <c r="M142" s="16">
        <v>142374928</v>
      </c>
      <c r="N142" s="16"/>
      <c r="O142" s="16">
        <f t="shared" si="52"/>
        <v>144219898</v>
      </c>
      <c r="P142" s="16"/>
      <c r="Q142" s="16">
        <v>8876249</v>
      </c>
      <c r="R142" s="16"/>
      <c r="S142" s="16">
        <v>4830547</v>
      </c>
      <c r="T142" s="16"/>
      <c r="U142" s="16">
        <v>7432127</v>
      </c>
      <c r="V142" s="16"/>
      <c r="W142" s="16">
        <f t="shared" si="39"/>
        <v>21138923</v>
      </c>
      <c r="X142" s="16"/>
      <c r="Y142" s="6" t="s">
        <v>156</v>
      </c>
      <c r="AA142" s="6" t="s">
        <v>157</v>
      </c>
      <c r="AB142" s="6"/>
      <c r="AC142" s="16">
        <v>9555924</v>
      </c>
      <c r="AD142" s="16"/>
      <c r="AE142" s="16">
        <f>8435652-4360326</f>
        <v>4075326</v>
      </c>
      <c r="AF142" s="16"/>
      <c r="AG142" s="16">
        <v>4360326</v>
      </c>
      <c r="AH142" s="16"/>
      <c r="AI142" s="8">
        <f t="shared" si="53"/>
        <v>1120272</v>
      </c>
      <c r="AJ142" s="8"/>
      <c r="AK142" s="16">
        <v>-4349259</v>
      </c>
      <c r="AL142" s="8"/>
      <c r="AM142" s="16">
        <v>0</v>
      </c>
      <c r="AN142" s="16"/>
      <c r="AO142" s="16">
        <v>0</v>
      </c>
      <c r="AP142" s="16"/>
      <c r="AQ142" s="16">
        <v>0</v>
      </c>
      <c r="AR142" s="16"/>
      <c r="AS142" s="8">
        <f t="shared" si="54"/>
        <v>-3228987</v>
      </c>
      <c r="AT142" s="8"/>
      <c r="AU142" s="16">
        <v>0</v>
      </c>
      <c r="AV142" s="16"/>
      <c r="AW142" s="16">
        <v>0</v>
      </c>
      <c r="AX142" s="16"/>
      <c r="AY142" s="16">
        <f t="shared" si="40"/>
        <v>10247505</v>
      </c>
      <c r="AZ142" s="16"/>
      <c r="BA142" s="6" t="s">
        <v>156</v>
      </c>
      <c r="BC142" s="6" t="s">
        <v>157</v>
      </c>
      <c r="BD142" s="16"/>
      <c r="BE142" s="16">
        <f>26550000+154186</f>
        <v>26704186</v>
      </c>
      <c r="BF142" s="16"/>
      <c r="BG142" s="16">
        <f>115088242+1384489</f>
        <v>116472731</v>
      </c>
      <c r="BH142" s="16"/>
      <c r="BI142" s="16">
        <f>9931+7927</f>
        <v>17858</v>
      </c>
      <c r="BJ142" s="16"/>
      <c r="BK142" s="16">
        <f>119959+606796+92418</f>
        <v>819173</v>
      </c>
      <c r="BL142" s="16"/>
      <c r="BM142" s="16">
        <f t="shared" si="41"/>
        <v>144013948</v>
      </c>
      <c r="BN142" s="17" t="s">
        <v>345</v>
      </c>
      <c r="BP142" s="18"/>
      <c r="BQ142" s="18"/>
      <c r="BR142" s="14"/>
      <c r="BS142" s="16"/>
      <c r="BT142" s="16"/>
      <c r="BU142" s="16"/>
      <c r="BV142" s="16"/>
      <c r="BW142" s="16"/>
      <c r="BX142" s="8"/>
      <c r="BY142" s="8"/>
      <c r="BZ142" s="16"/>
      <c r="CA142" s="16"/>
      <c r="CB142" s="16"/>
      <c r="CC142" s="16"/>
      <c r="CD142" s="16"/>
      <c r="CE142" s="16"/>
      <c r="CF142" s="6"/>
      <c r="CG142" s="18"/>
      <c r="CH142" s="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7"/>
    </row>
    <row r="143" spans="1:104" ht="12.75" customHeight="1" x14ac:dyDescent="0.2">
      <c r="A143" s="6" t="s">
        <v>158</v>
      </c>
      <c r="C143" s="6" t="s">
        <v>109</v>
      </c>
      <c r="E143" s="16">
        <v>9554406</v>
      </c>
      <c r="F143" s="16"/>
      <c r="G143" s="16">
        <v>68043152</v>
      </c>
      <c r="H143" s="16"/>
      <c r="I143" s="16">
        <f t="shared" si="51"/>
        <v>77597558</v>
      </c>
      <c r="J143" s="16"/>
      <c r="K143" s="16">
        <v>1799001</v>
      </c>
      <c r="L143" s="16"/>
      <c r="M143" s="16">
        <v>21065658</v>
      </c>
      <c r="N143" s="16"/>
      <c r="O143" s="16">
        <f t="shared" si="52"/>
        <v>22864659</v>
      </c>
      <c r="P143" s="16"/>
      <c r="Q143" s="16">
        <v>45736198</v>
      </c>
      <c r="R143" s="16"/>
      <c r="S143" s="16">
        <v>0</v>
      </c>
      <c r="T143" s="16"/>
      <c r="U143" s="16">
        <v>8996701</v>
      </c>
      <c r="V143" s="16"/>
      <c r="W143" s="16">
        <f t="shared" si="39"/>
        <v>54732899</v>
      </c>
      <c r="X143" s="16"/>
      <c r="Y143" s="6" t="s">
        <v>158</v>
      </c>
      <c r="AA143" s="6" t="s">
        <v>109</v>
      </c>
      <c r="AB143" s="6"/>
      <c r="AC143" s="16">
        <v>5934351</v>
      </c>
      <c r="AD143" s="16"/>
      <c r="AE143" s="16">
        <f>5132973-2240915</f>
        <v>2892058</v>
      </c>
      <c r="AF143" s="16"/>
      <c r="AG143" s="16">
        <v>2240915</v>
      </c>
      <c r="AH143" s="16"/>
      <c r="AI143" s="8">
        <f t="shared" si="53"/>
        <v>801378</v>
      </c>
      <c r="AJ143" s="8"/>
      <c r="AK143" s="16">
        <v>-489812</v>
      </c>
      <c r="AL143" s="8"/>
      <c r="AM143" s="16">
        <v>5000</v>
      </c>
      <c r="AN143" s="16"/>
      <c r="AO143" s="16">
        <v>0</v>
      </c>
      <c r="AP143" s="16"/>
      <c r="AQ143" s="16">
        <v>489863</v>
      </c>
      <c r="AR143" s="16"/>
      <c r="AS143" s="8">
        <f t="shared" si="54"/>
        <v>806429</v>
      </c>
      <c r="AT143" s="8"/>
      <c r="AU143" s="16">
        <v>0</v>
      </c>
      <c r="AV143" s="16"/>
      <c r="AW143" s="16">
        <v>0</v>
      </c>
      <c r="AX143" s="16"/>
      <c r="AY143" s="16">
        <f t="shared" si="40"/>
        <v>7755405</v>
      </c>
      <c r="AZ143" s="16"/>
      <c r="BA143" s="6" t="s">
        <v>158</v>
      </c>
      <c r="BC143" s="6" t="s">
        <v>109</v>
      </c>
      <c r="BD143" s="16"/>
      <c r="BE143" s="16">
        <f>20974431+1086000</f>
        <v>22060431</v>
      </c>
      <c r="BF143" s="16"/>
      <c r="BG143" s="16">
        <v>0</v>
      </c>
      <c r="BH143" s="16"/>
      <c r="BI143" s="16">
        <v>0</v>
      </c>
      <c r="BJ143" s="16"/>
      <c r="BK143" s="16">
        <f>91227+83393</f>
        <v>174620</v>
      </c>
      <c r="BL143" s="16"/>
      <c r="BM143" s="16">
        <f t="shared" si="41"/>
        <v>22235051</v>
      </c>
      <c r="BN143" s="17" t="s">
        <v>345</v>
      </c>
      <c r="BP143" s="18"/>
      <c r="BQ143" s="18"/>
      <c r="BR143" s="14"/>
      <c r="BS143" s="16"/>
      <c r="BT143" s="16"/>
      <c r="BU143" s="16"/>
      <c r="BV143" s="16"/>
      <c r="BW143" s="16"/>
      <c r="BX143" s="8"/>
      <c r="BY143" s="8"/>
      <c r="BZ143" s="16"/>
      <c r="CA143" s="16"/>
      <c r="CB143" s="16"/>
      <c r="CC143" s="16"/>
      <c r="CD143" s="16"/>
      <c r="CE143" s="16"/>
      <c r="CF143" s="6"/>
      <c r="CG143" s="18"/>
      <c r="CH143" s="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7"/>
    </row>
    <row r="144" spans="1:104" ht="12.75" customHeight="1" x14ac:dyDescent="0.2">
      <c r="A144" s="6" t="s">
        <v>159</v>
      </c>
      <c r="B144" s="18"/>
      <c r="C144" s="6" t="s">
        <v>13</v>
      </c>
      <c r="E144" s="16">
        <v>8592478</v>
      </c>
      <c r="F144" s="16"/>
      <c r="G144" s="16">
        <v>42051192</v>
      </c>
      <c r="H144" s="16"/>
      <c r="I144" s="16">
        <f t="shared" si="51"/>
        <v>50643670</v>
      </c>
      <c r="J144" s="16"/>
      <c r="K144" s="16">
        <v>2766029</v>
      </c>
      <c r="L144" s="16"/>
      <c r="M144" s="16">
        <v>24059896</v>
      </c>
      <c r="N144" s="16"/>
      <c r="O144" s="16">
        <f t="shared" si="52"/>
        <v>26825925</v>
      </c>
      <c r="P144" s="16"/>
      <c r="Q144" s="16">
        <v>15994106</v>
      </c>
      <c r="R144" s="16"/>
      <c r="S144" s="16">
        <v>0</v>
      </c>
      <c r="T144" s="16"/>
      <c r="U144" s="16">
        <v>7823639</v>
      </c>
      <c r="V144" s="16"/>
      <c r="W144" s="16">
        <f t="shared" si="39"/>
        <v>23817745</v>
      </c>
      <c r="X144" s="16"/>
      <c r="Y144" s="6" t="s">
        <v>159</v>
      </c>
      <c r="AA144" s="6" t="s">
        <v>13</v>
      </c>
      <c r="AB144" s="6"/>
      <c r="AC144" s="16">
        <v>9024481</v>
      </c>
      <c r="AD144" s="16"/>
      <c r="AE144" s="16">
        <f>6554069-1559489</f>
        <v>4994580</v>
      </c>
      <c r="AF144" s="16"/>
      <c r="AG144" s="16">
        <v>1559489</v>
      </c>
      <c r="AH144" s="16"/>
      <c r="AI144" s="8">
        <f t="shared" si="53"/>
        <v>2470412</v>
      </c>
      <c r="AJ144" s="8"/>
      <c r="AK144" s="16">
        <v>-291791</v>
      </c>
      <c r="AL144" s="8"/>
      <c r="AM144" s="16">
        <v>0</v>
      </c>
      <c r="AN144" s="16"/>
      <c r="AO144" s="16">
        <v>0</v>
      </c>
      <c r="AP144" s="16"/>
      <c r="AQ144" s="16">
        <v>0</v>
      </c>
      <c r="AR144" s="16"/>
      <c r="AS144" s="8">
        <f t="shared" si="54"/>
        <v>2178621</v>
      </c>
      <c r="AT144" s="8"/>
      <c r="AU144" s="16">
        <v>0</v>
      </c>
      <c r="AV144" s="16"/>
      <c r="AW144" s="16">
        <v>0</v>
      </c>
      <c r="AX144" s="16"/>
      <c r="AY144" s="16">
        <f t="shared" si="40"/>
        <v>5826449</v>
      </c>
      <c r="AZ144" s="16"/>
      <c r="BA144" s="6" t="s">
        <v>159</v>
      </c>
      <c r="BC144" s="6" t="s">
        <v>13</v>
      </c>
      <c r="BD144" s="16"/>
      <c r="BE144" s="16">
        <v>0</v>
      </c>
      <c r="BF144" s="16"/>
      <c r="BG144" s="16">
        <v>0</v>
      </c>
      <c r="BH144" s="16"/>
      <c r="BI144" s="16">
        <f>23875129+2181957</f>
        <v>26057086</v>
      </c>
      <c r="BJ144" s="16"/>
      <c r="BK144" s="16">
        <f>6963+184767</f>
        <v>191730</v>
      </c>
      <c r="BL144" s="16"/>
      <c r="BM144" s="16">
        <f t="shared" si="41"/>
        <v>26248816</v>
      </c>
      <c r="BN144" s="17" t="s">
        <v>345</v>
      </c>
      <c r="BP144" s="18"/>
      <c r="BQ144" s="18"/>
      <c r="BR144" s="14"/>
      <c r="BS144" s="16"/>
      <c r="BT144" s="16"/>
      <c r="BU144" s="16"/>
      <c r="BV144" s="16"/>
      <c r="BW144" s="16"/>
      <c r="BX144" s="8"/>
      <c r="BY144" s="8"/>
      <c r="BZ144" s="16"/>
      <c r="CA144" s="16"/>
      <c r="CB144" s="16"/>
      <c r="CC144" s="16"/>
      <c r="CD144" s="16"/>
      <c r="CE144" s="16"/>
      <c r="CF144" s="6"/>
      <c r="CG144" s="18"/>
      <c r="CH144" s="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7"/>
    </row>
    <row r="145" spans="1:98" ht="12.75" customHeight="1" x14ac:dyDescent="0.2">
      <c r="A145" s="6" t="s">
        <v>160</v>
      </c>
      <c r="C145" s="6" t="s">
        <v>161</v>
      </c>
      <c r="E145" s="16">
        <v>3371640</v>
      </c>
      <c r="F145" s="16"/>
      <c r="G145" s="16">
        <v>3464737</v>
      </c>
      <c r="H145" s="16"/>
      <c r="I145" s="16">
        <f t="shared" si="51"/>
        <v>6836377</v>
      </c>
      <c r="J145" s="16"/>
      <c r="K145" s="16">
        <v>194378</v>
      </c>
      <c r="L145" s="16"/>
      <c r="M145" s="16">
        <v>259718</v>
      </c>
      <c r="N145" s="16"/>
      <c r="O145" s="16">
        <f t="shared" si="52"/>
        <v>454096</v>
      </c>
      <c r="P145" s="16"/>
      <c r="Q145" s="16">
        <v>3464737</v>
      </c>
      <c r="R145" s="16"/>
      <c r="S145" s="16">
        <v>0</v>
      </c>
      <c r="T145" s="16"/>
      <c r="U145" s="16">
        <v>3111922</v>
      </c>
      <c r="V145" s="16"/>
      <c r="W145" s="16">
        <f t="shared" si="39"/>
        <v>6576659</v>
      </c>
      <c r="X145" s="16"/>
      <c r="Y145" s="6" t="s">
        <v>160</v>
      </c>
      <c r="AA145" s="6" t="s">
        <v>161</v>
      </c>
      <c r="AB145" s="6"/>
      <c r="AC145" s="16">
        <v>2696794</v>
      </c>
      <c r="AD145" s="16"/>
      <c r="AE145" s="16">
        <f>1897489-310497</f>
        <v>1586992</v>
      </c>
      <c r="AF145" s="16"/>
      <c r="AG145" s="16">
        <v>310497</v>
      </c>
      <c r="AH145" s="16"/>
      <c r="AI145" s="8">
        <f t="shared" si="53"/>
        <v>799305</v>
      </c>
      <c r="AJ145" s="8"/>
      <c r="AK145" s="16">
        <v>-989</v>
      </c>
      <c r="AL145" s="8"/>
      <c r="AM145" s="16">
        <v>0</v>
      </c>
      <c r="AN145" s="16"/>
      <c r="AO145" s="16">
        <v>400000</v>
      </c>
      <c r="AP145" s="16"/>
      <c r="AQ145" s="16">
        <v>0</v>
      </c>
      <c r="AR145" s="16"/>
      <c r="AS145" s="8">
        <f t="shared" si="54"/>
        <v>398316</v>
      </c>
      <c r="AT145" s="8"/>
      <c r="AU145" s="16">
        <v>0</v>
      </c>
      <c r="AV145" s="16"/>
      <c r="AW145" s="16">
        <v>0</v>
      </c>
      <c r="AX145" s="16"/>
      <c r="AY145" s="16">
        <f t="shared" si="40"/>
        <v>3177262</v>
      </c>
      <c r="AZ145" s="16"/>
      <c r="BA145" s="6" t="s">
        <v>160</v>
      </c>
      <c r="BC145" s="6" t="s">
        <v>161</v>
      </c>
      <c r="BD145" s="16"/>
      <c r="BE145" s="16">
        <v>0</v>
      </c>
      <c r="BF145" s="16"/>
      <c r="BG145" s="16">
        <v>0</v>
      </c>
      <c r="BH145" s="16"/>
      <c r="BI145" s="16">
        <v>0</v>
      </c>
      <c r="BJ145" s="16"/>
      <c r="BK145" s="16">
        <f>65340+40565</f>
        <v>105905</v>
      </c>
      <c r="BL145" s="16"/>
      <c r="BM145" s="16">
        <f t="shared" si="41"/>
        <v>105905</v>
      </c>
      <c r="BN145" s="17" t="s">
        <v>345</v>
      </c>
      <c r="BO145" s="18" t="s">
        <v>405</v>
      </c>
      <c r="BP145" s="18"/>
      <c r="BQ145" s="18"/>
      <c r="BR145" s="14"/>
      <c r="BS145" s="16"/>
      <c r="BT145" s="16"/>
      <c r="BU145" s="16"/>
      <c r="BV145" s="16"/>
      <c r="BW145" s="16"/>
      <c r="BX145" s="8"/>
      <c r="BY145" s="8"/>
      <c r="BZ145" s="16"/>
      <c r="CA145" s="16"/>
      <c r="CB145" s="16"/>
      <c r="CC145" s="16"/>
      <c r="CD145" s="16"/>
      <c r="CE145" s="16"/>
      <c r="CF145" s="6"/>
      <c r="CG145" s="18"/>
      <c r="CH145" s="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7"/>
    </row>
    <row r="146" spans="1:98" ht="12.75" hidden="1" customHeight="1" x14ac:dyDescent="0.2">
      <c r="A146" s="6" t="s">
        <v>162</v>
      </c>
      <c r="C146" s="6" t="s">
        <v>25</v>
      </c>
      <c r="E146" s="16">
        <v>0</v>
      </c>
      <c r="F146" s="16"/>
      <c r="G146" s="16"/>
      <c r="H146" s="16"/>
      <c r="I146" s="16">
        <f t="shared" si="51"/>
        <v>0</v>
      </c>
      <c r="J146" s="16"/>
      <c r="K146" s="16">
        <v>0</v>
      </c>
      <c r="L146" s="16"/>
      <c r="M146" s="16"/>
      <c r="N146" s="16"/>
      <c r="O146" s="16">
        <f t="shared" si="52"/>
        <v>0</v>
      </c>
      <c r="P146" s="16"/>
      <c r="Q146" s="16"/>
      <c r="R146" s="16"/>
      <c r="S146" s="16"/>
      <c r="T146" s="16"/>
      <c r="U146" s="16"/>
      <c r="V146" s="16"/>
      <c r="W146" s="16">
        <f t="shared" si="39"/>
        <v>0</v>
      </c>
      <c r="X146" s="16"/>
      <c r="Y146" s="6" t="s">
        <v>162</v>
      </c>
      <c r="AA146" s="6" t="s">
        <v>25</v>
      </c>
      <c r="AB146" s="6"/>
      <c r="AC146" s="16"/>
      <c r="AD146" s="16"/>
      <c r="AE146" s="16"/>
      <c r="AF146" s="16"/>
      <c r="AG146" s="16"/>
      <c r="AH146" s="16"/>
      <c r="AI146" s="8">
        <f t="shared" si="53"/>
        <v>0</v>
      </c>
      <c r="AJ146" s="8"/>
      <c r="AK146" s="16"/>
      <c r="AL146" s="8"/>
      <c r="AM146" s="16"/>
      <c r="AN146" s="16"/>
      <c r="AO146" s="16"/>
      <c r="AP146" s="16"/>
      <c r="AQ146" s="16"/>
      <c r="AR146" s="16"/>
      <c r="AS146" s="8">
        <f t="shared" si="54"/>
        <v>0</v>
      </c>
      <c r="AT146" s="8"/>
      <c r="AU146" s="16">
        <v>0</v>
      </c>
      <c r="AV146" s="16"/>
      <c r="AW146" s="16">
        <v>0</v>
      </c>
      <c r="AX146" s="16"/>
      <c r="AY146" s="16">
        <f t="shared" si="40"/>
        <v>0</v>
      </c>
      <c r="AZ146" s="16"/>
      <c r="BA146" s="6" t="s">
        <v>162</v>
      </c>
      <c r="BC146" s="6" t="s">
        <v>25</v>
      </c>
      <c r="BD146" s="16"/>
      <c r="BE146" s="16"/>
      <c r="BF146" s="16"/>
      <c r="BG146" s="16"/>
      <c r="BH146" s="16"/>
      <c r="BI146" s="16"/>
      <c r="BJ146" s="16"/>
      <c r="BK146" s="16"/>
      <c r="BL146" s="16"/>
      <c r="BM146" s="16">
        <f t="shared" si="41"/>
        <v>0</v>
      </c>
      <c r="BN146" s="17" t="s">
        <v>345</v>
      </c>
      <c r="BO146" s="6" t="s">
        <v>364</v>
      </c>
      <c r="BP146" s="18"/>
      <c r="BQ146" s="18"/>
      <c r="BR146" s="14"/>
      <c r="BS146" s="16"/>
      <c r="BT146" s="16"/>
      <c r="BU146" s="16"/>
      <c r="BV146" s="16"/>
      <c r="BW146" s="16"/>
      <c r="BX146" s="8"/>
      <c r="BY146" s="8"/>
      <c r="BZ146" s="16"/>
      <c r="CA146" s="16"/>
      <c r="CB146" s="16"/>
      <c r="CC146" s="16"/>
      <c r="CD146" s="16"/>
      <c r="CE146" s="16"/>
      <c r="CF146" s="6"/>
      <c r="CG146" s="18"/>
      <c r="CH146" s="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7"/>
      <c r="CT146" s="6"/>
    </row>
    <row r="147" spans="1:98" ht="12.75" hidden="1" customHeight="1" x14ac:dyDescent="0.2">
      <c r="A147" s="6" t="s">
        <v>51</v>
      </c>
      <c r="C147" s="6" t="s">
        <v>51</v>
      </c>
      <c r="E147" s="16">
        <v>0</v>
      </c>
      <c r="F147" s="16"/>
      <c r="G147" s="16"/>
      <c r="H147" s="16"/>
      <c r="I147" s="16">
        <f t="shared" si="51"/>
        <v>0</v>
      </c>
      <c r="J147" s="16"/>
      <c r="K147" s="16">
        <v>0</v>
      </c>
      <c r="L147" s="16"/>
      <c r="M147" s="16"/>
      <c r="N147" s="16"/>
      <c r="O147" s="16">
        <f t="shared" si="52"/>
        <v>0</v>
      </c>
      <c r="P147" s="16"/>
      <c r="Q147" s="16"/>
      <c r="R147" s="16"/>
      <c r="S147" s="16"/>
      <c r="T147" s="16"/>
      <c r="U147" s="16"/>
      <c r="V147" s="16"/>
      <c r="W147" s="16">
        <f t="shared" si="39"/>
        <v>0</v>
      </c>
      <c r="X147" s="16"/>
      <c r="Y147" s="6" t="s">
        <v>51</v>
      </c>
      <c r="AA147" s="6" t="s">
        <v>51</v>
      </c>
      <c r="AB147" s="6"/>
      <c r="AC147" s="16"/>
      <c r="AD147" s="16"/>
      <c r="AE147" s="16"/>
      <c r="AF147" s="16"/>
      <c r="AG147" s="16"/>
      <c r="AH147" s="16"/>
      <c r="AI147" s="8">
        <f t="shared" si="53"/>
        <v>0</v>
      </c>
      <c r="AJ147" s="8"/>
      <c r="AK147" s="16"/>
      <c r="AL147" s="8"/>
      <c r="AM147" s="16"/>
      <c r="AN147" s="16"/>
      <c r="AO147" s="16"/>
      <c r="AP147" s="16"/>
      <c r="AQ147" s="16"/>
      <c r="AR147" s="16"/>
      <c r="AS147" s="8">
        <f t="shared" si="54"/>
        <v>0</v>
      </c>
      <c r="AT147" s="8"/>
      <c r="AU147" s="16">
        <v>0</v>
      </c>
      <c r="AV147" s="16"/>
      <c r="AW147" s="16">
        <v>0</v>
      </c>
      <c r="AX147" s="16"/>
      <c r="AY147" s="16">
        <f t="shared" si="40"/>
        <v>0</v>
      </c>
      <c r="AZ147" s="16"/>
      <c r="BA147" s="6" t="s">
        <v>51</v>
      </c>
      <c r="BC147" s="6" t="s">
        <v>51</v>
      </c>
      <c r="BD147" s="16"/>
      <c r="BE147" s="16"/>
      <c r="BF147" s="16"/>
      <c r="BG147" s="16"/>
      <c r="BH147" s="16"/>
      <c r="BI147" s="16"/>
      <c r="BJ147" s="16"/>
      <c r="BK147" s="16"/>
      <c r="BL147" s="16"/>
      <c r="BM147" s="16">
        <f t="shared" si="41"/>
        <v>0</v>
      </c>
      <c r="BN147" s="17" t="s">
        <v>345</v>
      </c>
      <c r="BP147" s="18"/>
      <c r="BQ147" s="18"/>
      <c r="BR147" s="14"/>
      <c r="BS147" s="16"/>
      <c r="BT147" s="16"/>
      <c r="BU147" s="16"/>
      <c r="BV147" s="16"/>
      <c r="BW147" s="16"/>
      <c r="BX147" s="8"/>
      <c r="BY147" s="8"/>
      <c r="BZ147" s="16"/>
      <c r="CA147" s="16"/>
      <c r="CB147" s="16"/>
      <c r="CC147" s="16"/>
      <c r="CD147" s="16"/>
      <c r="CE147" s="16"/>
      <c r="CF147" s="6"/>
      <c r="CG147" s="18"/>
      <c r="CH147" s="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7"/>
    </row>
    <row r="148" spans="1:98" ht="12.75" hidden="1" customHeight="1" x14ac:dyDescent="0.2">
      <c r="A148" s="6" t="s">
        <v>163</v>
      </c>
      <c r="C148" s="6" t="s">
        <v>90</v>
      </c>
      <c r="E148" s="16">
        <v>0</v>
      </c>
      <c r="F148" s="16"/>
      <c r="G148" s="16"/>
      <c r="H148" s="16"/>
      <c r="I148" s="16">
        <f t="shared" si="51"/>
        <v>0</v>
      </c>
      <c r="J148" s="16"/>
      <c r="K148" s="16">
        <v>0</v>
      </c>
      <c r="L148" s="16"/>
      <c r="M148" s="16"/>
      <c r="N148" s="16"/>
      <c r="O148" s="16">
        <f t="shared" si="52"/>
        <v>0</v>
      </c>
      <c r="P148" s="16"/>
      <c r="Q148" s="16"/>
      <c r="R148" s="16"/>
      <c r="S148" s="16"/>
      <c r="T148" s="16"/>
      <c r="U148" s="16"/>
      <c r="V148" s="16"/>
      <c r="W148" s="16">
        <f t="shared" si="39"/>
        <v>0</v>
      </c>
      <c r="X148" s="16"/>
      <c r="Y148" s="6" t="s">
        <v>163</v>
      </c>
      <c r="AA148" s="6" t="s">
        <v>90</v>
      </c>
      <c r="AB148" s="6"/>
      <c r="AC148" s="16"/>
      <c r="AD148" s="16"/>
      <c r="AE148" s="16"/>
      <c r="AF148" s="16"/>
      <c r="AG148" s="16"/>
      <c r="AH148" s="16"/>
      <c r="AI148" s="8">
        <f t="shared" si="53"/>
        <v>0</v>
      </c>
      <c r="AJ148" s="8"/>
      <c r="AK148" s="16"/>
      <c r="AL148" s="8"/>
      <c r="AM148" s="16"/>
      <c r="AN148" s="16"/>
      <c r="AO148" s="16"/>
      <c r="AP148" s="16"/>
      <c r="AQ148" s="16"/>
      <c r="AR148" s="16"/>
      <c r="AS148" s="8">
        <f t="shared" si="54"/>
        <v>0</v>
      </c>
      <c r="AT148" s="8"/>
      <c r="AU148" s="16">
        <v>0</v>
      </c>
      <c r="AV148" s="16"/>
      <c r="AW148" s="16">
        <v>0</v>
      </c>
      <c r="AX148" s="16"/>
      <c r="AY148" s="16">
        <f t="shared" si="40"/>
        <v>0</v>
      </c>
      <c r="AZ148" s="16"/>
      <c r="BA148" s="6" t="s">
        <v>163</v>
      </c>
      <c r="BC148" s="6" t="s">
        <v>90</v>
      </c>
      <c r="BD148" s="16"/>
      <c r="BE148" s="16"/>
      <c r="BF148" s="16"/>
      <c r="BG148" s="16"/>
      <c r="BH148" s="16"/>
      <c r="BI148" s="16"/>
      <c r="BJ148" s="16"/>
      <c r="BK148" s="16"/>
      <c r="BL148" s="16"/>
      <c r="BM148" s="16">
        <f t="shared" si="41"/>
        <v>0</v>
      </c>
      <c r="BN148" s="17" t="s">
        <v>345</v>
      </c>
      <c r="BP148" s="18"/>
      <c r="BQ148" s="18"/>
      <c r="BR148" s="14"/>
      <c r="BS148" s="16"/>
      <c r="BT148" s="16"/>
      <c r="BU148" s="16"/>
      <c r="BV148" s="16"/>
      <c r="BW148" s="16"/>
      <c r="BX148" s="8"/>
      <c r="BY148" s="8"/>
      <c r="BZ148" s="16"/>
      <c r="CA148" s="16"/>
      <c r="CB148" s="16"/>
      <c r="CC148" s="16"/>
      <c r="CD148" s="16"/>
      <c r="CE148" s="16"/>
      <c r="CF148" s="6"/>
      <c r="CG148" s="18"/>
      <c r="CH148" s="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7"/>
    </row>
    <row r="149" spans="1:98" ht="12.75" hidden="1" customHeight="1" x14ac:dyDescent="0.2">
      <c r="A149" s="6" t="s">
        <v>164</v>
      </c>
      <c r="C149" s="6" t="s">
        <v>90</v>
      </c>
      <c r="E149" s="16">
        <v>0</v>
      </c>
      <c r="F149" s="16"/>
      <c r="G149" s="16"/>
      <c r="H149" s="16"/>
      <c r="I149" s="16">
        <f t="shared" si="51"/>
        <v>0</v>
      </c>
      <c r="J149" s="16"/>
      <c r="K149" s="16">
        <v>0</v>
      </c>
      <c r="L149" s="16"/>
      <c r="M149" s="16"/>
      <c r="N149" s="16"/>
      <c r="O149" s="16">
        <f t="shared" si="52"/>
        <v>0</v>
      </c>
      <c r="P149" s="16"/>
      <c r="Q149" s="16"/>
      <c r="R149" s="16"/>
      <c r="S149" s="16"/>
      <c r="T149" s="16"/>
      <c r="U149" s="16"/>
      <c r="V149" s="16"/>
      <c r="W149" s="16">
        <f t="shared" si="39"/>
        <v>0</v>
      </c>
      <c r="X149" s="16"/>
      <c r="Y149" s="6" t="s">
        <v>164</v>
      </c>
      <c r="AA149" s="6" t="s">
        <v>90</v>
      </c>
      <c r="AB149" s="6"/>
      <c r="AC149" s="16"/>
      <c r="AD149" s="16"/>
      <c r="AE149" s="16"/>
      <c r="AF149" s="16"/>
      <c r="AG149" s="16"/>
      <c r="AH149" s="16"/>
      <c r="AI149" s="8">
        <f t="shared" si="53"/>
        <v>0</v>
      </c>
      <c r="AJ149" s="8"/>
      <c r="AK149" s="16"/>
      <c r="AL149" s="8"/>
      <c r="AM149" s="16"/>
      <c r="AN149" s="16"/>
      <c r="AO149" s="16"/>
      <c r="AP149" s="16"/>
      <c r="AQ149" s="16"/>
      <c r="AR149" s="16"/>
      <c r="AS149" s="8">
        <f t="shared" si="54"/>
        <v>0</v>
      </c>
      <c r="AT149" s="8"/>
      <c r="AU149" s="16">
        <v>0</v>
      </c>
      <c r="AV149" s="16"/>
      <c r="AW149" s="16">
        <v>0</v>
      </c>
      <c r="AX149" s="16"/>
      <c r="AY149" s="16">
        <f t="shared" si="40"/>
        <v>0</v>
      </c>
      <c r="AZ149" s="16"/>
      <c r="BA149" s="6" t="s">
        <v>164</v>
      </c>
      <c r="BC149" s="6" t="s">
        <v>90</v>
      </c>
      <c r="BD149" s="16"/>
      <c r="BE149" s="16"/>
      <c r="BF149" s="16"/>
      <c r="BG149" s="16"/>
      <c r="BH149" s="16"/>
      <c r="BI149" s="16"/>
      <c r="BJ149" s="16"/>
      <c r="BK149" s="16"/>
      <c r="BL149" s="16"/>
      <c r="BM149" s="16">
        <f t="shared" si="41"/>
        <v>0</v>
      </c>
      <c r="BN149" s="17"/>
      <c r="BP149" s="18"/>
      <c r="BQ149" s="18"/>
      <c r="BR149" s="14"/>
      <c r="BS149" s="16"/>
      <c r="BT149" s="16"/>
      <c r="BU149" s="16"/>
      <c r="BV149" s="16"/>
      <c r="BW149" s="16"/>
      <c r="BX149" s="8"/>
      <c r="BY149" s="8"/>
      <c r="BZ149" s="16"/>
      <c r="CA149" s="16"/>
      <c r="CB149" s="16"/>
      <c r="CC149" s="16"/>
      <c r="CD149" s="16"/>
      <c r="CE149" s="16"/>
      <c r="CF149" s="6"/>
      <c r="CG149" s="18"/>
      <c r="CH149" s="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7"/>
    </row>
    <row r="150" spans="1:98" ht="12.75" customHeight="1" x14ac:dyDescent="0.2">
      <c r="A150" s="6" t="s">
        <v>165</v>
      </c>
      <c r="C150" s="6" t="s">
        <v>64</v>
      </c>
      <c r="E150" s="16">
        <v>3087084</v>
      </c>
      <c r="F150" s="16"/>
      <c r="G150" s="16">
        <v>13741077</v>
      </c>
      <c r="H150" s="16"/>
      <c r="I150" s="16">
        <f t="shared" si="51"/>
        <v>16828161</v>
      </c>
      <c r="J150" s="16"/>
      <c r="K150" s="16">
        <v>559333</v>
      </c>
      <c r="L150" s="16"/>
      <c r="M150" s="16">
        <v>3848065</v>
      </c>
      <c r="N150" s="16"/>
      <c r="O150" s="16">
        <f t="shared" si="52"/>
        <v>4407398</v>
      </c>
      <c r="P150" s="16"/>
      <c r="Q150" s="16">
        <v>9497671</v>
      </c>
      <c r="R150" s="16"/>
      <c r="S150" s="16">
        <v>552692</v>
      </c>
      <c r="T150" s="16"/>
      <c r="U150" s="16">
        <v>2370400</v>
      </c>
      <c r="V150" s="16"/>
      <c r="W150" s="16">
        <f t="shared" si="39"/>
        <v>12420763</v>
      </c>
      <c r="X150" s="16"/>
      <c r="Y150" s="6" t="s">
        <v>165</v>
      </c>
      <c r="AA150" s="6" t="s">
        <v>64</v>
      </c>
      <c r="AB150" s="6"/>
      <c r="AC150" s="16">
        <v>2645558</v>
      </c>
      <c r="AD150" s="16"/>
      <c r="AE150" s="16">
        <f>3032718-425734</f>
        <v>2606984</v>
      </c>
      <c r="AF150" s="16"/>
      <c r="AG150" s="16">
        <v>425734</v>
      </c>
      <c r="AH150" s="16"/>
      <c r="AI150" s="8">
        <f t="shared" si="53"/>
        <v>-387160</v>
      </c>
      <c r="AJ150" s="8"/>
      <c r="AK150" s="16">
        <v>829872</v>
      </c>
      <c r="AL150" s="8"/>
      <c r="AM150" s="16">
        <v>0</v>
      </c>
      <c r="AN150" s="16"/>
      <c r="AO150" s="16">
        <v>7782</v>
      </c>
      <c r="AP150" s="16"/>
      <c r="AQ150" s="16">
        <v>347000</v>
      </c>
      <c r="AR150" s="16"/>
      <c r="AS150" s="8">
        <f t="shared" si="54"/>
        <v>781930</v>
      </c>
      <c r="AT150" s="8"/>
      <c r="AU150" s="16">
        <v>0</v>
      </c>
      <c r="AV150" s="16"/>
      <c r="AW150" s="16">
        <v>0</v>
      </c>
      <c r="AX150" s="16"/>
      <c r="AY150" s="16">
        <f t="shared" si="40"/>
        <v>2527751</v>
      </c>
      <c r="AZ150" s="16"/>
      <c r="BA150" s="6" t="s">
        <v>165</v>
      </c>
      <c r="BC150" s="6" t="s">
        <v>64</v>
      </c>
      <c r="BD150" s="16"/>
      <c r="BE150" s="16">
        <f>3842843+400563</f>
        <v>4243406</v>
      </c>
      <c r="BF150" s="16"/>
      <c r="BG150" s="16">
        <v>0</v>
      </c>
      <c r="BH150" s="16"/>
      <c r="BI150" s="16">
        <v>0</v>
      </c>
      <c r="BJ150" s="16"/>
      <c r="BK150" s="16">
        <f>5222+42927</f>
        <v>48149</v>
      </c>
      <c r="BL150" s="16"/>
      <c r="BM150" s="16">
        <f t="shared" si="41"/>
        <v>4291555</v>
      </c>
      <c r="BN150" s="17" t="s">
        <v>345</v>
      </c>
      <c r="BP150" s="18"/>
      <c r="BQ150" s="18"/>
      <c r="BR150" s="14"/>
      <c r="BS150" s="16"/>
      <c r="BT150" s="16"/>
      <c r="BU150" s="16"/>
      <c r="BV150" s="16"/>
      <c r="BW150" s="16"/>
      <c r="BX150" s="8"/>
      <c r="BY150" s="8"/>
      <c r="BZ150" s="16"/>
      <c r="CA150" s="16"/>
      <c r="CB150" s="16"/>
      <c r="CC150" s="16"/>
      <c r="CD150" s="16"/>
      <c r="CE150" s="16"/>
      <c r="CF150" s="6"/>
      <c r="CG150" s="18"/>
      <c r="CH150" s="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7"/>
    </row>
    <row r="151" spans="1:98" ht="12.75" hidden="1" customHeight="1" x14ac:dyDescent="0.2">
      <c r="A151" s="7" t="s">
        <v>166</v>
      </c>
      <c r="C151" s="7" t="s">
        <v>25</v>
      </c>
      <c r="E151" s="16">
        <v>0</v>
      </c>
      <c r="F151" s="16"/>
      <c r="G151" s="16"/>
      <c r="H151" s="16"/>
      <c r="I151" s="16">
        <f t="shared" si="51"/>
        <v>0</v>
      </c>
      <c r="J151" s="16"/>
      <c r="K151" s="16">
        <v>0</v>
      </c>
      <c r="L151" s="16"/>
      <c r="M151" s="16"/>
      <c r="N151" s="16"/>
      <c r="O151" s="16">
        <f t="shared" si="52"/>
        <v>0</v>
      </c>
      <c r="P151" s="16"/>
      <c r="Q151" s="16"/>
      <c r="R151" s="16"/>
      <c r="S151" s="16"/>
      <c r="T151" s="16"/>
      <c r="U151" s="16"/>
      <c r="V151" s="16"/>
      <c r="W151" s="16">
        <f t="shared" si="39"/>
        <v>0</v>
      </c>
      <c r="X151" s="16"/>
      <c r="Y151" s="7" t="s">
        <v>166</v>
      </c>
      <c r="AA151" s="7" t="s">
        <v>25</v>
      </c>
      <c r="AB151" s="7"/>
      <c r="AC151" s="16"/>
      <c r="AD151" s="16"/>
      <c r="AE151" s="16"/>
      <c r="AF151" s="16"/>
      <c r="AG151" s="16"/>
      <c r="AH151" s="16"/>
      <c r="AI151" s="8">
        <f t="shared" si="53"/>
        <v>0</v>
      </c>
      <c r="AJ151" s="8"/>
      <c r="AK151" s="16"/>
      <c r="AL151" s="8"/>
      <c r="AM151" s="16"/>
      <c r="AN151" s="16"/>
      <c r="AO151" s="16"/>
      <c r="AP151" s="16"/>
      <c r="AQ151" s="16"/>
      <c r="AR151" s="16"/>
      <c r="AS151" s="8">
        <f t="shared" si="54"/>
        <v>0</v>
      </c>
      <c r="AT151" s="8"/>
      <c r="AU151" s="16">
        <v>0</v>
      </c>
      <c r="AV151" s="16"/>
      <c r="AW151" s="16">
        <v>0</v>
      </c>
      <c r="AX151" s="16"/>
      <c r="AY151" s="16">
        <f t="shared" si="40"/>
        <v>0</v>
      </c>
      <c r="AZ151" s="16"/>
      <c r="BA151" s="7" t="s">
        <v>166</v>
      </c>
      <c r="BC151" s="7" t="s">
        <v>25</v>
      </c>
      <c r="BD151" s="16"/>
      <c r="BE151" s="16"/>
      <c r="BF151" s="16"/>
      <c r="BG151" s="16"/>
      <c r="BH151" s="16"/>
      <c r="BI151" s="16"/>
      <c r="BJ151" s="16"/>
      <c r="BK151" s="16"/>
      <c r="BL151" s="16"/>
      <c r="BM151" s="16">
        <f t="shared" si="41"/>
        <v>0</v>
      </c>
      <c r="BN151" s="17" t="s">
        <v>345</v>
      </c>
      <c r="BP151" s="18"/>
      <c r="BQ151" s="18"/>
      <c r="BR151" s="14"/>
      <c r="BS151" s="16"/>
      <c r="BT151" s="16"/>
      <c r="BU151" s="16"/>
      <c r="BV151" s="16"/>
      <c r="BW151" s="16"/>
      <c r="BX151" s="8"/>
      <c r="BY151" s="8"/>
      <c r="BZ151" s="16"/>
      <c r="CA151" s="16"/>
      <c r="CB151" s="16"/>
      <c r="CC151" s="16"/>
      <c r="CD151" s="16"/>
      <c r="CE151" s="16"/>
      <c r="CF151" s="6"/>
      <c r="CG151" s="18"/>
      <c r="CH151" s="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7"/>
    </row>
    <row r="152" spans="1:98" ht="12.75" customHeight="1" x14ac:dyDescent="0.2">
      <c r="A152" s="6" t="s">
        <v>167</v>
      </c>
      <c r="C152" s="6" t="s">
        <v>101</v>
      </c>
      <c r="E152" s="16">
        <v>7533909</v>
      </c>
      <c r="F152" s="16"/>
      <c r="G152" s="16">
        <v>31725303</v>
      </c>
      <c r="H152" s="16"/>
      <c r="I152" s="16">
        <f t="shared" si="51"/>
        <v>39259212</v>
      </c>
      <c r="J152" s="16"/>
      <c r="K152" s="16">
        <v>1097218</v>
      </c>
      <c r="L152" s="16"/>
      <c r="M152" s="16">
        <v>7816418</v>
      </c>
      <c r="N152" s="16"/>
      <c r="O152" s="16">
        <f t="shared" si="52"/>
        <v>8913636</v>
      </c>
      <c r="P152" s="16"/>
      <c r="Q152" s="16">
        <v>23192830</v>
      </c>
      <c r="R152" s="16"/>
      <c r="S152" s="16">
        <v>743988</v>
      </c>
      <c r="T152" s="16"/>
      <c r="U152" s="16">
        <v>6408758</v>
      </c>
      <c r="V152" s="16"/>
      <c r="W152" s="16">
        <f t="shared" si="39"/>
        <v>30345576</v>
      </c>
      <c r="X152" s="16"/>
      <c r="Y152" s="6" t="s">
        <v>167</v>
      </c>
      <c r="AA152" s="6" t="s">
        <v>101</v>
      </c>
      <c r="AB152" s="6"/>
      <c r="AC152" s="16">
        <v>8257295</v>
      </c>
      <c r="AD152" s="16"/>
      <c r="AE152" s="16">
        <f>6853216-1651971</f>
        <v>5201245</v>
      </c>
      <c r="AF152" s="16"/>
      <c r="AG152" s="16">
        <v>1651971</v>
      </c>
      <c r="AH152" s="16"/>
      <c r="AI152" s="8">
        <f t="shared" si="53"/>
        <v>1404079</v>
      </c>
      <c r="AJ152" s="8"/>
      <c r="AK152" s="16">
        <v>-311963</v>
      </c>
      <c r="AL152" s="8"/>
      <c r="AM152" s="16">
        <v>0</v>
      </c>
      <c r="AN152" s="16"/>
      <c r="AO152" s="16">
        <v>31764</v>
      </c>
      <c r="AP152" s="16"/>
      <c r="AQ152" s="16">
        <v>31500</v>
      </c>
      <c r="AR152" s="16"/>
      <c r="AS152" s="8">
        <f t="shared" si="54"/>
        <v>1091852</v>
      </c>
      <c r="AT152" s="8"/>
      <c r="AU152" s="16">
        <v>0</v>
      </c>
      <c r="AV152" s="16"/>
      <c r="AW152" s="16">
        <v>0</v>
      </c>
      <c r="AX152" s="16"/>
      <c r="AY152" s="16">
        <f t="shared" si="40"/>
        <v>6436691</v>
      </c>
      <c r="AZ152" s="16"/>
      <c r="BA152" s="6" t="s">
        <v>167</v>
      </c>
      <c r="BC152" s="6" t="s">
        <v>101</v>
      </c>
      <c r="BD152" s="16"/>
      <c r="BE152" s="16">
        <f>6090000+325000</f>
        <v>6415000</v>
      </c>
      <c r="BF152" s="16"/>
      <c r="BG152" s="16">
        <v>0</v>
      </c>
      <c r="BH152" s="16"/>
      <c r="BI152" s="16">
        <v>0</v>
      </c>
      <c r="BJ152" s="16"/>
      <c r="BK152" s="16">
        <f>132705+1433075+106638+54000+90156+418988</f>
        <v>2235562</v>
      </c>
      <c r="BL152" s="16"/>
      <c r="BM152" s="16">
        <f t="shared" si="41"/>
        <v>8650562</v>
      </c>
      <c r="BN152" s="17" t="s">
        <v>345</v>
      </c>
      <c r="BP152" s="18"/>
      <c r="BQ152" s="18"/>
      <c r="BR152" s="14"/>
      <c r="BS152" s="16"/>
      <c r="BT152" s="16"/>
      <c r="BU152" s="16"/>
      <c r="BV152" s="16"/>
      <c r="BW152" s="16"/>
      <c r="BX152" s="8"/>
      <c r="BY152" s="8"/>
      <c r="BZ152" s="16"/>
      <c r="CA152" s="16"/>
      <c r="CB152" s="16"/>
      <c r="CC152" s="16"/>
      <c r="CD152" s="16"/>
      <c r="CE152" s="16"/>
      <c r="CF152" s="6"/>
      <c r="CG152" s="18"/>
      <c r="CH152" s="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7"/>
    </row>
    <row r="153" spans="1:98" ht="12.75" customHeight="1" x14ac:dyDescent="0.2">
      <c r="A153" s="6" t="s">
        <v>168</v>
      </c>
      <c r="C153" s="6" t="s">
        <v>169</v>
      </c>
      <c r="E153" s="16">
        <v>3106253</v>
      </c>
      <c r="F153" s="16"/>
      <c r="G153" s="16">
        <v>9765300</v>
      </c>
      <c r="H153" s="16"/>
      <c r="I153" s="16">
        <f t="shared" si="51"/>
        <v>12871553</v>
      </c>
      <c r="J153" s="16"/>
      <c r="K153" s="16">
        <v>355782</v>
      </c>
      <c r="L153" s="16"/>
      <c r="M153" s="16">
        <v>3131794</v>
      </c>
      <c r="N153" s="16"/>
      <c r="O153" s="16">
        <f t="shared" si="52"/>
        <v>3487576</v>
      </c>
      <c r="P153" s="16"/>
      <c r="Q153" s="16">
        <v>6322018</v>
      </c>
      <c r="R153" s="16"/>
      <c r="S153" s="16">
        <v>0</v>
      </c>
      <c r="T153" s="16"/>
      <c r="U153" s="16">
        <v>3061959</v>
      </c>
      <c r="V153" s="16"/>
      <c r="W153" s="16">
        <f t="shared" si="39"/>
        <v>9383977</v>
      </c>
      <c r="X153" s="16"/>
      <c r="Y153" s="6" t="s">
        <v>168</v>
      </c>
      <c r="AA153" s="6" t="s">
        <v>169</v>
      </c>
      <c r="AB153" s="6"/>
      <c r="AC153" s="16">
        <v>1005153</v>
      </c>
      <c r="AD153" s="16"/>
      <c r="AE153" s="16">
        <f>1112921-403328</f>
        <v>709593</v>
      </c>
      <c r="AF153" s="16"/>
      <c r="AG153" s="16">
        <v>403328</v>
      </c>
      <c r="AH153" s="16"/>
      <c r="AI153" s="8">
        <f t="shared" si="53"/>
        <v>-107768</v>
      </c>
      <c r="AJ153" s="8"/>
      <c r="AK153" s="16">
        <v>-2669</v>
      </c>
      <c r="AL153" s="8"/>
      <c r="AM153" s="16">
        <v>0</v>
      </c>
      <c r="AN153" s="16"/>
      <c r="AO153" s="16">
        <v>0</v>
      </c>
      <c r="AP153" s="16"/>
      <c r="AQ153" s="16">
        <v>0</v>
      </c>
      <c r="AR153" s="16"/>
      <c r="AS153" s="8">
        <f t="shared" si="54"/>
        <v>-110437</v>
      </c>
      <c r="AT153" s="8"/>
      <c r="AU153" s="16">
        <v>0</v>
      </c>
      <c r="AV153" s="16"/>
      <c r="AW153" s="16">
        <v>0</v>
      </c>
      <c r="AX153" s="16"/>
      <c r="AY153" s="16">
        <f t="shared" si="40"/>
        <v>2750471</v>
      </c>
      <c r="AZ153" s="16"/>
      <c r="BA153" s="6" t="s">
        <v>168</v>
      </c>
      <c r="BC153" s="6" t="s">
        <v>169</v>
      </c>
      <c r="BD153" s="16"/>
      <c r="BE153" s="16">
        <v>0</v>
      </c>
      <c r="BF153" s="16"/>
      <c r="BG153" s="16">
        <v>0</v>
      </c>
      <c r="BH153" s="16"/>
      <c r="BI153" s="16">
        <f>2192025+932727+203701+114829</f>
        <v>3443282</v>
      </c>
      <c r="BJ153" s="16"/>
      <c r="BK153" s="16">
        <f>7042+13185</f>
        <v>20227</v>
      </c>
      <c r="BL153" s="16"/>
      <c r="BM153" s="16">
        <f t="shared" si="41"/>
        <v>3463509</v>
      </c>
      <c r="BN153" s="17" t="s">
        <v>345</v>
      </c>
      <c r="BP153" s="18"/>
      <c r="BQ153" s="18"/>
      <c r="BR153" s="14"/>
      <c r="BS153" s="16"/>
      <c r="BT153" s="16"/>
      <c r="BU153" s="16"/>
      <c r="BV153" s="16"/>
      <c r="BW153" s="16"/>
      <c r="BX153" s="8"/>
      <c r="BY153" s="8"/>
      <c r="BZ153" s="16"/>
      <c r="CA153" s="16"/>
      <c r="CB153" s="16"/>
      <c r="CC153" s="16"/>
      <c r="CD153" s="16"/>
      <c r="CE153" s="16"/>
      <c r="CF153" s="6"/>
      <c r="CG153" s="18"/>
      <c r="CH153" s="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7"/>
    </row>
    <row r="154" spans="1:98" ht="12.75" customHeight="1" x14ac:dyDescent="0.2">
      <c r="A154" s="6" t="s">
        <v>170</v>
      </c>
      <c r="C154" s="6" t="s">
        <v>101</v>
      </c>
      <c r="E154" s="16">
        <v>315585</v>
      </c>
      <c r="F154" s="16"/>
      <c r="G154" s="16">
        <v>250849</v>
      </c>
      <c r="H154" s="16"/>
      <c r="I154" s="16">
        <f t="shared" si="51"/>
        <v>566434</v>
      </c>
      <c r="J154" s="16"/>
      <c r="K154" s="16">
        <v>150404</v>
      </c>
      <c r="L154" s="16"/>
      <c r="M154" s="16">
        <v>0</v>
      </c>
      <c r="N154" s="16"/>
      <c r="O154" s="16">
        <f t="shared" si="52"/>
        <v>150404</v>
      </c>
      <c r="P154" s="16"/>
      <c r="Q154" s="16">
        <v>250849</v>
      </c>
      <c r="R154" s="16"/>
      <c r="S154" s="16">
        <v>0</v>
      </c>
      <c r="T154" s="16"/>
      <c r="U154" s="16">
        <v>165181</v>
      </c>
      <c r="V154" s="16"/>
      <c r="W154" s="16">
        <f t="shared" si="39"/>
        <v>416030</v>
      </c>
      <c r="X154" s="16"/>
      <c r="Y154" s="6" t="s">
        <v>170</v>
      </c>
      <c r="AA154" s="6" t="s">
        <v>101</v>
      </c>
      <c r="AB154" s="6"/>
      <c r="AC154" s="16">
        <v>1087309</v>
      </c>
      <c r="AD154" s="16"/>
      <c r="AE154" s="16">
        <f>1167855-1049</f>
        <v>1166806</v>
      </c>
      <c r="AF154" s="16"/>
      <c r="AG154" s="16">
        <v>1049</v>
      </c>
      <c r="AH154" s="16"/>
      <c r="AI154" s="8">
        <f t="shared" si="53"/>
        <v>-80546</v>
      </c>
      <c r="AJ154" s="8"/>
      <c r="AK154" s="16">
        <v>0</v>
      </c>
      <c r="AL154" s="8"/>
      <c r="AM154" s="16">
        <v>0</v>
      </c>
      <c r="AN154" s="16"/>
      <c r="AO154" s="16">
        <v>0</v>
      </c>
      <c r="AP154" s="16"/>
      <c r="AQ154" s="16">
        <v>0</v>
      </c>
      <c r="AR154" s="16"/>
      <c r="AS154" s="8">
        <f t="shared" si="54"/>
        <v>-80546</v>
      </c>
      <c r="AT154" s="8"/>
      <c r="AU154" s="16">
        <v>0</v>
      </c>
      <c r="AV154" s="16"/>
      <c r="AW154" s="16">
        <v>0</v>
      </c>
      <c r="AX154" s="16"/>
      <c r="AY154" s="16">
        <f t="shared" si="40"/>
        <v>165181</v>
      </c>
      <c r="AZ154" s="16"/>
      <c r="BA154" s="6" t="s">
        <v>170</v>
      </c>
      <c r="BC154" s="6" t="s">
        <v>101</v>
      </c>
      <c r="BD154" s="16"/>
      <c r="BE154" s="16">
        <v>0</v>
      </c>
      <c r="BF154" s="16"/>
      <c r="BG154" s="16">
        <v>0</v>
      </c>
      <c r="BH154" s="16"/>
      <c r="BI154" s="16">
        <v>0</v>
      </c>
      <c r="BJ154" s="16"/>
      <c r="BK154" s="16">
        <v>0</v>
      </c>
      <c r="BL154" s="16"/>
      <c r="BM154" s="16">
        <f t="shared" si="41"/>
        <v>0</v>
      </c>
      <c r="BN154" s="17" t="s">
        <v>345</v>
      </c>
      <c r="BP154" s="18"/>
      <c r="BQ154" s="18"/>
      <c r="BR154" s="14"/>
      <c r="BS154" s="16"/>
      <c r="BT154" s="16"/>
      <c r="BU154" s="16"/>
      <c r="BV154" s="16"/>
      <c r="BW154" s="16"/>
      <c r="BX154" s="8"/>
      <c r="BY154" s="8"/>
      <c r="BZ154" s="16"/>
      <c r="CA154" s="16"/>
      <c r="CB154" s="16"/>
      <c r="CC154" s="16"/>
      <c r="CD154" s="16"/>
      <c r="CE154" s="16"/>
      <c r="CF154" s="6"/>
      <c r="CG154" s="18"/>
      <c r="CH154" s="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7"/>
    </row>
    <row r="155" spans="1:98" ht="12.75" hidden="1" customHeight="1" x14ac:dyDescent="0.2">
      <c r="A155" s="6" t="s">
        <v>64</v>
      </c>
      <c r="C155" s="6" t="s">
        <v>43</v>
      </c>
      <c r="E155" s="16">
        <v>0</v>
      </c>
      <c r="F155" s="16"/>
      <c r="G155" s="16"/>
      <c r="H155" s="16"/>
      <c r="I155" s="16">
        <f t="shared" si="51"/>
        <v>0</v>
      </c>
      <c r="J155" s="16"/>
      <c r="K155" s="16">
        <v>0</v>
      </c>
      <c r="L155" s="16"/>
      <c r="M155" s="16"/>
      <c r="N155" s="16"/>
      <c r="O155" s="16">
        <f t="shared" si="52"/>
        <v>0</v>
      </c>
      <c r="P155" s="16"/>
      <c r="Q155" s="16"/>
      <c r="R155" s="16"/>
      <c r="S155" s="16"/>
      <c r="T155" s="16"/>
      <c r="U155" s="16"/>
      <c r="V155" s="16"/>
      <c r="W155" s="16">
        <f t="shared" si="39"/>
        <v>0</v>
      </c>
      <c r="X155" s="16"/>
      <c r="Y155" s="6" t="s">
        <v>64</v>
      </c>
      <c r="AA155" s="6" t="s">
        <v>43</v>
      </c>
      <c r="AB155" s="6"/>
      <c r="AC155" s="16"/>
      <c r="AD155" s="16"/>
      <c r="AE155" s="16"/>
      <c r="AF155" s="16"/>
      <c r="AG155" s="16"/>
      <c r="AH155" s="16"/>
      <c r="AI155" s="8">
        <f t="shared" si="53"/>
        <v>0</v>
      </c>
      <c r="AJ155" s="8"/>
      <c r="AK155" s="16"/>
      <c r="AL155" s="8"/>
      <c r="AM155" s="16"/>
      <c r="AN155" s="16"/>
      <c r="AO155" s="16"/>
      <c r="AP155" s="16"/>
      <c r="AQ155" s="16"/>
      <c r="AR155" s="16"/>
      <c r="AS155" s="8">
        <f t="shared" si="54"/>
        <v>0</v>
      </c>
      <c r="AT155" s="8"/>
      <c r="AU155" s="16">
        <v>0</v>
      </c>
      <c r="AV155" s="16"/>
      <c r="AW155" s="16">
        <v>0</v>
      </c>
      <c r="AX155" s="16"/>
      <c r="AY155" s="16">
        <f t="shared" si="40"/>
        <v>0</v>
      </c>
      <c r="AZ155" s="16"/>
      <c r="BA155" s="6" t="s">
        <v>64</v>
      </c>
      <c r="BC155" s="6" t="s">
        <v>43</v>
      </c>
      <c r="BD155" s="16"/>
      <c r="BE155" s="16"/>
      <c r="BF155" s="16"/>
      <c r="BG155" s="16"/>
      <c r="BH155" s="16"/>
      <c r="BI155" s="16"/>
      <c r="BJ155" s="16"/>
      <c r="BK155" s="16"/>
      <c r="BL155" s="16"/>
      <c r="BM155" s="16">
        <f t="shared" si="41"/>
        <v>0</v>
      </c>
      <c r="BN155" s="17" t="s">
        <v>345</v>
      </c>
      <c r="BP155" s="18"/>
      <c r="BQ155" s="18"/>
      <c r="BR155" s="14"/>
      <c r="BS155" s="16"/>
      <c r="BT155" s="16"/>
      <c r="BU155" s="16"/>
      <c r="BV155" s="16"/>
      <c r="BW155" s="16"/>
      <c r="BX155" s="8"/>
      <c r="BY155" s="8"/>
      <c r="BZ155" s="16"/>
      <c r="CA155" s="16"/>
      <c r="CB155" s="16"/>
      <c r="CC155" s="16"/>
      <c r="CD155" s="16"/>
      <c r="CE155" s="16"/>
      <c r="CF155" s="6"/>
      <c r="CG155" s="18"/>
      <c r="CH155" s="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7"/>
    </row>
    <row r="156" spans="1:98" ht="12.75" hidden="1" customHeight="1" x14ac:dyDescent="0.2">
      <c r="A156" s="6" t="s">
        <v>171</v>
      </c>
      <c r="C156" s="6" t="s">
        <v>64</v>
      </c>
      <c r="E156" s="16">
        <v>0</v>
      </c>
      <c r="F156" s="16"/>
      <c r="G156" s="16"/>
      <c r="H156" s="16"/>
      <c r="I156" s="16">
        <f t="shared" si="51"/>
        <v>0</v>
      </c>
      <c r="J156" s="16"/>
      <c r="K156" s="16">
        <v>0</v>
      </c>
      <c r="L156" s="16"/>
      <c r="M156" s="16"/>
      <c r="N156" s="16"/>
      <c r="O156" s="16">
        <f t="shared" si="52"/>
        <v>0</v>
      </c>
      <c r="P156" s="16"/>
      <c r="Q156" s="16"/>
      <c r="R156" s="16"/>
      <c r="S156" s="16"/>
      <c r="T156" s="16"/>
      <c r="U156" s="16"/>
      <c r="V156" s="16"/>
      <c r="W156" s="16">
        <f t="shared" si="39"/>
        <v>0</v>
      </c>
      <c r="X156" s="16"/>
      <c r="Y156" s="6" t="s">
        <v>171</v>
      </c>
      <c r="AA156" s="6" t="s">
        <v>64</v>
      </c>
      <c r="AB156" s="6"/>
      <c r="AC156" s="16"/>
      <c r="AD156" s="16"/>
      <c r="AE156" s="16"/>
      <c r="AF156" s="16"/>
      <c r="AG156" s="16"/>
      <c r="AH156" s="16"/>
      <c r="AI156" s="8">
        <f t="shared" si="53"/>
        <v>0</v>
      </c>
      <c r="AJ156" s="8"/>
      <c r="AK156" s="16"/>
      <c r="AL156" s="8"/>
      <c r="AM156" s="16"/>
      <c r="AN156" s="16"/>
      <c r="AO156" s="16"/>
      <c r="AP156" s="16"/>
      <c r="AQ156" s="16"/>
      <c r="AR156" s="16"/>
      <c r="AS156" s="8">
        <f t="shared" si="54"/>
        <v>0</v>
      </c>
      <c r="AT156" s="8"/>
      <c r="AU156" s="16">
        <v>0</v>
      </c>
      <c r="AV156" s="16"/>
      <c r="AW156" s="16">
        <v>0</v>
      </c>
      <c r="AX156" s="16"/>
      <c r="AY156" s="16">
        <f t="shared" si="40"/>
        <v>0</v>
      </c>
      <c r="AZ156" s="16"/>
      <c r="BA156" s="6" t="s">
        <v>171</v>
      </c>
      <c r="BC156" s="6" t="s">
        <v>64</v>
      </c>
      <c r="BD156" s="16"/>
      <c r="BE156" s="16"/>
      <c r="BF156" s="16"/>
      <c r="BG156" s="16"/>
      <c r="BH156" s="16"/>
      <c r="BI156" s="16"/>
      <c r="BJ156" s="16"/>
      <c r="BK156" s="16"/>
      <c r="BL156" s="16"/>
      <c r="BM156" s="16">
        <f t="shared" ref="BM156:BM168" si="58">SUM(BE156:BK156)</f>
        <v>0</v>
      </c>
      <c r="BN156" s="17" t="s">
        <v>345</v>
      </c>
      <c r="BP156" s="18"/>
      <c r="BQ156" s="18"/>
      <c r="BR156" s="14"/>
      <c r="BS156" s="16"/>
      <c r="BT156" s="16"/>
      <c r="BU156" s="16"/>
      <c r="BV156" s="16"/>
      <c r="BW156" s="16"/>
      <c r="BX156" s="8"/>
      <c r="BY156" s="8"/>
      <c r="BZ156" s="16"/>
      <c r="CA156" s="16"/>
      <c r="CB156" s="16"/>
      <c r="CC156" s="16"/>
      <c r="CD156" s="16"/>
      <c r="CE156" s="16"/>
      <c r="CF156" s="6"/>
      <c r="CG156" s="18"/>
      <c r="CH156" s="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7"/>
    </row>
    <row r="157" spans="1:98" ht="12.75" hidden="1" customHeight="1" x14ac:dyDescent="0.2">
      <c r="A157" s="6" t="s">
        <v>172</v>
      </c>
      <c r="C157" s="6" t="s">
        <v>43</v>
      </c>
      <c r="E157" s="16">
        <v>0</v>
      </c>
      <c r="F157" s="16"/>
      <c r="G157" s="16"/>
      <c r="H157" s="16"/>
      <c r="I157" s="16">
        <f t="shared" si="51"/>
        <v>0</v>
      </c>
      <c r="J157" s="16"/>
      <c r="K157" s="16">
        <v>0</v>
      </c>
      <c r="L157" s="16"/>
      <c r="M157" s="16"/>
      <c r="N157" s="16"/>
      <c r="O157" s="16">
        <f t="shared" si="52"/>
        <v>0</v>
      </c>
      <c r="P157" s="16"/>
      <c r="Q157" s="16"/>
      <c r="R157" s="16"/>
      <c r="S157" s="16"/>
      <c r="T157" s="16"/>
      <c r="U157" s="16"/>
      <c r="V157" s="16"/>
      <c r="W157" s="16">
        <f t="shared" ref="W157:W168" si="59">SUM(Q157:U157)</f>
        <v>0</v>
      </c>
      <c r="X157" s="16"/>
      <c r="Y157" s="6" t="s">
        <v>172</v>
      </c>
      <c r="AA157" s="6" t="s">
        <v>43</v>
      </c>
      <c r="AB157" s="6"/>
      <c r="AC157" s="16"/>
      <c r="AD157" s="16"/>
      <c r="AE157" s="16"/>
      <c r="AF157" s="16"/>
      <c r="AG157" s="16"/>
      <c r="AH157" s="16"/>
      <c r="AI157" s="8">
        <f t="shared" ref="AI157:AI168" si="60">+AC157-AE157-AG157</f>
        <v>0</v>
      </c>
      <c r="AJ157" s="8"/>
      <c r="AK157" s="16"/>
      <c r="AL157" s="8"/>
      <c r="AM157" s="16"/>
      <c r="AN157" s="16"/>
      <c r="AO157" s="16"/>
      <c r="AP157" s="16"/>
      <c r="AQ157" s="16"/>
      <c r="AR157" s="16"/>
      <c r="AS157" s="8">
        <f t="shared" si="54"/>
        <v>0</v>
      </c>
      <c r="AT157" s="8"/>
      <c r="AU157" s="16">
        <v>0</v>
      </c>
      <c r="AV157" s="16"/>
      <c r="AW157" s="16">
        <v>0</v>
      </c>
      <c r="AX157" s="16"/>
      <c r="AY157" s="16">
        <f t="shared" ref="AY157:AY168" si="61">+E157-K157</f>
        <v>0</v>
      </c>
      <c r="AZ157" s="16"/>
      <c r="BA157" s="6" t="s">
        <v>172</v>
      </c>
      <c r="BC157" s="6" t="s">
        <v>43</v>
      </c>
      <c r="BD157" s="16"/>
      <c r="BE157" s="16"/>
      <c r="BF157" s="16"/>
      <c r="BG157" s="16"/>
      <c r="BH157" s="16"/>
      <c r="BI157" s="16"/>
      <c r="BJ157" s="16"/>
      <c r="BK157" s="16"/>
      <c r="BL157" s="16"/>
      <c r="BM157" s="16">
        <f t="shared" si="58"/>
        <v>0</v>
      </c>
      <c r="BN157" s="17" t="s">
        <v>345</v>
      </c>
      <c r="BO157" s="18" t="s">
        <v>404</v>
      </c>
      <c r="BP157" s="18"/>
      <c r="BQ157" s="18"/>
      <c r="BR157" s="14"/>
      <c r="BS157" s="16"/>
      <c r="BT157" s="16"/>
      <c r="BU157" s="16"/>
      <c r="BV157" s="16"/>
      <c r="BW157" s="16"/>
      <c r="BX157" s="8"/>
      <c r="BY157" s="8"/>
      <c r="BZ157" s="16"/>
      <c r="CA157" s="16"/>
      <c r="CB157" s="16"/>
      <c r="CC157" s="16"/>
      <c r="CD157" s="16"/>
      <c r="CE157" s="16"/>
      <c r="CF157" s="6"/>
      <c r="CG157" s="18"/>
      <c r="CH157" s="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7"/>
    </row>
    <row r="158" spans="1:98" ht="12.75" customHeight="1" x14ac:dyDescent="0.2">
      <c r="A158" s="6" t="s">
        <v>173</v>
      </c>
      <c r="C158" s="6" t="s">
        <v>174</v>
      </c>
      <c r="E158" s="16">
        <v>3743886</v>
      </c>
      <c r="F158" s="16"/>
      <c r="G158" s="16">
        <v>21793625</v>
      </c>
      <c r="H158" s="16"/>
      <c r="I158" s="16">
        <f t="shared" si="51"/>
        <v>25537511</v>
      </c>
      <c r="J158" s="16"/>
      <c r="K158" s="16">
        <v>1930688</v>
      </c>
      <c r="L158" s="16"/>
      <c r="M158" s="16">
        <v>12250960</v>
      </c>
      <c r="N158" s="16"/>
      <c r="O158" s="16">
        <f t="shared" si="52"/>
        <v>14181648</v>
      </c>
      <c r="P158" s="16"/>
      <c r="Q158" s="16">
        <v>12569936</v>
      </c>
      <c r="R158" s="16"/>
      <c r="S158" s="16">
        <v>90404</v>
      </c>
      <c r="T158" s="16"/>
      <c r="U158" s="16">
        <v>-1170062</v>
      </c>
      <c r="V158" s="16"/>
      <c r="W158" s="16">
        <f t="shared" si="59"/>
        <v>11490278</v>
      </c>
      <c r="X158" s="16"/>
      <c r="Y158" s="6" t="s">
        <v>173</v>
      </c>
      <c r="AA158" s="6" t="s">
        <v>174</v>
      </c>
      <c r="AB158" s="6"/>
      <c r="AC158" s="16">
        <v>3257271</v>
      </c>
      <c r="AD158" s="16"/>
      <c r="AE158" s="16">
        <f>2863347-525263</f>
        <v>2338084</v>
      </c>
      <c r="AF158" s="16"/>
      <c r="AG158" s="16">
        <v>525263</v>
      </c>
      <c r="AH158" s="16"/>
      <c r="AI158" s="8">
        <f t="shared" si="60"/>
        <v>393924</v>
      </c>
      <c r="AJ158" s="8"/>
      <c r="AK158" s="16">
        <v>-297077</v>
      </c>
      <c r="AL158" s="8"/>
      <c r="AM158" s="16">
        <v>0</v>
      </c>
      <c r="AN158" s="16"/>
      <c r="AO158" s="16">
        <v>0</v>
      </c>
      <c r="AP158" s="16"/>
      <c r="AQ158" s="16">
        <v>0</v>
      </c>
      <c r="AR158" s="16"/>
      <c r="AS158" s="8">
        <f t="shared" si="54"/>
        <v>96847</v>
      </c>
      <c r="AT158" s="8"/>
      <c r="AU158" s="16">
        <v>0</v>
      </c>
      <c r="AV158" s="16"/>
      <c r="AW158" s="16">
        <v>0</v>
      </c>
      <c r="AX158" s="16"/>
      <c r="AY158" s="16">
        <f t="shared" si="61"/>
        <v>1813198</v>
      </c>
      <c r="AZ158" s="16"/>
      <c r="BA158" s="6" t="s">
        <v>173</v>
      </c>
      <c r="BC158" s="6" t="s">
        <v>174</v>
      </c>
      <c r="BD158" s="16"/>
      <c r="BE158" s="16">
        <f>3404025+564240</f>
        <v>3968265</v>
      </c>
      <c r="BF158" s="16"/>
      <c r="BG158" s="16">
        <v>0</v>
      </c>
      <c r="BH158" s="16"/>
      <c r="BI158" s="16">
        <f>6120132+169111</f>
        <v>6289243</v>
      </c>
      <c r="BJ158" s="16"/>
      <c r="BK158" s="16">
        <f>2651550+75253+121937+48750</f>
        <v>2897490</v>
      </c>
      <c r="BL158" s="16"/>
      <c r="BM158" s="16">
        <f t="shared" si="58"/>
        <v>13154998</v>
      </c>
      <c r="BN158" s="17" t="s">
        <v>345</v>
      </c>
      <c r="BO158" s="18" t="s">
        <v>404</v>
      </c>
      <c r="BP158" s="18"/>
      <c r="BQ158" s="18"/>
      <c r="BR158" s="14"/>
      <c r="BS158" s="16"/>
      <c r="BT158" s="16"/>
      <c r="BU158" s="16"/>
      <c r="BV158" s="16"/>
      <c r="BW158" s="16"/>
      <c r="BX158" s="8"/>
      <c r="BY158" s="8"/>
      <c r="BZ158" s="16"/>
      <c r="CA158" s="16"/>
      <c r="CB158" s="16"/>
      <c r="CC158" s="16"/>
      <c r="CD158" s="16"/>
      <c r="CE158" s="16"/>
      <c r="CF158" s="6"/>
      <c r="CG158" s="18"/>
      <c r="CH158" s="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7"/>
    </row>
    <row r="159" spans="1:98" ht="12.75" hidden="1" customHeight="1" x14ac:dyDescent="0.2">
      <c r="A159" s="6" t="s">
        <v>175</v>
      </c>
      <c r="C159" s="6" t="s">
        <v>11</v>
      </c>
      <c r="E159" s="16">
        <v>0</v>
      </c>
      <c r="F159" s="16"/>
      <c r="G159" s="16"/>
      <c r="H159" s="16"/>
      <c r="I159" s="16">
        <f t="shared" si="51"/>
        <v>0</v>
      </c>
      <c r="J159" s="16"/>
      <c r="K159" s="16">
        <v>0</v>
      </c>
      <c r="L159" s="16"/>
      <c r="M159" s="16"/>
      <c r="N159" s="16"/>
      <c r="O159" s="16">
        <f t="shared" si="52"/>
        <v>0</v>
      </c>
      <c r="P159" s="16"/>
      <c r="Q159" s="16"/>
      <c r="R159" s="16"/>
      <c r="S159" s="16"/>
      <c r="T159" s="16"/>
      <c r="U159" s="16"/>
      <c r="V159" s="16"/>
      <c r="W159" s="16">
        <f t="shared" si="59"/>
        <v>0</v>
      </c>
      <c r="X159" s="16"/>
      <c r="Y159" s="6" t="s">
        <v>175</v>
      </c>
      <c r="AA159" s="6" t="s">
        <v>11</v>
      </c>
      <c r="AB159" s="6"/>
      <c r="AC159" s="16"/>
      <c r="AD159" s="16"/>
      <c r="AE159" s="16"/>
      <c r="AF159" s="16"/>
      <c r="AG159" s="16"/>
      <c r="AH159" s="16"/>
      <c r="AI159" s="8">
        <f t="shared" si="60"/>
        <v>0</v>
      </c>
      <c r="AJ159" s="8"/>
      <c r="AK159" s="16"/>
      <c r="AL159" s="8"/>
      <c r="AM159" s="16"/>
      <c r="AN159" s="16"/>
      <c r="AO159" s="16"/>
      <c r="AP159" s="16"/>
      <c r="AQ159" s="16"/>
      <c r="AR159" s="16"/>
      <c r="AS159" s="8">
        <f t="shared" si="54"/>
        <v>0</v>
      </c>
      <c r="AT159" s="8"/>
      <c r="AU159" s="16">
        <v>0</v>
      </c>
      <c r="AV159" s="16"/>
      <c r="AW159" s="16">
        <v>0</v>
      </c>
      <c r="AX159" s="16"/>
      <c r="AY159" s="16">
        <f t="shared" si="61"/>
        <v>0</v>
      </c>
      <c r="AZ159" s="16"/>
      <c r="BA159" s="6" t="s">
        <v>175</v>
      </c>
      <c r="BC159" s="6" t="s">
        <v>11</v>
      </c>
      <c r="BD159" s="16"/>
      <c r="BE159" s="16"/>
      <c r="BF159" s="16"/>
      <c r="BG159" s="16"/>
      <c r="BH159" s="16"/>
      <c r="BI159" s="16"/>
      <c r="BJ159" s="16"/>
      <c r="BK159" s="16"/>
      <c r="BL159" s="16"/>
      <c r="BM159" s="16">
        <f t="shared" si="58"/>
        <v>0</v>
      </c>
      <c r="BN159" s="17" t="s">
        <v>345</v>
      </c>
      <c r="BP159" s="18"/>
      <c r="BQ159" s="18"/>
      <c r="BR159" s="14"/>
      <c r="BS159" s="16"/>
      <c r="BT159" s="16"/>
      <c r="BU159" s="16"/>
      <c r="BV159" s="16"/>
      <c r="BW159" s="16"/>
      <c r="BX159" s="8"/>
      <c r="BY159" s="8"/>
      <c r="BZ159" s="16"/>
      <c r="CA159" s="16"/>
      <c r="CB159" s="16"/>
      <c r="CC159" s="16"/>
      <c r="CD159" s="16"/>
      <c r="CE159" s="16"/>
      <c r="CF159" s="6"/>
      <c r="CG159" s="18"/>
      <c r="CH159" s="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7"/>
    </row>
    <row r="160" spans="1:98" ht="12.75" customHeight="1" x14ac:dyDescent="0.2">
      <c r="A160" s="6" t="s">
        <v>176</v>
      </c>
      <c r="C160" s="6" t="s">
        <v>177</v>
      </c>
      <c r="E160" s="16">
        <v>6885674</v>
      </c>
      <c r="F160" s="16"/>
      <c r="G160" s="16">
        <v>18750822</v>
      </c>
      <c r="H160" s="16"/>
      <c r="I160" s="16">
        <f t="shared" si="51"/>
        <v>25636496</v>
      </c>
      <c r="J160" s="16"/>
      <c r="K160" s="16">
        <v>904072</v>
      </c>
      <c r="L160" s="16"/>
      <c r="M160" s="16">
        <v>14423106</v>
      </c>
      <c r="N160" s="16"/>
      <c r="O160" s="16">
        <f t="shared" si="52"/>
        <v>15327178</v>
      </c>
      <c r="P160" s="16"/>
      <c r="Q160" s="16">
        <v>6824700</v>
      </c>
      <c r="R160" s="16"/>
      <c r="S160" s="16">
        <v>0</v>
      </c>
      <c r="T160" s="16"/>
      <c r="U160" s="16">
        <v>3484618</v>
      </c>
      <c r="V160" s="16"/>
      <c r="W160" s="16">
        <f>SUM(Q160:U160)</f>
        <v>10309318</v>
      </c>
      <c r="X160" s="16"/>
      <c r="Y160" s="6" t="s">
        <v>176</v>
      </c>
      <c r="AA160" s="6" t="s">
        <v>177</v>
      </c>
      <c r="AB160" s="6"/>
      <c r="AC160" s="16">
        <v>3445027</v>
      </c>
      <c r="AD160" s="16"/>
      <c r="AE160" s="16">
        <f>2449790-563443</f>
        <v>1886347</v>
      </c>
      <c r="AF160" s="16"/>
      <c r="AG160" s="16">
        <v>563443</v>
      </c>
      <c r="AH160" s="16"/>
      <c r="AI160" s="8">
        <f t="shared" si="60"/>
        <v>995237</v>
      </c>
      <c r="AJ160" s="8"/>
      <c r="AK160" s="16">
        <v>-146279</v>
      </c>
      <c r="AL160" s="8"/>
      <c r="AM160" s="16">
        <v>204327</v>
      </c>
      <c r="AN160" s="16"/>
      <c r="AO160" s="16">
        <v>5283</v>
      </c>
      <c r="AP160" s="16"/>
      <c r="AQ160" s="16">
        <v>385285</v>
      </c>
      <c r="AR160" s="16"/>
      <c r="AS160" s="8">
        <f t="shared" si="54"/>
        <v>1433287</v>
      </c>
      <c r="AT160" s="8"/>
      <c r="AU160" s="16">
        <v>0</v>
      </c>
      <c r="AV160" s="16"/>
      <c r="AW160" s="16">
        <v>0</v>
      </c>
      <c r="AX160" s="16"/>
      <c r="AY160" s="16">
        <f t="shared" si="61"/>
        <v>5981602</v>
      </c>
      <c r="AZ160" s="16"/>
      <c r="BA160" s="6" t="s">
        <v>176</v>
      </c>
      <c r="BC160" s="6" t="s">
        <v>177</v>
      </c>
      <c r="BD160" s="16"/>
      <c r="BE160" s="16">
        <v>0</v>
      </c>
      <c r="BF160" s="16"/>
      <c r="BG160" s="16">
        <f>6254600+283400</f>
        <v>6538000</v>
      </c>
      <c r="BH160" s="16"/>
      <c r="BI160" s="16">
        <f>961689+397106+242884+6463218+28685+62682+399208</f>
        <v>8555472</v>
      </c>
      <c r="BJ160" s="16"/>
      <c r="BK160" s="16">
        <f>46963+56646+24423</f>
        <v>128032</v>
      </c>
      <c r="BL160" s="16"/>
      <c r="BM160" s="16">
        <f t="shared" si="58"/>
        <v>15221504</v>
      </c>
      <c r="BN160" s="17" t="s">
        <v>345</v>
      </c>
      <c r="BP160" s="18"/>
      <c r="BQ160" s="18"/>
      <c r="BR160" s="14"/>
      <c r="BS160" s="16"/>
      <c r="BT160" s="16"/>
      <c r="BU160" s="16"/>
      <c r="BV160" s="16"/>
      <c r="BW160" s="16"/>
      <c r="BX160" s="8"/>
      <c r="BY160" s="8"/>
      <c r="BZ160" s="16"/>
      <c r="CA160" s="16"/>
      <c r="CB160" s="16"/>
      <c r="CC160" s="16"/>
      <c r="CD160" s="16"/>
      <c r="CE160" s="16"/>
      <c r="CF160" s="6"/>
      <c r="CG160" s="18"/>
      <c r="CH160" s="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7"/>
    </row>
    <row r="161" spans="1:97" ht="12.75" customHeight="1" x14ac:dyDescent="0.2">
      <c r="A161" s="6" t="s">
        <v>178</v>
      </c>
      <c r="C161" s="6" t="s">
        <v>18</v>
      </c>
      <c r="E161" s="16">
        <v>938050</v>
      </c>
      <c r="F161" s="16"/>
      <c r="G161" s="16">
        <v>315361</v>
      </c>
      <c r="H161" s="16"/>
      <c r="I161" s="16">
        <f t="shared" ref="I161:I168" si="62">+E161+G161</f>
        <v>1253411</v>
      </c>
      <c r="J161" s="16"/>
      <c r="K161" s="16">
        <v>306183</v>
      </c>
      <c r="L161" s="16"/>
      <c r="M161" s="16">
        <v>1023957</v>
      </c>
      <c r="N161" s="16"/>
      <c r="O161" s="16">
        <f t="shared" ref="O161:O168" si="63">+K161+M161</f>
        <v>1330140</v>
      </c>
      <c r="P161" s="16"/>
      <c r="Q161" s="16">
        <v>2099886</v>
      </c>
      <c r="R161" s="16"/>
      <c r="S161" s="16">
        <v>0</v>
      </c>
      <c r="T161" s="16"/>
      <c r="U161" s="16">
        <v>823385</v>
      </c>
      <c r="V161" s="16"/>
      <c r="W161" s="16">
        <f t="shared" si="59"/>
        <v>2923271</v>
      </c>
      <c r="X161" s="16"/>
      <c r="Y161" s="6" t="s">
        <v>178</v>
      </c>
      <c r="AA161" s="6" t="s">
        <v>18</v>
      </c>
      <c r="AB161" s="6"/>
      <c r="AC161" s="16">
        <v>1008886</v>
      </c>
      <c r="AD161" s="16"/>
      <c r="AE161" s="16">
        <f>965819-210782</f>
        <v>755037</v>
      </c>
      <c r="AF161" s="16"/>
      <c r="AG161" s="16">
        <v>210782</v>
      </c>
      <c r="AH161" s="16"/>
      <c r="AI161" s="8">
        <f t="shared" si="60"/>
        <v>43067</v>
      </c>
      <c r="AJ161" s="8"/>
      <c r="AK161" s="16">
        <v>-28120</v>
      </c>
      <c r="AL161" s="8"/>
      <c r="AM161" s="16">
        <v>0</v>
      </c>
      <c r="AN161" s="16"/>
      <c r="AO161" s="16">
        <v>0</v>
      </c>
      <c r="AP161" s="16"/>
      <c r="AQ161" s="16">
        <v>11372</v>
      </c>
      <c r="AR161" s="16"/>
      <c r="AS161" s="8">
        <f t="shared" si="54"/>
        <v>26319</v>
      </c>
      <c r="AT161" s="8"/>
      <c r="AU161" s="16">
        <v>0</v>
      </c>
      <c r="AV161" s="16"/>
      <c r="AW161" s="16">
        <v>0</v>
      </c>
      <c r="AX161" s="16"/>
      <c r="AY161" s="16">
        <f t="shared" si="61"/>
        <v>631867</v>
      </c>
      <c r="AZ161" s="16"/>
      <c r="BA161" s="6" t="s">
        <v>178</v>
      </c>
      <c r="BC161" s="6" t="s">
        <v>18</v>
      </c>
      <c r="BD161" s="16"/>
      <c r="BE161" s="16">
        <v>0</v>
      </c>
      <c r="BF161" s="16"/>
      <c r="BG161" s="16">
        <v>0</v>
      </c>
      <c r="BH161" s="16"/>
      <c r="BI161" s="16">
        <f>862815+153254+189953+9453</f>
        <v>1215475</v>
      </c>
      <c r="BJ161" s="16"/>
      <c r="BK161" s="16">
        <f>7888+5561</f>
        <v>13449</v>
      </c>
      <c r="BL161" s="16"/>
      <c r="BM161" s="16">
        <f t="shared" si="58"/>
        <v>1228924</v>
      </c>
      <c r="BN161" s="17" t="s">
        <v>345</v>
      </c>
      <c r="BP161" s="18"/>
      <c r="BQ161" s="18"/>
      <c r="BR161" s="14"/>
      <c r="BS161" s="16"/>
      <c r="BT161" s="16"/>
      <c r="BU161" s="16"/>
      <c r="BV161" s="16"/>
      <c r="BW161" s="16"/>
      <c r="BX161" s="8"/>
      <c r="BY161" s="8"/>
      <c r="BZ161" s="16"/>
      <c r="CA161" s="16"/>
      <c r="CB161" s="16"/>
      <c r="CC161" s="16"/>
      <c r="CD161" s="16"/>
      <c r="CE161" s="16"/>
      <c r="CF161" s="6"/>
      <c r="CG161" s="18"/>
      <c r="CH161" s="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7"/>
    </row>
    <row r="162" spans="1:97" ht="12.75" hidden="1" customHeight="1" x14ac:dyDescent="0.2">
      <c r="A162" s="7" t="s">
        <v>495</v>
      </c>
      <c r="B162" s="10"/>
      <c r="C162" s="7" t="s">
        <v>41</v>
      </c>
      <c r="E162" s="16">
        <v>0</v>
      </c>
      <c r="F162" s="16"/>
      <c r="G162" s="16"/>
      <c r="H162" s="16"/>
      <c r="I162" s="16">
        <f t="shared" si="62"/>
        <v>0</v>
      </c>
      <c r="J162" s="16"/>
      <c r="K162" s="16">
        <v>0</v>
      </c>
      <c r="L162" s="16"/>
      <c r="M162" s="16"/>
      <c r="N162" s="16"/>
      <c r="O162" s="16">
        <f t="shared" si="63"/>
        <v>0</v>
      </c>
      <c r="P162" s="16"/>
      <c r="Q162" s="16"/>
      <c r="R162" s="16"/>
      <c r="S162" s="16"/>
      <c r="T162" s="16"/>
      <c r="U162" s="16"/>
      <c r="V162" s="16"/>
      <c r="W162" s="16">
        <f t="shared" si="59"/>
        <v>0</v>
      </c>
      <c r="X162" s="16"/>
      <c r="Y162" s="7" t="s">
        <v>495</v>
      </c>
      <c r="Z162" s="10"/>
      <c r="AA162" s="7" t="s">
        <v>41</v>
      </c>
      <c r="AB162" s="6"/>
      <c r="AC162" s="16"/>
      <c r="AD162" s="16"/>
      <c r="AE162" s="16"/>
      <c r="AF162" s="16"/>
      <c r="AG162" s="16"/>
      <c r="AH162" s="16"/>
      <c r="AI162" s="8">
        <f t="shared" si="60"/>
        <v>0</v>
      </c>
      <c r="AJ162" s="8"/>
      <c r="AK162" s="16"/>
      <c r="AL162" s="8"/>
      <c r="AM162" s="16"/>
      <c r="AN162" s="16"/>
      <c r="AO162" s="16"/>
      <c r="AP162" s="16"/>
      <c r="AQ162" s="16"/>
      <c r="AR162" s="16"/>
      <c r="AS162" s="8">
        <f t="shared" si="54"/>
        <v>0</v>
      </c>
      <c r="AT162" s="8"/>
      <c r="AU162" s="16"/>
      <c r="AV162" s="16"/>
      <c r="AW162" s="16"/>
      <c r="AX162" s="16"/>
      <c r="AY162" s="16">
        <f t="shared" si="61"/>
        <v>0</v>
      </c>
      <c r="AZ162" s="16"/>
      <c r="BA162" s="7" t="s">
        <v>495</v>
      </c>
      <c r="BB162" s="10"/>
      <c r="BC162" s="7" t="s">
        <v>41</v>
      </c>
      <c r="BD162" s="16"/>
      <c r="BE162" s="16"/>
      <c r="BF162" s="16"/>
      <c r="BG162" s="16"/>
      <c r="BH162" s="16"/>
      <c r="BI162" s="16"/>
      <c r="BJ162" s="16"/>
      <c r="BK162" s="16"/>
      <c r="BL162" s="16"/>
      <c r="BM162" s="16">
        <f t="shared" si="58"/>
        <v>0</v>
      </c>
      <c r="BN162" s="17"/>
      <c r="BP162" s="18"/>
      <c r="BQ162" s="18"/>
      <c r="BR162" s="14"/>
      <c r="BS162" s="16"/>
      <c r="BT162" s="16"/>
      <c r="BU162" s="16"/>
      <c r="BV162" s="16"/>
      <c r="BW162" s="16"/>
      <c r="BX162" s="8"/>
      <c r="BY162" s="8"/>
      <c r="BZ162" s="16"/>
      <c r="CA162" s="16"/>
      <c r="CB162" s="16"/>
      <c r="CC162" s="16"/>
      <c r="CD162" s="16"/>
      <c r="CE162" s="16"/>
      <c r="CF162" s="6"/>
      <c r="CG162" s="18"/>
      <c r="CH162" s="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7"/>
    </row>
    <row r="163" spans="1:97" ht="12.75" customHeight="1" x14ac:dyDescent="0.2">
      <c r="A163" s="6" t="s">
        <v>180</v>
      </c>
      <c r="B163" s="18"/>
      <c r="C163" s="6" t="s">
        <v>181</v>
      </c>
      <c r="E163" s="16">
        <v>452063</v>
      </c>
      <c r="F163" s="16"/>
      <c r="G163" s="16">
        <v>1441111</v>
      </c>
      <c r="H163" s="16"/>
      <c r="I163" s="16">
        <f t="shared" si="62"/>
        <v>1893174</v>
      </c>
      <c r="J163" s="16"/>
      <c r="K163" s="16">
        <v>226491</v>
      </c>
      <c r="L163" s="16"/>
      <c r="M163" s="16">
        <v>1432188</v>
      </c>
      <c r="N163" s="16"/>
      <c r="O163" s="16">
        <f t="shared" si="63"/>
        <v>1658679</v>
      </c>
      <c r="P163" s="16"/>
      <c r="Q163" s="16">
        <v>0</v>
      </c>
      <c r="R163" s="16"/>
      <c r="S163" s="16">
        <v>0</v>
      </c>
      <c r="T163" s="16"/>
      <c r="U163" s="16">
        <v>234495</v>
      </c>
      <c r="V163" s="16"/>
      <c r="W163" s="16">
        <f t="shared" si="59"/>
        <v>234495</v>
      </c>
      <c r="X163" s="16"/>
      <c r="Y163" s="6" t="s">
        <v>180</v>
      </c>
      <c r="AA163" s="6" t="s">
        <v>181</v>
      </c>
      <c r="AB163" s="6"/>
      <c r="AC163" s="16">
        <v>821698</v>
      </c>
      <c r="AD163" s="16"/>
      <c r="AE163" s="16">
        <f>818353-236946</f>
        <v>581407</v>
      </c>
      <c r="AF163" s="16"/>
      <c r="AG163" s="16">
        <v>236946</v>
      </c>
      <c r="AH163" s="16"/>
      <c r="AI163" s="8">
        <f t="shared" si="60"/>
        <v>3345</v>
      </c>
      <c r="AJ163" s="8"/>
      <c r="AK163" s="16">
        <v>70027</v>
      </c>
      <c r="AL163" s="8"/>
      <c r="AM163" s="16">
        <v>0</v>
      </c>
      <c r="AN163" s="16"/>
      <c r="AO163" s="16">
        <v>0</v>
      </c>
      <c r="AP163" s="16"/>
      <c r="AQ163" s="16">
        <v>0</v>
      </c>
      <c r="AR163" s="16"/>
      <c r="AS163" s="8">
        <f t="shared" si="54"/>
        <v>73372</v>
      </c>
      <c r="AT163" s="8"/>
      <c r="AU163" s="16">
        <v>0</v>
      </c>
      <c r="AV163" s="16"/>
      <c r="AW163" s="16">
        <v>0</v>
      </c>
      <c r="AX163" s="16"/>
      <c r="AY163" s="16">
        <f t="shared" si="61"/>
        <v>225572</v>
      </c>
      <c r="AZ163" s="16"/>
      <c r="BA163" s="6" t="s">
        <v>180</v>
      </c>
      <c r="BC163" s="6" t="s">
        <v>181</v>
      </c>
      <c r="BD163" s="16"/>
      <c r="BE163" s="16">
        <v>0</v>
      </c>
      <c r="BF163" s="16"/>
      <c r="BG163" s="16">
        <v>0</v>
      </c>
      <c r="BH163" s="16"/>
      <c r="BI163" s="16">
        <f>1403007+196458</f>
        <v>1599465</v>
      </c>
      <c r="BJ163" s="16"/>
      <c r="BK163" s="16">
        <f>29181+6851</f>
        <v>36032</v>
      </c>
      <c r="BL163" s="16"/>
      <c r="BM163" s="16">
        <f t="shared" si="58"/>
        <v>1635497</v>
      </c>
      <c r="BN163" s="17" t="s">
        <v>345</v>
      </c>
      <c r="BP163" s="18"/>
      <c r="BQ163" s="18"/>
      <c r="BR163" s="14"/>
      <c r="BS163" s="16"/>
      <c r="BT163" s="16"/>
      <c r="BU163" s="16"/>
      <c r="BV163" s="16"/>
      <c r="BW163" s="16"/>
      <c r="BX163" s="8"/>
      <c r="BY163" s="8"/>
      <c r="BZ163" s="16"/>
      <c r="CA163" s="16"/>
      <c r="CB163" s="16"/>
      <c r="CC163" s="16"/>
      <c r="CD163" s="16"/>
      <c r="CE163" s="16"/>
      <c r="CF163" s="6"/>
      <c r="CG163" s="18"/>
      <c r="CH163" s="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7"/>
    </row>
    <row r="164" spans="1:97" ht="12.75" customHeight="1" x14ac:dyDescent="0.2">
      <c r="A164" s="6" t="s">
        <v>182</v>
      </c>
      <c r="C164" s="6" t="s">
        <v>87</v>
      </c>
      <c r="E164" s="16">
        <v>1492644</v>
      </c>
      <c r="F164" s="16"/>
      <c r="G164" s="16">
        <v>11519827</v>
      </c>
      <c r="H164" s="16"/>
      <c r="I164" s="16">
        <f t="shared" si="62"/>
        <v>13012471</v>
      </c>
      <c r="J164" s="16"/>
      <c r="K164" s="16">
        <v>681605</v>
      </c>
      <c r="L164" s="16"/>
      <c r="M164" s="16">
        <v>5919195</v>
      </c>
      <c r="N164" s="16"/>
      <c r="O164" s="16">
        <f t="shared" si="63"/>
        <v>6600800</v>
      </c>
      <c r="P164" s="16"/>
      <c r="Q164" s="16">
        <v>5996882</v>
      </c>
      <c r="R164" s="16"/>
      <c r="S164" s="16">
        <v>0</v>
      </c>
      <c r="T164" s="16"/>
      <c r="U164" s="16">
        <v>414789</v>
      </c>
      <c r="V164" s="16"/>
      <c r="W164" s="16">
        <f t="shared" si="59"/>
        <v>6411671</v>
      </c>
      <c r="X164" s="16"/>
      <c r="Y164" s="6" t="s">
        <v>182</v>
      </c>
      <c r="AA164" s="6" t="s">
        <v>87</v>
      </c>
      <c r="AB164" s="6"/>
      <c r="AC164" s="16">
        <v>2295117</v>
      </c>
      <c r="AD164" s="16"/>
      <c r="AE164" s="16">
        <f>1870084-520248</f>
        <v>1349836</v>
      </c>
      <c r="AF164" s="16"/>
      <c r="AG164" s="16">
        <v>520248</v>
      </c>
      <c r="AH164" s="16"/>
      <c r="AI164" s="8">
        <f t="shared" si="60"/>
        <v>425033</v>
      </c>
      <c r="AJ164" s="8"/>
      <c r="AK164" s="16">
        <v>126965</v>
      </c>
      <c r="AL164" s="8"/>
      <c r="AM164" s="16">
        <v>0</v>
      </c>
      <c r="AN164" s="16"/>
      <c r="AO164" s="16">
        <v>0</v>
      </c>
      <c r="AP164" s="16"/>
      <c r="AQ164" s="16">
        <v>0</v>
      </c>
      <c r="AR164" s="16"/>
      <c r="AS164" s="8">
        <f t="shared" si="54"/>
        <v>551998</v>
      </c>
      <c r="AT164" s="8"/>
      <c r="AU164" s="16">
        <v>0</v>
      </c>
      <c r="AV164" s="16"/>
      <c r="AW164" s="16">
        <v>0</v>
      </c>
      <c r="AX164" s="16"/>
      <c r="AY164" s="16">
        <f t="shared" si="61"/>
        <v>811039</v>
      </c>
      <c r="AZ164" s="16"/>
      <c r="BA164" s="6" t="s">
        <v>182</v>
      </c>
      <c r="BC164" s="6" t="s">
        <v>87</v>
      </c>
      <c r="BD164" s="16"/>
      <c r="BE164" s="16">
        <v>0</v>
      </c>
      <c r="BF164" s="16"/>
      <c r="BG164" s="16">
        <v>0</v>
      </c>
      <c r="BH164" s="16"/>
      <c r="BI164" s="16">
        <f>217412+5645488+21540+543695</f>
        <v>6428135</v>
      </c>
      <c r="BJ164" s="16"/>
      <c r="BK164" s="16">
        <f>56295+17665</f>
        <v>73960</v>
      </c>
      <c r="BL164" s="16"/>
      <c r="BM164" s="16">
        <f t="shared" si="58"/>
        <v>6502095</v>
      </c>
      <c r="BN164" s="17" t="s">
        <v>345</v>
      </c>
      <c r="BP164" s="18"/>
      <c r="BQ164" s="18"/>
      <c r="BR164" s="14"/>
      <c r="BS164" s="16"/>
      <c r="BT164" s="16"/>
      <c r="BU164" s="16"/>
      <c r="BV164" s="16"/>
      <c r="BW164" s="16"/>
      <c r="BX164" s="8"/>
      <c r="BY164" s="8"/>
      <c r="BZ164" s="16"/>
      <c r="CA164" s="16"/>
      <c r="CB164" s="16"/>
      <c r="CC164" s="16"/>
      <c r="CD164" s="16"/>
      <c r="CE164" s="16"/>
      <c r="CF164" s="6"/>
      <c r="CG164" s="18"/>
      <c r="CH164" s="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7"/>
    </row>
    <row r="165" spans="1:97" ht="12.75" customHeight="1" x14ac:dyDescent="0.2">
      <c r="A165" s="6" t="s">
        <v>179</v>
      </c>
      <c r="C165" s="6" t="s">
        <v>123</v>
      </c>
      <c r="E165" s="16">
        <v>5186019</v>
      </c>
      <c r="F165" s="16"/>
      <c r="G165" s="16">
        <v>34215440</v>
      </c>
      <c r="H165" s="16"/>
      <c r="I165" s="16">
        <f t="shared" si="62"/>
        <v>39401459</v>
      </c>
      <c r="J165" s="16"/>
      <c r="K165" s="16">
        <v>1715623</v>
      </c>
      <c r="L165" s="16"/>
      <c r="M165" s="16">
        <v>24794346</v>
      </c>
      <c r="N165" s="16"/>
      <c r="O165" s="16">
        <f t="shared" si="63"/>
        <v>26509969</v>
      </c>
      <c r="P165" s="16"/>
      <c r="Q165" s="16">
        <v>8943689</v>
      </c>
      <c r="R165" s="16"/>
      <c r="S165" s="16">
        <v>0</v>
      </c>
      <c r="T165" s="16"/>
      <c r="U165" s="16">
        <v>3947801</v>
      </c>
      <c r="V165" s="16"/>
      <c r="W165" s="16">
        <f t="shared" si="59"/>
        <v>12891490</v>
      </c>
      <c r="X165" s="16"/>
      <c r="Y165" s="6" t="s">
        <v>179</v>
      </c>
      <c r="AA165" s="6" t="s">
        <v>123</v>
      </c>
      <c r="AB165" s="6"/>
      <c r="AC165" s="16">
        <v>6742077</v>
      </c>
      <c r="AD165" s="16"/>
      <c r="AE165" s="16">
        <f>6404709-645808</f>
        <v>5758901</v>
      </c>
      <c r="AF165" s="16"/>
      <c r="AG165" s="16">
        <v>645808</v>
      </c>
      <c r="AH165" s="16"/>
      <c r="AI165" s="8">
        <f t="shared" si="60"/>
        <v>337368</v>
      </c>
      <c r="AJ165" s="8"/>
      <c r="AK165" s="16">
        <v>-254352</v>
      </c>
      <c r="AL165" s="8"/>
      <c r="AM165" s="16">
        <v>5858</v>
      </c>
      <c r="AN165" s="16"/>
      <c r="AO165" s="16">
        <v>300000</v>
      </c>
      <c r="AP165" s="16"/>
      <c r="AQ165" s="16">
        <v>0</v>
      </c>
      <c r="AR165" s="16"/>
      <c r="AS165" s="8">
        <f t="shared" si="54"/>
        <v>-211126</v>
      </c>
      <c r="AT165" s="8"/>
      <c r="AU165" s="16">
        <v>0</v>
      </c>
      <c r="AV165" s="16"/>
      <c r="AW165" s="16">
        <v>0</v>
      </c>
      <c r="AX165" s="16"/>
      <c r="AY165" s="16">
        <f t="shared" si="61"/>
        <v>3470396</v>
      </c>
      <c r="AZ165" s="16"/>
      <c r="BA165" s="6" t="s">
        <v>179</v>
      </c>
      <c r="BC165" s="6" t="s">
        <v>123</v>
      </c>
      <c r="BD165" s="16"/>
      <c r="BE165" s="16">
        <f>1152500+47500</f>
        <v>1200000</v>
      </c>
      <c r="BF165" s="16"/>
      <c r="BG165" s="16">
        <v>0</v>
      </c>
      <c r="BH165" s="16"/>
      <c r="BI165" s="16">
        <f>22642918+841251+779034+69571</f>
        <v>24332774</v>
      </c>
      <c r="BJ165" s="16"/>
      <c r="BK165" s="16">
        <f>13705+5132+138840+5128+108560</f>
        <v>271365</v>
      </c>
      <c r="BL165" s="16"/>
      <c r="BM165" s="16">
        <f t="shared" si="58"/>
        <v>25804139</v>
      </c>
      <c r="BN165" s="17" t="s">
        <v>345</v>
      </c>
      <c r="BP165" s="18"/>
      <c r="BQ165" s="18"/>
      <c r="BR165" s="14"/>
      <c r="BS165" s="16"/>
      <c r="BT165" s="16"/>
      <c r="BU165" s="16"/>
      <c r="BV165" s="16"/>
      <c r="BW165" s="16"/>
      <c r="BX165" s="8"/>
      <c r="BY165" s="8"/>
      <c r="BZ165" s="16"/>
      <c r="CA165" s="16"/>
      <c r="CB165" s="16"/>
      <c r="CC165" s="16"/>
      <c r="CD165" s="16"/>
      <c r="CE165" s="16"/>
      <c r="CF165" s="6"/>
      <c r="CG165" s="18"/>
      <c r="CH165" s="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7"/>
    </row>
    <row r="166" spans="1:97" ht="12.75" customHeight="1" x14ac:dyDescent="0.2">
      <c r="A166" s="6" t="s">
        <v>183</v>
      </c>
      <c r="C166" s="6" t="s">
        <v>78</v>
      </c>
      <c r="E166" s="16">
        <v>350366</v>
      </c>
      <c r="F166" s="16"/>
      <c r="G166" s="16">
        <v>6533197</v>
      </c>
      <c r="H166" s="16"/>
      <c r="I166" s="16">
        <f t="shared" si="62"/>
        <v>6883563</v>
      </c>
      <c r="J166" s="16"/>
      <c r="K166" s="16">
        <v>1255104</v>
      </c>
      <c r="L166" s="16"/>
      <c r="M166" s="16">
        <v>2992308</v>
      </c>
      <c r="N166" s="16"/>
      <c r="O166" s="16">
        <f t="shared" si="63"/>
        <v>4247412</v>
      </c>
      <c r="P166" s="16"/>
      <c r="Q166" s="16">
        <v>3157645</v>
      </c>
      <c r="R166" s="16"/>
      <c r="S166" s="16">
        <v>0</v>
      </c>
      <c r="T166" s="16"/>
      <c r="U166" s="16">
        <v>-521494</v>
      </c>
      <c r="V166" s="16"/>
      <c r="W166" s="16">
        <f t="shared" si="59"/>
        <v>2636151</v>
      </c>
      <c r="X166" s="16"/>
      <c r="Y166" s="6" t="s">
        <v>183</v>
      </c>
      <c r="AA166" s="6" t="s">
        <v>78</v>
      </c>
      <c r="AB166" s="6"/>
      <c r="AC166" s="16">
        <v>2520786</v>
      </c>
      <c r="AD166" s="16"/>
      <c r="AE166" s="16">
        <f>3316281-229890</f>
        <v>3086391</v>
      </c>
      <c r="AF166" s="16"/>
      <c r="AG166" s="16">
        <v>229890</v>
      </c>
      <c r="AH166" s="16"/>
      <c r="AI166" s="8">
        <f t="shared" si="60"/>
        <v>-795495</v>
      </c>
      <c r="AJ166" s="8"/>
      <c r="AK166" s="16">
        <v>-157324</v>
      </c>
      <c r="AL166" s="8"/>
      <c r="AM166" s="16">
        <v>0</v>
      </c>
      <c r="AN166" s="16"/>
      <c r="AO166" s="16">
        <v>0</v>
      </c>
      <c r="AP166" s="16"/>
      <c r="AQ166" s="16">
        <v>0</v>
      </c>
      <c r="AR166" s="16"/>
      <c r="AS166" s="8">
        <f t="shared" si="54"/>
        <v>-952819</v>
      </c>
      <c r="AT166" s="8"/>
      <c r="AU166" s="16">
        <v>0</v>
      </c>
      <c r="AV166" s="16"/>
      <c r="AW166" s="16">
        <v>0</v>
      </c>
      <c r="AX166" s="16"/>
      <c r="AY166" s="16">
        <f t="shared" si="61"/>
        <v>-904738</v>
      </c>
      <c r="AZ166" s="16"/>
      <c r="BA166" s="6" t="s">
        <v>183</v>
      </c>
      <c r="BC166" s="6" t="s">
        <v>78</v>
      </c>
      <c r="BD166" s="16"/>
      <c r="BE166" s="16">
        <f>2900000+125000</f>
        <v>3025000</v>
      </c>
      <c r="BF166" s="16"/>
      <c r="BG166" s="16">
        <v>0</v>
      </c>
      <c r="BH166" s="16"/>
      <c r="BI166" s="16">
        <v>37511</v>
      </c>
      <c r="BJ166" s="16"/>
      <c r="BK166" s="16">
        <f>69443+22865+1276+5833</f>
        <v>99417</v>
      </c>
      <c r="BL166" s="16"/>
      <c r="BM166" s="16">
        <f t="shared" si="58"/>
        <v>3161928</v>
      </c>
      <c r="BN166" s="17" t="s">
        <v>345</v>
      </c>
      <c r="BP166" s="18"/>
      <c r="BQ166" s="18"/>
      <c r="BR166" s="14"/>
      <c r="BS166" s="16"/>
      <c r="BT166" s="16"/>
      <c r="BU166" s="16"/>
      <c r="BV166" s="16"/>
      <c r="BW166" s="16"/>
      <c r="BX166" s="8"/>
      <c r="BY166" s="8"/>
      <c r="BZ166" s="16"/>
      <c r="CA166" s="16"/>
      <c r="CB166" s="16"/>
      <c r="CC166" s="16"/>
      <c r="CD166" s="16"/>
      <c r="CE166" s="16"/>
      <c r="CF166" s="6"/>
      <c r="CG166" s="18"/>
      <c r="CH166" s="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7"/>
    </row>
    <row r="167" spans="1:97" x14ac:dyDescent="0.2">
      <c r="A167" s="6" t="s">
        <v>184</v>
      </c>
      <c r="C167" s="6" t="s">
        <v>13</v>
      </c>
      <c r="E167" s="16">
        <v>2605131</v>
      </c>
      <c r="F167" s="16"/>
      <c r="G167" s="16">
        <v>6790414</v>
      </c>
      <c r="H167" s="16"/>
      <c r="I167" s="16">
        <f t="shared" si="62"/>
        <v>9395545</v>
      </c>
      <c r="J167" s="16"/>
      <c r="K167" s="16">
        <v>49905</v>
      </c>
      <c r="L167" s="16"/>
      <c r="M167" s="16">
        <v>450646</v>
      </c>
      <c r="N167" s="16"/>
      <c r="O167" s="16">
        <f t="shared" si="63"/>
        <v>500551</v>
      </c>
      <c r="P167" s="16"/>
      <c r="Q167" s="16">
        <v>6333047</v>
      </c>
      <c r="R167" s="16"/>
      <c r="S167" s="16">
        <v>0</v>
      </c>
      <c r="T167" s="16"/>
      <c r="U167" s="16">
        <v>2561947</v>
      </c>
      <c r="V167" s="16"/>
      <c r="W167" s="16">
        <f t="shared" si="59"/>
        <v>8894994</v>
      </c>
      <c r="X167" s="16"/>
      <c r="Y167" s="6" t="s">
        <v>184</v>
      </c>
      <c r="AA167" s="6" t="s">
        <v>13</v>
      </c>
      <c r="AB167" s="6"/>
      <c r="AC167" s="16">
        <v>2785812</v>
      </c>
      <c r="AD167" s="16"/>
      <c r="AE167" s="16">
        <f>2433212-305756</f>
        <v>2127456</v>
      </c>
      <c r="AF167" s="16"/>
      <c r="AG167" s="16">
        <v>305756</v>
      </c>
      <c r="AH167" s="16"/>
      <c r="AI167" s="8">
        <f t="shared" si="60"/>
        <v>352600</v>
      </c>
      <c r="AJ167" s="8"/>
      <c r="AK167" s="16">
        <v>-5201</v>
      </c>
      <c r="AL167" s="8"/>
      <c r="AM167" s="16">
        <v>0</v>
      </c>
      <c r="AN167" s="16"/>
      <c r="AO167" s="16">
        <v>25000</v>
      </c>
      <c r="AP167" s="16"/>
      <c r="AQ167" s="16">
        <v>0</v>
      </c>
      <c r="AR167" s="16"/>
      <c r="AS167" s="8">
        <f t="shared" si="54"/>
        <v>322399</v>
      </c>
      <c r="AT167" s="8"/>
      <c r="AU167" s="16">
        <v>0</v>
      </c>
      <c r="AV167" s="16"/>
      <c r="AW167" s="16">
        <v>0</v>
      </c>
      <c r="AX167" s="16"/>
      <c r="AY167" s="16">
        <f t="shared" si="61"/>
        <v>2555226</v>
      </c>
      <c r="AZ167" s="16"/>
      <c r="BA167" s="6" t="s">
        <v>184</v>
      </c>
      <c r="BC167" s="6" t="s">
        <v>13</v>
      </c>
      <c r="BD167" s="16"/>
      <c r="BE167" s="16">
        <v>0</v>
      </c>
      <c r="BF167" s="16"/>
      <c r="BG167" s="16">
        <v>0</v>
      </c>
      <c r="BH167" s="16"/>
      <c r="BI167" s="16">
        <f>151292+299354+6721</f>
        <v>457367</v>
      </c>
      <c r="BJ167" s="16"/>
      <c r="BK167" s="16">
        <v>0</v>
      </c>
      <c r="BL167" s="16"/>
      <c r="BM167" s="16">
        <f t="shared" si="58"/>
        <v>457367</v>
      </c>
      <c r="BN167" s="17" t="s">
        <v>345</v>
      </c>
      <c r="BP167" s="18"/>
      <c r="BQ167" s="18"/>
      <c r="BR167" s="14"/>
      <c r="BS167" s="16"/>
      <c r="BT167" s="16"/>
      <c r="BU167" s="16"/>
      <c r="BV167" s="16"/>
      <c r="BW167" s="16"/>
      <c r="BX167" s="8"/>
      <c r="BY167" s="8"/>
      <c r="BZ167" s="16"/>
      <c r="CA167" s="16"/>
      <c r="CB167" s="16"/>
      <c r="CC167" s="16"/>
      <c r="CD167" s="16"/>
      <c r="CE167" s="16"/>
      <c r="CF167" s="6"/>
      <c r="CG167" s="18"/>
      <c r="CH167" s="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7"/>
    </row>
    <row r="168" spans="1:97" x14ac:dyDescent="0.2">
      <c r="A168" s="6" t="s">
        <v>185</v>
      </c>
      <c r="C168" s="6" t="s">
        <v>25</v>
      </c>
      <c r="E168" s="16">
        <v>5422753</v>
      </c>
      <c r="F168" s="16"/>
      <c r="G168" s="16">
        <v>30753938</v>
      </c>
      <c r="H168" s="16"/>
      <c r="I168" s="16">
        <f t="shared" si="62"/>
        <v>36176691</v>
      </c>
      <c r="J168" s="16"/>
      <c r="K168" s="16">
        <v>2360780</v>
      </c>
      <c r="L168" s="16"/>
      <c r="M168" s="16">
        <v>16848137</v>
      </c>
      <c r="N168" s="16"/>
      <c r="O168" s="16">
        <f t="shared" si="63"/>
        <v>19208917</v>
      </c>
      <c r="P168" s="16"/>
      <c r="Q168" s="16">
        <v>12712461</v>
      </c>
      <c r="R168" s="16"/>
      <c r="S168" s="16">
        <v>0</v>
      </c>
      <c r="T168" s="16"/>
      <c r="U168" s="16">
        <v>4255313</v>
      </c>
      <c r="V168" s="16"/>
      <c r="W168" s="16">
        <f t="shared" si="59"/>
        <v>16967774</v>
      </c>
      <c r="X168" s="16"/>
      <c r="Y168" s="6" t="s">
        <v>185</v>
      </c>
      <c r="AA168" s="6" t="s">
        <v>25</v>
      </c>
      <c r="AB168" s="6"/>
      <c r="AC168" s="16">
        <v>7327028</v>
      </c>
      <c r="AD168" s="16"/>
      <c r="AE168" s="16">
        <f>5084798-1333301</f>
        <v>3751497</v>
      </c>
      <c r="AF168" s="16"/>
      <c r="AG168" s="16">
        <v>1333301</v>
      </c>
      <c r="AH168" s="16"/>
      <c r="AI168" s="8">
        <f t="shared" si="60"/>
        <v>2242230</v>
      </c>
      <c r="AJ168" s="8"/>
      <c r="AK168" s="16">
        <v>-537431</v>
      </c>
      <c r="AL168" s="8"/>
      <c r="AM168" s="16">
        <v>0</v>
      </c>
      <c r="AN168" s="16"/>
      <c r="AO168" s="16">
        <v>54215</v>
      </c>
      <c r="AP168" s="16"/>
      <c r="AQ168" s="16">
        <v>64577</v>
      </c>
      <c r="AR168" s="16"/>
      <c r="AS168" s="8">
        <f t="shared" si="54"/>
        <v>1715161</v>
      </c>
      <c r="AT168" s="8"/>
      <c r="AU168" s="16">
        <v>0</v>
      </c>
      <c r="AV168" s="16"/>
      <c r="AW168" s="16">
        <v>0</v>
      </c>
      <c r="AX168" s="16"/>
      <c r="AY168" s="16">
        <f t="shared" si="61"/>
        <v>3061973</v>
      </c>
      <c r="AZ168" s="16"/>
      <c r="BA168" s="6" t="s">
        <v>185</v>
      </c>
      <c r="BC168" s="6" t="s">
        <v>25</v>
      </c>
      <c r="BD168" s="16"/>
      <c r="BE168" s="16">
        <f>4383290+1257000</f>
        <v>5640290</v>
      </c>
      <c r="BF168" s="16"/>
      <c r="BG168" s="16">
        <v>0</v>
      </c>
      <c r="BH168" s="16"/>
      <c r="BI168" s="16">
        <f>11819658+325833+76384+130334</f>
        <v>12352209</v>
      </c>
      <c r="BJ168" s="16"/>
      <c r="BK168" s="16">
        <f>98010+220366+980+193358+858</f>
        <v>513572</v>
      </c>
      <c r="BL168" s="16"/>
      <c r="BM168" s="16">
        <f t="shared" si="58"/>
        <v>18506071</v>
      </c>
      <c r="BN168" s="17" t="s">
        <v>345</v>
      </c>
      <c r="BP168" s="18"/>
      <c r="BQ168" s="18"/>
      <c r="BR168" s="14"/>
      <c r="BS168" s="16"/>
      <c r="BT168" s="16"/>
      <c r="BU168" s="16"/>
      <c r="BV168" s="16"/>
      <c r="BW168" s="16"/>
      <c r="BX168" s="8"/>
      <c r="BY168" s="8"/>
      <c r="BZ168" s="16"/>
      <c r="CA168" s="16"/>
      <c r="CB168" s="16"/>
      <c r="CC168" s="16"/>
      <c r="CD168" s="16"/>
      <c r="CE168" s="16"/>
      <c r="CF168" s="6"/>
      <c r="CG168" s="18"/>
      <c r="CH168" s="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7"/>
    </row>
    <row r="169" spans="1:97" s="36" customFormat="1" ht="12.75" customHeight="1" x14ac:dyDescent="0.2">
      <c r="A169" s="19" t="s">
        <v>187</v>
      </c>
      <c r="B169" s="21"/>
      <c r="C169" s="19" t="s">
        <v>15</v>
      </c>
      <c r="D169" s="9"/>
      <c r="E169" s="16">
        <v>12507780</v>
      </c>
      <c r="F169" s="16"/>
      <c r="G169" s="16">
        <v>54296029</v>
      </c>
      <c r="H169" s="16"/>
      <c r="I169" s="16">
        <f t="shared" ref="I169:I200" si="64">+E169+G169</f>
        <v>66803809</v>
      </c>
      <c r="J169" s="16"/>
      <c r="K169" s="16">
        <v>2772347</v>
      </c>
      <c r="L169" s="16"/>
      <c r="M169" s="16">
        <v>14676913</v>
      </c>
      <c r="N169" s="16"/>
      <c r="O169" s="16">
        <f t="shared" ref="O169:O200" si="65">+K169+M169</f>
        <v>17449260</v>
      </c>
      <c r="P169" s="16"/>
      <c r="Q169" s="16">
        <v>35049276</v>
      </c>
      <c r="R169" s="16"/>
      <c r="S169" s="16">
        <v>0</v>
      </c>
      <c r="T169" s="16"/>
      <c r="U169" s="16">
        <v>14305273</v>
      </c>
      <c r="V169" s="16"/>
      <c r="W169" s="16">
        <f t="shared" ref="W169:W187" si="66">SUM(Q169:U169)</f>
        <v>49354549</v>
      </c>
      <c r="X169" s="28"/>
      <c r="Y169" s="19" t="s">
        <v>187</v>
      </c>
      <c r="AA169" s="19" t="s">
        <v>15</v>
      </c>
      <c r="AB169" s="19"/>
      <c r="AC169" s="16">
        <v>6419890</v>
      </c>
      <c r="AD169" s="16"/>
      <c r="AE169" s="16">
        <f>6519777-1938172</f>
        <v>4581605</v>
      </c>
      <c r="AF169" s="16"/>
      <c r="AG169" s="16">
        <v>1938172</v>
      </c>
      <c r="AH169" s="16"/>
      <c r="AI169" s="8">
        <f t="shared" ref="AI169:AI200" si="67">+AC169-AE169-AG169</f>
        <v>-99887</v>
      </c>
      <c r="AJ169" s="8"/>
      <c r="AK169" s="16">
        <v>-738318</v>
      </c>
      <c r="AL169" s="8"/>
      <c r="AM169" s="16">
        <v>0</v>
      </c>
      <c r="AN169" s="16"/>
      <c r="AO169" s="16">
        <v>0</v>
      </c>
      <c r="AP169" s="16"/>
      <c r="AQ169" s="16">
        <v>1717397</v>
      </c>
      <c r="AR169" s="16"/>
      <c r="AS169" s="8">
        <f>+AI169+AK169+AM169-AO169+AQ169</f>
        <v>879192</v>
      </c>
      <c r="AT169" s="8"/>
      <c r="AU169" s="16">
        <v>0</v>
      </c>
      <c r="AV169" s="16"/>
      <c r="AW169" s="16">
        <v>0</v>
      </c>
      <c r="AX169" s="16"/>
      <c r="AY169" s="16">
        <f t="shared" ref="AY169:AY187" si="68">+E169-K169</f>
        <v>9735433</v>
      </c>
      <c r="AZ169" s="28"/>
      <c r="BA169" s="19" t="s">
        <v>187</v>
      </c>
      <c r="BC169" s="19" t="s">
        <v>15</v>
      </c>
      <c r="BD169" s="28"/>
      <c r="BE169" s="16">
        <f>12390000+103000</f>
        <v>12493000</v>
      </c>
      <c r="BF169" s="16"/>
      <c r="BG169" s="16">
        <v>0</v>
      </c>
      <c r="BH169" s="16"/>
      <c r="BI169" s="16">
        <f>54929+8451</f>
        <v>63380</v>
      </c>
      <c r="BJ169" s="16"/>
      <c r="BK169" s="16">
        <f>1082+1855000+375902+37351+105000+991</f>
        <v>2375326</v>
      </c>
      <c r="BL169" s="16"/>
      <c r="BM169" s="16">
        <f t="shared" ref="BM169:BM200" si="69">SUM(BE169:BK169)</f>
        <v>14931706</v>
      </c>
      <c r="BN169" s="37" t="s">
        <v>345</v>
      </c>
      <c r="BR169" s="21"/>
      <c r="BS169" s="28"/>
      <c r="BT169" s="28"/>
      <c r="BU169" s="28"/>
      <c r="BV169" s="28"/>
      <c r="BW169" s="28"/>
      <c r="BX169" s="40"/>
      <c r="BY169" s="40"/>
      <c r="BZ169" s="28"/>
      <c r="CA169" s="28"/>
      <c r="CB169" s="28"/>
      <c r="CC169" s="28"/>
      <c r="CD169" s="28"/>
      <c r="CE169" s="28"/>
      <c r="CF169" s="19"/>
      <c r="CH169" s="19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37"/>
    </row>
    <row r="170" spans="1:97" ht="12.75" customHeight="1" x14ac:dyDescent="0.2">
      <c r="A170" s="6" t="s">
        <v>186</v>
      </c>
      <c r="C170" s="6" t="s">
        <v>25</v>
      </c>
      <c r="E170" s="16">
        <v>1796114</v>
      </c>
      <c r="F170" s="16"/>
      <c r="G170" s="16">
        <v>28194143</v>
      </c>
      <c r="H170" s="16"/>
      <c r="I170" s="16">
        <f t="shared" si="64"/>
        <v>29990257</v>
      </c>
      <c r="J170" s="16"/>
      <c r="K170" s="16">
        <v>2293571</v>
      </c>
      <c r="L170" s="16"/>
      <c r="M170" s="16">
        <v>4979773</v>
      </c>
      <c r="N170" s="16"/>
      <c r="O170" s="16">
        <f t="shared" si="65"/>
        <v>7273344</v>
      </c>
      <c r="P170" s="16"/>
      <c r="Q170" s="16">
        <v>22128395</v>
      </c>
      <c r="R170" s="16"/>
      <c r="S170" s="16">
        <v>0</v>
      </c>
      <c r="T170" s="16"/>
      <c r="U170" s="16">
        <v>588518</v>
      </c>
      <c r="V170" s="16"/>
      <c r="W170" s="16">
        <f t="shared" si="66"/>
        <v>22716913</v>
      </c>
      <c r="X170" s="16"/>
      <c r="Y170" s="6" t="s">
        <v>186</v>
      </c>
      <c r="AA170" s="6" t="s">
        <v>25</v>
      </c>
      <c r="AB170" s="6"/>
      <c r="AC170" s="16">
        <v>6248471</v>
      </c>
      <c r="AD170" s="16"/>
      <c r="AE170" s="16">
        <f>4645341-1109628</f>
        <v>3535713</v>
      </c>
      <c r="AF170" s="16"/>
      <c r="AG170" s="16">
        <v>1109628</v>
      </c>
      <c r="AH170" s="16"/>
      <c r="AI170" s="8">
        <f t="shared" si="67"/>
        <v>1603130</v>
      </c>
      <c r="AJ170" s="8"/>
      <c r="AK170" s="16">
        <v>-313481</v>
      </c>
      <c r="AL170" s="8"/>
      <c r="AM170" s="16">
        <v>0</v>
      </c>
      <c r="AN170" s="16"/>
      <c r="AO170" s="16">
        <v>7168</v>
      </c>
      <c r="AP170" s="16"/>
      <c r="AQ170" s="16">
        <v>4450</v>
      </c>
      <c r="AR170" s="16"/>
      <c r="AS170" s="8">
        <f t="shared" ref="AS170:AS187" si="70">+AI170+AK170+AM170-AO170+AQ170</f>
        <v>1286931</v>
      </c>
      <c r="AT170" s="8"/>
      <c r="AU170" s="16">
        <v>0</v>
      </c>
      <c r="AV170" s="16"/>
      <c r="AW170" s="16">
        <v>0</v>
      </c>
      <c r="AX170" s="16"/>
      <c r="AY170" s="16">
        <f t="shared" si="68"/>
        <v>-497457</v>
      </c>
      <c r="AZ170" s="16"/>
      <c r="BA170" s="6" t="s">
        <v>186</v>
      </c>
      <c r="BC170" s="6" t="s">
        <v>25</v>
      </c>
      <c r="BD170" s="16"/>
      <c r="BE170" s="16">
        <v>0</v>
      </c>
      <c r="BF170" s="16"/>
      <c r="BG170" s="16">
        <v>0</v>
      </c>
      <c r="BH170" s="16"/>
      <c r="BI170" s="16">
        <f>4522641+239258+1244035+59814</f>
        <v>6065748</v>
      </c>
      <c r="BJ170" s="16"/>
      <c r="BK170" s="16">
        <f>217874+127604</f>
        <v>345478</v>
      </c>
      <c r="BL170" s="16"/>
      <c r="BM170" s="16">
        <f t="shared" si="69"/>
        <v>6411226</v>
      </c>
      <c r="BN170" s="17" t="s">
        <v>345</v>
      </c>
      <c r="BP170" s="18"/>
      <c r="BQ170" s="18"/>
      <c r="BR170" s="14"/>
      <c r="BS170" s="16"/>
      <c r="BT170" s="16"/>
      <c r="BU170" s="16"/>
      <c r="BV170" s="16"/>
      <c r="BW170" s="16"/>
      <c r="BX170" s="8"/>
      <c r="BY170" s="8"/>
      <c r="BZ170" s="16"/>
      <c r="CA170" s="16"/>
      <c r="CB170" s="16"/>
      <c r="CC170" s="16"/>
      <c r="CD170" s="16"/>
      <c r="CE170" s="16"/>
      <c r="CF170" s="6"/>
      <c r="CG170" s="18"/>
      <c r="CH170" s="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7"/>
    </row>
    <row r="171" spans="1:97" ht="12.75" hidden="1" customHeight="1" x14ac:dyDescent="0.2">
      <c r="A171" s="6" t="s">
        <v>188</v>
      </c>
      <c r="C171" s="6" t="s">
        <v>45</v>
      </c>
      <c r="E171" s="16">
        <v>0</v>
      </c>
      <c r="F171" s="16"/>
      <c r="G171" s="16"/>
      <c r="H171" s="16"/>
      <c r="I171" s="16">
        <f t="shared" si="64"/>
        <v>0</v>
      </c>
      <c r="J171" s="16"/>
      <c r="K171" s="16">
        <v>0</v>
      </c>
      <c r="L171" s="16"/>
      <c r="M171" s="16"/>
      <c r="N171" s="16"/>
      <c r="O171" s="16">
        <f t="shared" si="65"/>
        <v>0</v>
      </c>
      <c r="P171" s="16"/>
      <c r="Q171" s="16"/>
      <c r="R171" s="16"/>
      <c r="S171" s="16"/>
      <c r="T171" s="16"/>
      <c r="U171" s="16"/>
      <c r="V171" s="16"/>
      <c r="W171" s="16">
        <f t="shared" si="66"/>
        <v>0</v>
      </c>
      <c r="X171" s="16"/>
      <c r="Y171" s="6" t="s">
        <v>188</v>
      </c>
      <c r="AA171" s="6" t="s">
        <v>45</v>
      </c>
      <c r="AB171" s="6"/>
      <c r="AC171" s="16"/>
      <c r="AD171" s="16"/>
      <c r="AE171" s="16"/>
      <c r="AF171" s="16"/>
      <c r="AG171" s="16"/>
      <c r="AH171" s="16"/>
      <c r="AI171" s="8">
        <f t="shared" si="67"/>
        <v>0</v>
      </c>
      <c r="AJ171" s="8"/>
      <c r="AK171" s="16"/>
      <c r="AL171" s="8"/>
      <c r="AM171" s="16"/>
      <c r="AN171" s="16"/>
      <c r="AO171" s="16"/>
      <c r="AP171" s="16"/>
      <c r="AQ171" s="16"/>
      <c r="AR171" s="16"/>
      <c r="AS171" s="8">
        <f t="shared" si="70"/>
        <v>0</v>
      </c>
      <c r="AT171" s="8"/>
      <c r="AU171" s="16">
        <v>0</v>
      </c>
      <c r="AV171" s="16"/>
      <c r="AW171" s="16">
        <v>0</v>
      </c>
      <c r="AX171" s="16"/>
      <c r="AY171" s="16">
        <f t="shared" si="68"/>
        <v>0</v>
      </c>
      <c r="AZ171" s="16"/>
      <c r="BA171" s="6" t="s">
        <v>188</v>
      </c>
      <c r="BC171" s="6" t="s">
        <v>45</v>
      </c>
      <c r="BD171" s="16"/>
      <c r="BE171" s="16"/>
      <c r="BF171" s="16"/>
      <c r="BG171" s="16"/>
      <c r="BH171" s="16"/>
      <c r="BI171" s="16"/>
      <c r="BJ171" s="16"/>
      <c r="BK171" s="16"/>
      <c r="BL171" s="16"/>
      <c r="BM171" s="16">
        <f t="shared" si="69"/>
        <v>0</v>
      </c>
      <c r="BN171" s="17" t="s">
        <v>345</v>
      </c>
      <c r="BP171" s="18"/>
      <c r="BQ171" s="18"/>
      <c r="BR171" s="14"/>
      <c r="BS171" s="16"/>
      <c r="BT171" s="16"/>
      <c r="BU171" s="16"/>
      <c r="BV171" s="16"/>
      <c r="BW171" s="16"/>
      <c r="BX171" s="8"/>
      <c r="BY171" s="8"/>
      <c r="BZ171" s="16"/>
      <c r="CA171" s="16"/>
      <c r="CB171" s="16"/>
      <c r="CC171" s="16"/>
      <c r="CD171" s="16"/>
      <c r="CE171" s="16"/>
      <c r="CF171" s="6"/>
      <c r="CG171" s="18"/>
      <c r="CH171" s="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7"/>
    </row>
    <row r="172" spans="1:97" ht="12.75" hidden="1" customHeight="1" x14ac:dyDescent="0.2">
      <c r="A172" s="6" t="s">
        <v>189</v>
      </c>
      <c r="C172" s="6" t="s">
        <v>11</v>
      </c>
      <c r="E172" s="16">
        <v>0</v>
      </c>
      <c r="F172" s="16"/>
      <c r="G172" s="16"/>
      <c r="H172" s="16"/>
      <c r="I172" s="16">
        <f t="shared" si="64"/>
        <v>0</v>
      </c>
      <c r="J172" s="16"/>
      <c r="K172" s="16">
        <v>0</v>
      </c>
      <c r="L172" s="16"/>
      <c r="M172" s="16"/>
      <c r="N172" s="16"/>
      <c r="O172" s="16">
        <f t="shared" si="65"/>
        <v>0</v>
      </c>
      <c r="P172" s="16"/>
      <c r="Q172" s="16"/>
      <c r="R172" s="16"/>
      <c r="S172" s="16"/>
      <c r="T172" s="16"/>
      <c r="U172" s="16"/>
      <c r="V172" s="16"/>
      <c r="W172" s="16">
        <f t="shared" si="66"/>
        <v>0</v>
      </c>
      <c r="X172" s="16"/>
      <c r="Y172" s="6" t="s">
        <v>189</v>
      </c>
      <c r="AA172" s="6" t="s">
        <v>11</v>
      </c>
      <c r="AB172" s="6"/>
      <c r="AC172" s="16"/>
      <c r="AD172" s="16"/>
      <c r="AE172" s="16"/>
      <c r="AF172" s="16"/>
      <c r="AG172" s="16"/>
      <c r="AH172" s="16"/>
      <c r="AI172" s="8">
        <f t="shared" si="67"/>
        <v>0</v>
      </c>
      <c r="AJ172" s="8"/>
      <c r="AK172" s="16"/>
      <c r="AL172" s="8"/>
      <c r="AM172" s="16"/>
      <c r="AN172" s="16"/>
      <c r="AO172" s="16"/>
      <c r="AP172" s="16"/>
      <c r="AQ172" s="16"/>
      <c r="AR172" s="16"/>
      <c r="AS172" s="8">
        <f t="shared" si="70"/>
        <v>0</v>
      </c>
      <c r="AT172" s="8"/>
      <c r="AU172" s="16">
        <v>0</v>
      </c>
      <c r="AV172" s="16"/>
      <c r="AW172" s="16">
        <v>0</v>
      </c>
      <c r="AX172" s="16"/>
      <c r="AY172" s="16">
        <f t="shared" si="68"/>
        <v>0</v>
      </c>
      <c r="AZ172" s="16"/>
      <c r="BA172" s="6" t="s">
        <v>189</v>
      </c>
      <c r="BC172" s="6" t="s">
        <v>11</v>
      </c>
      <c r="BD172" s="16"/>
      <c r="BE172" s="16"/>
      <c r="BF172" s="16"/>
      <c r="BG172" s="16"/>
      <c r="BH172" s="16"/>
      <c r="BI172" s="16"/>
      <c r="BJ172" s="16"/>
      <c r="BK172" s="16"/>
      <c r="BL172" s="16"/>
      <c r="BM172" s="16">
        <f t="shared" si="69"/>
        <v>0</v>
      </c>
      <c r="BN172" s="17" t="s">
        <v>345</v>
      </c>
      <c r="BO172" s="18" t="s">
        <v>402</v>
      </c>
      <c r="BP172" s="18"/>
      <c r="BQ172" s="18"/>
      <c r="BR172" s="14"/>
      <c r="BS172" s="16"/>
      <c r="BT172" s="16"/>
      <c r="BU172" s="16"/>
      <c r="BV172" s="16"/>
      <c r="BW172" s="16"/>
      <c r="BX172" s="8"/>
      <c r="BY172" s="8"/>
      <c r="BZ172" s="16"/>
      <c r="CA172" s="16"/>
      <c r="CB172" s="16"/>
      <c r="CC172" s="16"/>
      <c r="CD172" s="16"/>
      <c r="CE172" s="16"/>
      <c r="CF172" s="6"/>
      <c r="CG172" s="18"/>
      <c r="CH172" s="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7"/>
    </row>
    <row r="173" spans="1:97" ht="12.75" customHeight="1" x14ac:dyDescent="0.2">
      <c r="A173" s="6" t="s">
        <v>190</v>
      </c>
      <c r="C173" s="6" t="s">
        <v>36</v>
      </c>
      <c r="E173" s="16">
        <v>1247189</v>
      </c>
      <c r="F173" s="16"/>
      <c r="G173" s="16">
        <v>16595138</v>
      </c>
      <c r="H173" s="16"/>
      <c r="I173" s="16">
        <f t="shared" si="64"/>
        <v>17842327</v>
      </c>
      <c r="J173" s="16"/>
      <c r="K173" s="16">
        <v>754803</v>
      </c>
      <c r="L173" s="16"/>
      <c r="M173" s="16">
        <v>7976073</v>
      </c>
      <c r="N173" s="16"/>
      <c r="O173" s="16">
        <f t="shared" si="65"/>
        <v>8730876</v>
      </c>
      <c r="P173" s="16"/>
      <c r="Q173" s="16">
        <v>8226630</v>
      </c>
      <c r="R173" s="16"/>
      <c r="S173" s="16">
        <v>0</v>
      </c>
      <c r="T173" s="16"/>
      <c r="U173" s="16">
        <v>884821</v>
      </c>
      <c r="V173" s="16"/>
      <c r="W173" s="16">
        <f t="shared" si="66"/>
        <v>9111451</v>
      </c>
      <c r="X173" s="16"/>
      <c r="Y173" s="6" t="s">
        <v>190</v>
      </c>
      <c r="AA173" s="6" t="s">
        <v>36</v>
      </c>
      <c r="AB173" s="6"/>
      <c r="AC173" s="16">
        <v>2834645</v>
      </c>
      <c r="AD173" s="16"/>
      <c r="AE173" s="16">
        <f>2517054-749068</f>
        <v>1767986</v>
      </c>
      <c r="AF173" s="16"/>
      <c r="AG173" s="16">
        <v>749068</v>
      </c>
      <c r="AH173" s="16"/>
      <c r="AI173" s="8">
        <f t="shared" si="67"/>
        <v>317591</v>
      </c>
      <c r="AJ173" s="8"/>
      <c r="AK173" s="16">
        <v>-274126</v>
      </c>
      <c r="AL173" s="8"/>
      <c r="AM173" s="16">
        <v>0</v>
      </c>
      <c r="AN173" s="16"/>
      <c r="AO173" s="16">
        <v>0</v>
      </c>
      <c r="AP173" s="16"/>
      <c r="AQ173" s="16">
        <v>254050</v>
      </c>
      <c r="AR173" s="16"/>
      <c r="AS173" s="8">
        <f t="shared" si="70"/>
        <v>297515</v>
      </c>
      <c r="AT173" s="8"/>
      <c r="AU173" s="16">
        <v>0</v>
      </c>
      <c r="AV173" s="16"/>
      <c r="AW173" s="16">
        <v>0</v>
      </c>
      <c r="AX173" s="16"/>
      <c r="AY173" s="16">
        <f t="shared" si="68"/>
        <v>492386</v>
      </c>
      <c r="AZ173" s="16"/>
      <c r="BA173" s="6" t="s">
        <v>190</v>
      </c>
      <c r="BC173" s="6" t="s">
        <v>36</v>
      </c>
      <c r="BD173" s="16"/>
      <c r="BE173" s="16">
        <v>0</v>
      </c>
      <c r="BF173" s="16"/>
      <c r="BG173" s="16">
        <v>0</v>
      </c>
      <c r="BH173" s="16"/>
      <c r="BI173" s="16">
        <f>101150+7671625+14451+581282</f>
        <v>8368508</v>
      </c>
      <c r="BJ173" s="16"/>
      <c r="BK173" s="16">
        <f>203298+66565</f>
        <v>269863</v>
      </c>
      <c r="BL173" s="16"/>
      <c r="BM173" s="16">
        <f t="shared" si="69"/>
        <v>8638371</v>
      </c>
      <c r="BN173" s="17" t="s">
        <v>345</v>
      </c>
      <c r="BP173" s="18"/>
      <c r="BQ173" s="18"/>
      <c r="BR173" s="14"/>
      <c r="BS173" s="16"/>
      <c r="BT173" s="16"/>
      <c r="BU173" s="16"/>
      <c r="BV173" s="16"/>
      <c r="BW173" s="16"/>
      <c r="BX173" s="8"/>
      <c r="BY173" s="8"/>
      <c r="BZ173" s="16"/>
      <c r="CA173" s="16"/>
      <c r="CB173" s="16"/>
      <c r="CC173" s="16"/>
      <c r="CD173" s="16"/>
      <c r="CE173" s="16"/>
      <c r="CF173" s="6"/>
      <c r="CG173" s="18"/>
      <c r="CH173" s="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7"/>
    </row>
    <row r="174" spans="1:97" ht="12.75" hidden="1" customHeight="1" x14ac:dyDescent="0.2">
      <c r="A174" s="6" t="s">
        <v>191</v>
      </c>
      <c r="C174" s="6" t="s">
        <v>43</v>
      </c>
      <c r="E174" s="16">
        <v>0</v>
      </c>
      <c r="F174" s="16"/>
      <c r="G174" s="16"/>
      <c r="H174" s="16"/>
      <c r="I174" s="16">
        <f t="shared" si="64"/>
        <v>0</v>
      </c>
      <c r="J174" s="16"/>
      <c r="K174" s="16">
        <v>0</v>
      </c>
      <c r="L174" s="16"/>
      <c r="M174" s="16"/>
      <c r="N174" s="16"/>
      <c r="O174" s="16">
        <f t="shared" si="65"/>
        <v>0</v>
      </c>
      <c r="P174" s="16"/>
      <c r="Q174" s="16"/>
      <c r="R174" s="16"/>
      <c r="S174" s="16"/>
      <c r="T174" s="16"/>
      <c r="U174" s="16"/>
      <c r="V174" s="16"/>
      <c r="W174" s="16">
        <f t="shared" si="66"/>
        <v>0</v>
      </c>
      <c r="X174" s="16"/>
      <c r="Y174" s="6" t="s">
        <v>191</v>
      </c>
      <c r="AA174" s="6" t="s">
        <v>43</v>
      </c>
      <c r="AB174" s="6"/>
      <c r="AC174" s="16"/>
      <c r="AD174" s="16"/>
      <c r="AE174" s="16"/>
      <c r="AF174" s="16"/>
      <c r="AG174" s="16"/>
      <c r="AH174" s="16"/>
      <c r="AI174" s="8">
        <f t="shared" si="67"/>
        <v>0</v>
      </c>
      <c r="AJ174" s="8"/>
      <c r="AK174" s="16"/>
      <c r="AL174" s="8"/>
      <c r="AM174" s="16"/>
      <c r="AN174" s="16"/>
      <c r="AO174" s="16"/>
      <c r="AP174" s="16"/>
      <c r="AQ174" s="16"/>
      <c r="AR174" s="16"/>
      <c r="AS174" s="8">
        <f t="shared" si="70"/>
        <v>0</v>
      </c>
      <c r="AT174" s="8"/>
      <c r="AU174" s="16">
        <v>0</v>
      </c>
      <c r="AV174" s="16"/>
      <c r="AW174" s="16">
        <v>0</v>
      </c>
      <c r="AX174" s="16"/>
      <c r="AY174" s="16">
        <f t="shared" si="68"/>
        <v>0</v>
      </c>
      <c r="AZ174" s="16"/>
      <c r="BA174" s="6" t="s">
        <v>191</v>
      </c>
      <c r="BC174" s="6" t="s">
        <v>43</v>
      </c>
      <c r="BD174" s="16"/>
      <c r="BE174" s="16"/>
      <c r="BF174" s="16"/>
      <c r="BG174" s="16"/>
      <c r="BH174" s="16"/>
      <c r="BI174" s="16"/>
      <c r="BJ174" s="16"/>
      <c r="BK174" s="16"/>
      <c r="BL174" s="16"/>
      <c r="BM174" s="16">
        <f t="shared" si="69"/>
        <v>0</v>
      </c>
      <c r="BN174" s="17" t="s">
        <v>345</v>
      </c>
      <c r="BP174" s="18"/>
      <c r="BQ174" s="18"/>
      <c r="BR174" s="14"/>
      <c r="BS174" s="16"/>
      <c r="BT174" s="16"/>
      <c r="BU174" s="16"/>
      <c r="BX174" s="8"/>
      <c r="BY174" s="8"/>
      <c r="BZ174" s="16"/>
      <c r="CA174" s="16"/>
      <c r="CB174" s="16"/>
      <c r="CC174" s="16"/>
      <c r="CD174" s="16"/>
      <c r="CE174" s="16"/>
      <c r="CF174" s="6"/>
      <c r="CG174" s="18"/>
      <c r="CH174" s="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7"/>
    </row>
    <row r="175" spans="1:97" ht="12.75" customHeight="1" x14ac:dyDescent="0.2">
      <c r="A175" s="6" t="s">
        <v>192</v>
      </c>
      <c r="C175" s="6" t="s">
        <v>64</v>
      </c>
      <c r="E175" s="16">
        <v>1171057</v>
      </c>
      <c r="F175" s="16"/>
      <c r="G175" s="16">
        <v>1015178</v>
      </c>
      <c r="H175" s="16"/>
      <c r="I175" s="16">
        <f t="shared" si="64"/>
        <v>2186235</v>
      </c>
      <c r="J175" s="16"/>
      <c r="K175" s="16">
        <v>256904</v>
      </c>
      <c r="L175" s="16"/>
      <c r="M175" s="16">
        <v>107189</v>
      </c>
      <c r="N175" s="16"/>
      <c r="O175" s="16">
        <f t="shared" si="65"/>
        <v>364093</v>
      </c>
      <c r="P175" s="16"/>
      <c r="Q175" s="16">
        <v>924672</v>
      </c>
      <c r="R175" s="16"/>
      <c r="S175" s="16">
        <v>0</v>
      </c>
      <c r="T175" s="16"/>
      <c r="U175" s="16">
        <v>897470</v>
      </c>
      <c r="V175" s="16"/>
      <c r="W175" s="16">
        <f t="shared" si="66"/>
        <v>1822142</v>
      </c>
      <c r="X175" s="16"/>
      <c r="Y175" s="6" t="s">
        <v>192</v>
      </c>
      <c r="AA175" s="6" t="s">
        <v>64</v>
      </c>
      <c r="AB175" s="6"/>
      <c r="AC175" s="16">
        <v>1616050</v>
      </c>
      <c r="AD175" s="16"/>
      <c r="AE175" s="16">
        <f>1381694-28455</f>
        <v>1353239</v>
      </c>
      <c r="AF175" s="16"/>
      <c r="AG175" s="16">
        <v>28455</v>
      </c>
      <c r="AH175" s="16"/>
      <c r="AI175" s="8">
        <f t="shared" si="67"/>
        <v>234356</v>
      </c>
      <c r="AJ175" s="8"/>
      <c r="AK175" s="16">
        <v>3698</v>
      </c>
      <c r="AL175" s="8"/>
      <c r="AM175" s="16">
        <v>0</v>
      </c>
      <c r="AN175" s="16"/>
      <c r="AO175" s="16">
        <v>0</v>
      </c>
      <c r="AP175" s="16"/>
      <c r="AQ175" s="16">
        <v>0</v>
      </c>
      <c r="AR175" s="16"/>
      <c r="AS175" s="8">
        <f t="shared" si="70"/>
        <v>238054</v>
      </c>
      <c r="AT175" s="8"/>
      <c r="AU175" s="16">
        <v>0</v>
      </c>
      <c r="AV175" s="16"/>
      <c r="AW175" s="16">
        <v>0</v>
      </c>
      <c r="AX175" s="16"/>
      <c r="AY175" s="16">
        <f t="shared" si="68"/>
        <v>914153</v>
      </c>
      <c r="AZ175" s="16"/>
      <c r="BA175" s="6" t="s">
        <v>192</v>
      </c>
      <c r="BC175" s="6" t="s">
        <v>64</v>
      </c>
      <c r="BD175" s="16"/>
      <c r="BE175" s="16">
        <v>0</v>
      </c>
      <c r="BF175" s="16"/>
      <c r="BG175" s="16">
        <v>0</v>
      </c>
      <c r="BH175" s="16"/>
      <c r="BI175" s="16">
        <f>64647+25859</f>
        <v>90506</v>
      </c>
      <c r="BJ175" s="16"/>
      <c r="BK175" s="16">
        <f>42542+10636</f>
        <v>53178</v>
      </c>
      <c r="BL175" s="16"/>
      <c r="BM175" s="16">
        <f t="shared" si="69"/>
        <v>143684</v>
      </c>
      <c r="BN175" s="17" t="s">
        <v>345</v>
      </c>
      <c r="BP175" s="18"/>
      <c r="BQ175" s="18"/>
      <c r="BR175" s="14"/>
      <c r="BS175" s="16"/>
      <c r="BT175" s="16"/>
      <c r="BU175" s="16"/>
      <c r="BV175" s="16"/>
      <c r="BW175" s="16"/>
      <c r="BX175" s="8"/>
      <c r="BY175" s="8"/>
      <c r="BZ175" s="16"/>
      <c r="CA175" s="16"/>
      <c r="CB175" s="16"/>
      <c r="CC175" s="16"/>
      <c r="CD175" s="16"/>
      <c r="CE175" s="16"/>
      <c r="CF175" s="6"/>
      <c r="CG175" s="18"/>
      <c r="CH175" s="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7"/>
    </row>
    <row r="176" spans="1:97" ht="12.75" customHeight="1" x14ac:dyDescent="0.2">
      <c r="A176" s="6" t="s">
        <v>193</v>
      </c>
      <c r="C176" s="6" t="s">
        <v>15</v>
      </c>
      <c r="E176" s="16">
        <v>4504637</v>
      </c>
      <c r="F176" s="16"/>
      <c r="G176" s="16">
        <v>7276164</v>
      </c>
      <c r="H176" s="16"/>
      <c r="I176" s="16">
        <f t="shared" si="64"/>
        <v>11780801</v>
      </c>
      <c r="J176" s="16"/>
      <c r="K176" s="16">
        <v>335831</v>
      </c>
      <c r="L176" s="16"/>
      <c r="M176" s="16">
        <f>41455+367000</f>
        <v>408455</v>
      </c>
      <c r="N176" s="16"/>
      <c r="O176" s="16">
        <f t="shared" si="65"/>
        <v>744286</v>
      </c>
      <c r="P176" s="16"/>
      <c r="Q176" s="16">
        <v>6632201</v>
      </c>
      <c r="R176" s="16"/>
      <c r="S176" s="16">
        <v>0</v>
      </c>
      <c r="T176" s="16"/>
      <c r="U176" s="16">
        <v>4404314</v>
      </c>
      <c r="V176" s="16"/>
      <c r="W176" s="16">
        <f t="shared" si="66"/>
        <v>11036515</v>
      </c>
      <c r="X176" s="16"/>
      <c r="Y176" s="6" t="s">
        <v>193</v>
      </c>
      <c r="AA176" s="6" t="s">
        <v>15</v>
      </c>
      <c r="AB176" s="6"/>
      <c r="AC176" s="16">
        <v>1685244</v>
      </c>
      <c r="AD176" s="16"/>
      <c r="AE176" s="16">
        <f>1456585-430105</f>
        <v>1026480</v>
      </c>
      <c r="AF176" s="16"/>
      <c r="AG176" s="16">
        <v>430105</v>
      </c>
      <c r="AH176" s="16"/>
      <c r="AI176" s="8">
        <f t="shared" si="67"/>
        <v>228659</v>
      </c>
      <c r="AJ176" s="8"/>
      <c r="AK176" s="16">
        <v>-66878</v>
      </c>
      <c r="AL176" s="8"/>
      <c r="AM176" s="16">
        <v>0</v>
      </c>
      <c r="AN176" s="16"/>
      <c r="AO176" s="16">
        <v>24335</v>
      </c>
      <c r="AP176" s="16"/>
      <c r="AQ176" s="16">
        <v>0</v>
      </c>
      <c r="AR176" s="16"/>
      <c r="AS176" s="8">
        <f t="shared" si="70"/>
        <v>137446</v>
      </c>
      <c r="AT176" s="8"/>
      <c r="AU176" s="16">
        <v>0</v>
      </c>
      <c r="AV176" s="16"/>
      <c r="AW176" s="16">
        <v>0</v>
      </c>
      <c r="AX176" s="16"/>
      <c r="AY176" s="16">
        <f t="shared" si="68"/>
        <v>4168806</v>
      </c>
      <c r="AZ176" s="16"/>
      <c r="BA176" s="6" t="s">
        <v>193</v>
      </c>
      <c r="BC176" s="6" t="s">
        <v>15</v>
      </c>
      <c r="BD176" s="16"/>
      <c r="BE176" s="16">
        <v>0</v>
      </c>
      <c r="BF176" s="16"/>
      <c r="BG176" s="16">
        <v>0</v>
      </c>
      <c r="BH176" s="16"/>
      <c r="BI176" s="16">
        <f>367000+276963</f>
        <v>643963</v>
      </c>
      <c r="BJ176" s="16"/>
      <c r="BK176" s="16">
        <f>41455+27148</f>
        <v>68603</v>
      </c>
      <c r="BL176" s="16"/>
      <c r="BM176" s="16">
        <f t="shared" si="69"/>
        <v>712566</v>
      </c>
      <c r="BN176" s="17" t="s">
        <v>345</v>
      </c>
      <c r="BP176" s="18"/>
      <c r="BQ176" s="18"/>
      <c r="BR176" s="14"/>
      <c r="BS176" s="16"/>
      <c r="BT176" s="16"/>
      <c r="BU176" s="16"/>
      <c r="BV176" s="16"/>
      <c r="BW176" s="16"/>
      <c r="BX176" s="8"/>
      <c r="BY176" s="8"/>
      <c r="BZ176" s="16"/>
      <c r="CA176" s="16"/>
      <c r="CB176" s="16"/>
      <c r="CC176" s="16"/>
      <c r="CD176" s="16"/>
      <c r="CE176" s="16"/>
      <c r="CF176" s="6"/>
      <c r="CG176" s="18"/>
      <c r="CH176" s="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7"/>
    </row>
    <row r="177" spans="1:99" ht="12.75" hidden="1" customHeight="1" x14ac:dyDescent="0.2">
      <c r="A177" s="6" t="s">
        <v>194</v>
      </c>
      <c r="C177" s="6" t="s">
        <v>25</v>
      </c>
      <c r="E177" s="16">
        <v>0</v>
      </c>
      <c r="F177" s="16"/>
      <c r="G177" s="16"/>
      <c r="H177" s="16"/>
      <c r="I177" s="16">
        <f t="shared" si="64"/>
        <v>0</v>
      </c>
      <c r="J177" s="16"/>
      <c r="K177" s="16">
        <v>0</v>
      </c>
      <c r="L177" s="16"/>
      <c r="M177" s="16"/>
      <c r="N177" s="16"/>
      <c r="O177" s="16">
        <f t="shared" si="65"/>
        <v>0</v>
      </c>
      <c r="P177" s="16"/>
      <c r="Q177" s="16"/>
      <c r="R177" s="16"/>
      <c r="S177" s="16"/>
      <c r="T177" s="16"/>
      <c r="U177" s="16"/>
      <c r="V177" s="16"/>
      <c r="W177" s="16">
        <f t="shared" si="66"/>
        <v>0</v>
      </c>
      <c r="X177" s="16"/>
      <c r="Y177" s="6" t="s">
        <v>194</v>
      </c>
      <c r="AA177" s="6" t="s">
        <v>25</v>
      </c>
      <c r="AB177" s="6"/>
      <c r="AC177" s="16"/>
      <c r="AD177" s="16"/>
      <c r="AE177" s="16"/>
      <c r="AF177" s="16"/>
      <c r="AG177" s="16"/>
      <c r="AH177" s="16"/>
      <c r="AI177" s="8">
        <f t="shared" si="67"/>
        <v>0</v>
      </c>
      <c r="AJ177" s="8"/>
      <c r="AK177" s="16"/>
      <c r="AL177" s="8"/>
      <c r="AM177" s="16"/>
      <c r="AN177" s="16"/>
      <c r="AO177" s="16"/>
      <c r="AP177" s="16"/>
      <c r="AQ177" s="16"/>
      <c r="AR177" s="16"/>
      <c r="AS177" s="8">
        <f t="shared" si="70"/>
        <v>0</v>
      </c>
      <c r="AT177" s="8"/>
      <c r="AU177" s="16">
        <v>0</v>
      </c>
      <c r="AV177" s="16"/>
      <c r="AW177" s="16">
        <v>0</v>
      </c>
      <c r="AX177" s="16"/>
      <c r="AY177" s="16">
        <f t="shared" si="68"/>
        <v>0</v>
      </c>
      <c r="AZ177" s="16"/>
      <c r="BA177" s="6" t="s">
        <v>194</v>
      </c>
      <c r="BC177" s="6" t="s">
        <v>25</v>
      </c>
      <c r="BD177" s="16"/>
      <c r="BE177" s="16"/>
      <c r="BF177" s="16"/>
      <c r="BG177" s="16"/>
      <c r="BH177" s="16"/>
      <c r="BI177" s="16"/>
      <c r="BJ177" s="16"/>
      <c r="BK177" s="16"/>
      <c r="BL177" s="16"/>
      <c r="BM177" s="16">
        <f t="shared" si="69"/>
        <v>0</v>
      </c>
      <c r="BN177" s="17" t="s">
        <v>345</v>
      </c>
      <c r="BP177" s="18"/>
      <c r="BQ177" s="18"/>
      <c r="BR177" s="14"/>
      <c r="BS177" s="16"/>
      <c r="BT177" s="16"/>
      <c r="BU177" s="16"/>
      <c r="BV177" s="16"/>
      <c r="BW177" s="16"/>
      <c r="BX177" s="8"/>
      <c r="BY177" s="8"/>
      <c r="BZ177" s="16"/>
      <c r="CA177" s="16"/>
      <c r="CB177" s="16"/>
      <c r="CC177" s="16"/>
      <c r="CD177" s="16"/>
      <c r="CE177" s="16"/>
      <c r="CF177" s="6"/>
      <c r="CG177" s="18"/>
      <c r="CH177" s="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7"/>
    </row>
    <row r="178" spans="1:99" ht="12.75" customHeight="1" x14ac:dyDescent="0.2">
      <c r="A178" s="6" t="s">
        <v>400</v>
      </c>
      <c r="C178" s="6" t="s">
        <v>151</v>
      </c>
      <c r="E178" s="16">
        <v>1302451</v>
      </c>
      <c r="F178" s="16"/>
      <c r="G178" s="16">
        <v>7898713</v>
      </c>
      <c r="H178" s="16"/>
      <c r="I178" s="16">
        <f t="shared" si="64"/>
        <v>9201164</v>
      </c>
      <c r="J178" s="16"/>
      <c r="K178" s="16">
        <v>233833</v>
      </c>
      <c r="L178" s="16"/>
      <c r="M178" s="16">
        <v>788068</v>
      </c>
      <c r="N178" s="16"/>
      <c r="O178" s="16">
        <f t="shared" si="65"/>
        <v>1021901</v>
      </c>
      <c r="P178" s="16"/>
      <c r="Q178" s="16">
        <v>7097628</v>
      </c>
      <c r="R178" s="16"/>
      <c r="S178" s="16">
        <v>0</v>
      </c>
      <c r="T178" s="16"/>
      <c r="U178" s="16">
        <v>1081635</v>
      </c>
      <c r="V178" s="16"/>
      <c r="W178" s="16">
        <f t="shared" si="66"/>
        <v>8179263</v>
      </c>
      <c r="X178" s="16"/>
      <c r="Y178" s="6" t="s">
        <v>384</v>
      </c>
      <c r="AA178" s="6" t="s">
        <v>151</v>
      </c>
      <c r="AB178" s="6"/>
      <c r="AC178" s="16">
        <v>1061622</v>
      </c>
      <c r="AD178" s="16"/>
      <c r="AE178" s="16">
        <f>1453068-271023</f>
        <v>1182045</v>
      </c>
      <c r="AF178" s="16"/>
      <c r="AG178" s="16">
        <v>271023</v>
      </c>
      <c r="AH178" s="16"/>
      <c r="AI178" s="8">
        <f t="shared" si="67"/>
        <v>-391446</v>
      </c>
      <c r="AJ178" s="8"/>
      <c r="AK178" s="16">
        <v>0</v>
      </c>
      <c r="AL178" s="8"/>
      <c r="AM178" s="16">
        <v>15021</v>
      </c>
      <c r="AN178" s="16"/>
      <c r="AO178" s="16">
        <v>0</v>
      </c>
      <c r="AP178" s="16"/>
      <c r="AQ178" s="16">
        <v>0</v>
      </c>
      <c r="AR178" s="16"/>
      <c r="AS178" s="8">
        <f t="shared" si="70"/>
        <v>-376425</v>
      </c>
      <c r="AT178" s="8"/>
      <c r="AU178" s="16">
        <v>0</v>
      </c>
      <c r="AV178" s="16"/>
      <c r="AW178" s="16">
        <v>0</v>
      </c>
      <c r="AX178" s="16"/>
      <c r="AY178" s="16">
        <f t="shared" si="68"/>
        <v>1068618</v>
      </c>
      <c r="AZ178" s="16"/>
      <c r="BA178" s="6" t="s">
        <v>384</v>
      </c>
      <c r="BC178" s="6" t="s">
        <v>151</v>
      </c>
      <c r="BD178" s="16"/>
      <c r="BE178" s="16">
        <v>0</v>
      </c>
      <c r="BF178" s="16"/>
      <c r="BG178" s="16">
        <v>0</v>
      </c>
      <c r="BH178" s="16"/>
      <c r="BI178" s="16">
        <f>771045+30040</f>
        <v>801085</v>
      </c>
      <c r="BJ178" s="16"/>
      <c r="BK178" s="16">
        <f>17023+6034</f>
        <v>23057</v>
      </c>
      <c r="BL178" s="16"/>
      <c r="BM178" s="16">
        <f t="shared" si="69"/>
        <v>824142</v>
      </c>
      <c r="BN178" s="17" t="s">
        <v>345</v>
      </c>
      <c r="BO178" s="18" t="s">
        <v>402</v>
      </c>
      <c r="BP178" s="18"/>
      <c r="BQ178" s="18"/>
      <c r="BR178" s="14"/>
      <c r="BS178" s="16"/>
      <c r="BT178" s="16"/>
      <c r="BU178" s="16"/>
      <c r="BV178" s="16"/>
      <c r="BW178" s="16"/>
      <c r="BX178" s="8"/>
      <c r="BY178" s="8"/>
      <c r="BZ178" s="16"/>
      <c r="CA178" s="16"/>
      <c r="CB178" s="16"/>
      <c r="CC178" s="16"/>
      <c r="CD178" s="16"/>
      <c r="CE178" s="16"/>
      <c r="CF178" s="6"/>
      <c r="CG178" s="18"/>
      <c r="CH178" s="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7"/>
    </row>
    <row r="179" spans="1:99" ht="12.75" customHeight="1" x14ac:dyDescent="0.2">
      <c r="A179" s="6" t="s">
        <v>195</v>
      </c>
      <c r="C179" s="6" t="s">
        <v>161</v>
      </c>
      <c r="E179" s="16">
        <v>5866323</v>
      </c>
      <c r="F179" s="16"/>
      <c r="G179" s="16">
        <v>21693577</v>
      </c>
      <c r="H179" s="16"/>
      <c r="I179" s="16">
        <f t="shared" si="64"/>
        <v>27559900</v>
      </c>
      <c r="J179" s="16"/>
      <c r="K179" s="16">
        <v>954436</v>
      </c>
      <c r="L179" s="16"/>
      <c r="M179" s="16">
        <v>7509194</v>
      </c>
      <c r="N179" s="16"/>
      <c r="O179" s="16">
        <f t="shared" si="65"/>
        <v>8463630</v>
      </c>
      <c r="P179" s="16"/>
      <c r="Q179" s="16">
        <v>13745019</v>
      </c>
      <c r="R179" s="16"/>
      <c r="S179" s="16">
        <v>0</v>
      </c>
      <c r="T179" s="16"/>
      <c r="U179" s="16">
        <v>5394121</v>
      </c>
      <c r="V179" s="16"/>
      <c r="W179" s="16">
        <f t="shared" si="66"/>
        <v>19139140</v>
      </c>
      <c r="X179" s="16"/>
      <c r="Y179" s="6" t="s">
        <v>195</v>
      </c>
      <c r="AA179" s="6" t="s">
        <v>161</v>
      </c>
      <c r="AB179" s="6"/>
      <c r="AC179" s="16">
        <v>4055468</v>
      </c>
      <c r="AD179" s="16"/>
      <c r="AE179" s="16">
        <f>4923116-1785387</f>
        <v>3137729</v>
      </c>
      <c r="AF179" s="16"/>
      <c r="AG179" s="16">
        <v>1785387</v>
      </c>
      <c r="AH179" s="16"/>
      <c r="AI179" s="8">
        <f t="shared" si="67"/>
        <v>-867648</v>
      </c>
      <c r="AJ179" s="8"/>
      <c r="AK179" s="16">
        <v>-198293</v>
      </c>
      <c r="AL179" s="8"/>
      <c r="AM179" s="16">
        <v>1603008</v>
      </c>
      <c r="AN179" s="16"/>
      <c r="AO179" s="16">
        <v>150000</v>
      </c>
      <c r="AP179" s="16"/>
      <c r="AQ179" s="16">
        <v>0</v>
      </c>
      <c r="AR179" s="16"/>
      <c r="AS179" s="8">
        <f>+AI179+AK179+AM179-AO179+AQ179</f>
        <v>387067</v>
      </c>
      <c r="AT179" s="8"/>
      <c r="AU179" s="16">
        <v>0</v>
      </c>
      <c r="AV179" s="16"/>
      <c r="AW179" s="16">
        <v>0</v>
      </c>
      <c r="AX179" s="16"/>
      <c r="AY179" s="16">
        <f t="shared" si="68"/>
        <v>4911887</v>
      </c>
      <c r="AZ179" s="16"/>
      <c r="BA179" s="6" t="s">
        <v>195</v>
      </c>
      <c r="BC179" s="6" t="s">
        <v>161</v>
      </c>
      <c r="BD179" s="16"/>
      <c r="BE179" s="16">
        <f>1132870+205000</f>
        <v>1337870</v>
      </c>
      <c r="BF179" s="16"/>
      <c r="BG179" s="16">
        <v>0</v>
      </c>
      <c r="BH179" s="16"/>
      <c r="BI179" s="16">
        <f>6026813+120868+546207+9670</f>
        <v>6703558</v>
      </c>
      <c r="BJ179" s="16"/>
      <c r="BK179" s="16">
        <f>228643+93358</f>
        <v>322001</v>
      </c>
      <c r="BL179" s="16"/>
      <c r="BM179" s="16">
        <f t="shared" si="69"/>
        <v>8363429</v>
      </c>
      <c r="BN179" s="17" t="s">
        <v>345</v>
      </c>
      <c r="BP179" s="18"/>
      <c r="BQ179" s="18"/>
      <c r="BR179" s="14"/>
      <c r="BS179" s="16"/>
      <c r="BT179" s="16"/>
      <c r="BU179" s="16"/>
      <c r="BV179" s="16"/>
      <c r="BW179" s="16"/>
      <c r="BX179" s="8"/>
      <c r="BY179" s="8"/>
      <c r="BZ179" s="16"/>
      <c r="CA179" s="16"/>
      <c r="CB179" s="16"/>
      <c r="CC179" s="16"/>
      <c r="CD179" s="16"/>
      <c r="CE179" s="16"/>
      <c r="CF179" s="6"/>
      <c r="CG179" s="18"/>
      <c r="CH179" s="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7"/>
    </row>
    <row r="180" spans="1:99" ht="12.75" customHeight="1" x14ac:dyDescent="0.2">
      <c r="A180" s="6" t="s">
        <v>196</v>
      </c>
      <c r="C180" s="6" t="s">
        <v>197</v>
      </c>
      <c r="E180" s="16">
        <v>3934807</v>
      </c>
      <c r="F180" s="16"/>
      <c r="G180" s="16">
        <v>5391817</v>
      </c>
      <c r="H180" s="16"/>
      <c r="I180" s="16">
        <f t="shared" si="64"/>
        <v>9326624</v>
      </c>
      <c r="J180" s="16"/>
      <c r="K180" s="16">
        <v>128760</v>
      </c>
      <c r="L180" s="16"/>
      <c r="M180" s="16">
        <v>44088</v>
      </c>
      <c r="N180" s="16"/>
      <c r="O180" s="16">
        <f t="shared" si="65"/>
        <v>172848</v>
      </c>
      <c r="P180" s="16"/>
      <c r="Q180" s="16">
        <v>5382209</v>
      </c>
      <c r="R180" s="16"/>
      <c r="S180" s="16">
        <v>0</v>
      </c>
      <c r="T180" s="16"/>
      <c r="U180" s="16">
        <v>3771567</v>
      </c>
      <c r="V180" s="16"/>
      <c r="W180" s="16">
        <f t="shared" si="66"/>
        <v>9153776</v>
      </c>
      <c r="X180" s="16"/>
      <c r="Y180" s="6" t="s">
        <v>196</v>
      </c>
      <c r="AA180" s="6" t="s">
        <v>197</v>
      </c>
      <c r="AB180" s="6"/>
      <c r="AC180" s="16">
        <v>2024971</v>
      </c>
      <c r="AD180" s="16"/>
      <c r="AE180" s="16">
        <f>2078019-618748</f>
        <v>1459271</v>
      </c>
      <c r="AF180" s="16"/>
      <c r="AG180" s="16">
        <v>618748</v>
      </c>
      <c r="AH180" s="16"/>
      <c r="AI180" s="8">
        <f t="shared" si="67"/>
        <v>-53048</v>
      </c>
      <c r="AJ180" s="8"/>
      <c r="AK180" s="16">
        <v>43853</v>
      </c>
      <c r="AL180" s="8"/>
      <c r="AM180" s="16">
        <v>0</v>
      </c>
      <c r="AN180" s="16"/>
      <c r="AO180" s="16">
        <v>0</v>
      </c>
      <c r="AP180" s="16"/>
      <c r="AQ180" s="16">
        <v>0</v>
      </c>
      <c r="AR180" s="16"/>
      <c r="AS180" s="8">
        <f t="shared" si="70"/>
        <v>-9195</v>
      </c>
      <c r="AT180" s="8"/>
      <c r="AU180" s="16">
        <v>0</v>
      </c>
      <c r="AV180" s="16"/>
      <c r="AW180" s="16">
        <v>0</v>
      </c>
      <c r="AX180" s="16"/>
      <c r="AY180" s="16">
        <f t="shared" si="68"/>
        <v>3806047</v>
      </c>
      <c r="AZ180" s="16"/>
      <c r="BA180" s="6" t="s">
        <v>196</v>
      </c>
      <c r="BC180" s="6" t="s">
        <v>197</v>
      </c>
      <c r="BD180" s="16"/>
      <c r="BE180" s="16">
        <v>0</v>
      </c>
      <c r="BF180" s="16"/>
      <c r="BG180" s="16">
        <v>0</v>
      </c>
      <c r="BH180" s="16"/>
      <c r="BI180" s="16">
        <v>0</v>
      </c>
      <c r="BJ180" s="16"/>
      <c r="BK180" s="16">
        <f>44088+15957</f>
        <v>60045</v>
      </c>
      <c r="BL180" s="16"/>
      <c r="BM180" s="16">
        <f t="shared" si="69"/>
        <v>60045</v>
      </c>
      <c r="BN180" s="17" t="s">
        <v>345</v>
      </c>
      <c r="BO180" s="18" t="s">
        <v>406</v>
      </c>
      <c r="BP180" s="18"/>
      <c r="BQ180" s="18"/>
      <c r="BR180" s="14"/>
      <c r="BS180" s="16"/>
      <c r="BT180" s="16"/>
      <c r="BU180" s="16"/>
      <c r="BV180" s="16"/>
      <c r="BW180" s="16"/>
      <c r="BX180" s="8"/>
      <c r="BY180" s="8"/>
      <c r="BZ180" s="16"/>
      <c r="CA180" s="16"/>
      <c r="CB180" s="16"/>
      <c r="CC180" s="16"/>
      <c r="CD180" s="16"/>
      <c r="CE180" s="16"/>
      <c r="CF180" s="6"/>
      <c r="CG180" s="18"/>
      <c r="CH180" s="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7"/>
    </row>
    <row r="181" spans="1:99" ht="12.75" customHeight="1" x14ac:dyDescent="0.2">
      <c r="A181" s="6" t="s">
        <v>198</v>
      </c>
      <c r="B181" s="18"/>
      <c r="C181" s="6" t="s">
        <v>101</v>
      </c>
      <c r="E181" s="16">
        <v>7681573</v>
      </c>
      <c r="F181" s="16"/>
      <c r="G181" s="16">
        <v>15182217</v>
      </c>
      <c r="H181" s="16"/>
      <c r="I181" s="16">
        <f t="shared" si="64"/>
        <v>22863790</v>
      </c>
      <c r="J181" s="16"/>
      <c r="K181" s="16">
        <v>762802</v>
      </c>
      <c r="L181" s="16"/>
      <c r="M181" s="16">
        <v>2611517</v>
      </c>
      <c r="N181" s="16"/>
      <c r="O181" s="16">
        <f t="shared" si="65"/>
        <v>3374319</v>
      </c>
      <c r="P181" s="16"/>
      <c r="Q181" s="16">
        <v>12285399</v>
      </c>
      <c r="R181" s="16"/>
      <c r="S181" s="16">
        <v>900079</v>
      </c>
      <c r="T181" s="16"/>
      <c r="U181" s="16">
        <v>6303993</v>
      </c>
      <c r="V181" s="16"/>
      <c r="W181" s="16">
        <f t="shared" si="66"/>
        <v>19489471</v>
      </c>
      <c r="X181" s="16"/>
      <c r="Y181" s="6" t="s">
        <v>198</v>
      </c>
      <c r="AA181" s="6" t="s">
        <v>101</v>
      </c>
      <c r="AB181" s="6"/>
      <c r="AC181" s="16">
        <v>3000017</v>
      </c>
      <c r="AD181" s="16"/>
      <c r="AE181" s="16">
        <f>2825532-633815</f>
        <v>2191717</v>
      </c>
      <c r="AF181" s="16"/>
      <c r="AG181" s="16">
        <v>633815</v>
      </c>
      <c r="AH181" s="16"/>
      <c r="AI181" s="8">
        <f t="shared" si="67"/>
        <v>174485</v>
      </c>
      <c r="AJ181" s="8"/>
      <c r="AK181" s="16">
        <v>-75059</v>
      </c>
      <c r="AL181" s="8"/>
      <c r="AM181" s="16">
        <v>0</v>
      </c>
      <c r="AN181" s="16"/>
      <c r="AO181" s="16">
        <v>0</v>
      </c>
      <c r="AP181" s="16"/>
      <c r="AQ181" s="16">
        <v>93270</v>
      </c>
      <c r="AR181" s="16"/>
      <c r="AS181" s="8">
        <f t="shared" si="70"/>
        <v>192696</v>
      </c>
      <c r="AT181" s="8"/>
      <c r="AU181" s="16">
        <v>0</v>
      </c>
      <c r="AV181" s="16"/>
      <c r="AW181" s="16">
        <v>0</v>
      </c>
      <c r="AX181" s="16"/>
      <c r="AY181" s="16">
        <f t="shared" si="68"/>
        <v>6918771</v>
      </c>
      <c r="AZ181" s="16"/>
      <c r="BA181" s="6" t="s">
        <v>198</v>
      </c>
      <c r="BC181" s="6" t="s">
        <v>101</v>
      </c>
      <c r="BD181" s="16"/>
      <c r="BE181" s="16">
        <v>0</v>
      </c>
      <c r="BF181" s="16"/>
      <c r="BG181" s="16">
        <v>0</v>
      </c>
      <c r="BH181" s="16"/>
      <c r="BI181" s="16">
        <f>2450229+446589</f>
        <v>2896818</v>
      </c>
      <c r="BJ181" s="16"/>
      <c r="BK181" s="16">
        <f>161288+45744</f>
        <v>207032</v>
      </c>
      <c r="BL181" s="16"/>
      <c r="BM181" s="16">
        <f t="shared" si="69"/>
        <v>3103850</v>
      </c>
      <c r="BN181" s="17" t="s">
        <v>345</v>
      </c>
      <c r="BP181" s="18"/>
      <c r="BQ181" s="18"/>
      <c r="BR181" s="14"/>
      <c r="BS181" s="16"/>
      <c r="BT181" s="16"/>
      <c r="BU181" s="16"/>
      <c r="BV181" s="16"/>
      <c r="BX181" s="8"/>
      <c r="BY181" s="16"/>
      <c r="BZ181" s="16"/>
      <c r="CA181" s="16"/>
      <c r="CB181" s="16"/>
      <c r="CC181" s="16"/>
      <c r="CD181" s="16"/>
      <c r="CE181" s="16"/>
      <c r="CF181" s="6"/>
      <c r="CG181" s="18"/>
      <c r="CH181" s="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7"/>
    </row>
    <row r="182" spans="1:99" ht="12.75" customHeight="1" x14ac:dyDescent="0.2">
      <c r="A182" s="6" t="s">
        <v>199</v>
      </c>
      <c r="B182" s="18"/>
      <c r="C182" s="6" t="s">
        <v>90</v>
      </c>
      <c r="E182" s="16">
        <v>3355651</v>
      </c>
      <c r="F182" s="16"/>
      <c r="G182" s="16">
        <v>10128794</v>
      </c>
      <c r="H182" s="16"/>
      <c r="I182" s="16">
        <f t="shared" si="64"/>
        <v>13484445</v>
      </c>
      <c r="J182" s="16"/>
      <c r="K182" s="16">
        <v>413657</v>
      </c>
      <c r="L182" s="16"/>
      <c r="M182" s="16">
        <v>4065934</v>
      </c>
      <c r="N182" s="16"/>
      <c r="O182" s="16">
        <f t="shared" si="65"/>
        <v>4479591</v>
      </c>
      <c r="P182" s="16"/>
      <c r="Q182" s="16">
        <v>6189304</v>
      </c>
      <c r="R182" s="16"/>
      <c r="S182" s="16">
        <v>0</v>
      </c>
      <c r="T182" s="16"/>
      <c r="U182" s="16">
        <v>2815550</v>
      </c>
      <c r="V182" s="16"/>
      <c r="W182" s="16">
        <f t="shared" si="66"/>
        <v>9004854</v>
      </c>
      <c r="X182" s="16"/>
      <c r="Y182" s="6" t="s">
        <v>199</v>
      </c>
      <c r="AA182" s="6" t="s">
        <v>90</v>
      </c>
      <c r="AB182" s="6"/>
      <c r="AC182" s="16">
        <v>3746840</v>
      </c>
      <c r="AD182" s="16"/>
      <c r="AE182" s="16">
        <f>3772650-503673</f>
        <v>3268977</v>
      </c>
      <c r="AF182" s="16"/>
      <c r="AG182" s="16">
        <v>503673</v>
      </c>
      <c r="AH182" s="16"/>
      <c r="AI182" s="8">
        <f t="shared" si="67"/>
        <v>-25810</v>
      </c>
      <c r="AJ182" s="8"/>
      <c r="AK182" s="16">
        <v>-158097</v>
      </c>
      <c r="AL182" s="8"/>
      <c r="AM182" s="16">
        <v>0</v>
      </c>
      <c r="AN182" s="16"/>
      <c r="AO182" s="16">
        <v>85000</v>
      </c>
      <c r="AP182" s="16"/>
      <c r="AQ182" s="16">
        <v>0</v>
      </c>
      <c r="AR182" s="16"/>
      <c r="AS182" s="8">
        <f t="shared" si="70"/>
        <v>-268907</v>
      </c>
      <c r="AT182" s="8"/>
      <c r="AU182" s="16">
        <v>0</v>
      </c>
      <c r="AV182" s="16"/>
      <c r="AW182" s="16">
        <v>0</v>
      </c>
      <c r="AX182" s="16"/>
      <c r="AY182" s="16">
        <f t="shared" si="68"/>
        <v>2941994</v>
      </c>
      <c r="AZ182" s="16"/>
      <c r="BA182" s="6" t="s">
        <v>199</v>
      </c>
      <c r="BC182" s="6" t="s">
        <v>90</v>
      </c>
      <c r="BD182" s="16"/>
      <c r="BE182" s="16">
        <v>0</v>
      </c>
      <c r="BF182" s="16"/>
      <c r="BG182" s="16">
        <v>0</v>
      </c>
      <c r="BH182" s="16"/>
      <c r="BI182" s="16">
        <f>3368926+28683+2048</f>
        <v>3399657</v>
      </c>
      <c r="BJ182" s="16"/>
      <c r="BK182" s="16">
        <f>191385+231930+245010+10233+67545+155432</f>
        <v>901535</v>
      </c>
      <c r="BL182" s="16"/>
      <c r="BM182" s="16">
        <f t="shared" si="69"/>
        <v>4301192</v>
      </c>
      <c r="BN182" s="17" t="s">
        <v>345</v>
      </c>
      <c r="BO182" s="6" t="s">
        <v>407</v>
      </c>
      <c r="BP182" s="18"/>
      <c r="BQ182" s="18"/>
      <c r="BR182" s="14"/>
      <c r="BS182" s="16"/>
      <c r="BT182" s="16"/>
      <c r="BU182" s="16"/>
      <c r="BV182" s="16"/>
      <c r="BW182" s="16"/>
      <c r="BX182" s="8"/>
      <c r="BY182" s="8"/>
      <c r="BZ182" s="16"/>
      <c r="CA182" s="16"/>
      <c r="CB182" s="16"/>
      <c r="CC182" s="16"/>
      <c r="CD182" s="16"/>
      <c r="CE182" s="16"/>
      <c r="CF182" s="6"/>
      <c r="CG182" s="18"/>
      <c r="CH182" s="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7"/>
      <c r="CT182" s="6"/>
    </row>
    <row r="183" spans="1:99" ht="12" hidden="1" customHeight="1" x14ac:dyDescent="0.2">
      <c r="A183" s="6" t="s">
        <v>200</v>
      </c>
      <c r="C183" s="6" t="s">
        <v>25</v>
      </c>
      <c r="E183" s="16">
        <v>0</v>
      </c>
      <c r="F183" s="16"/>
      <c r="G183" s="16"/>
      <c r="H183" s="16"/>
      <c r="I183" s="16">
        <f t="shared" si="64"/>
        <v>0</v>
      </c>
      <c r="J183" s="16"/>
      <c r="K183" s="16">
        <v>0</v>
      </c>
      <c r="L183" s="16"/>
      <c r="M183" s="16"/>
      <c r="N183" s="16"/>
      <c r="O183" s="16">
        <f t="shared" si="65"/>
        <v>0</v>
      </c>
      <c r="P183" s="16"/>
      <c r="Q183" s="16"/>
      <c r="R183" s="16"/>
      <c r="S183" s="16"/>
      <c r="T183" s="16"/>
      <c r="U183" s="16"/>
      <c r="V183" s="16"/>
      <c r="W183" s="16">
        <f t="shared" si="66"/>
        <v>0</v>
      </c>
      <c r="X183" s="16"/>
      <c r="Y183" s="6" t="s">
        <v>200</v>
      </c>
      <c r="AA183" s="6" t="s">
        <v>25</v>
      </c>
      <c r="AB183" s="6"/>
      <c r="AC183" s="16"/>
      <c r="AD183" s="16"/>
      <c r="AE183" s="16"/>
      <c r="AF183" s="16"/>
      <c r="AG183" s="16"/>
      <c r="AH183" s="16"/>
      <c r="AI183" s="8">
        <f t="shared" si="67"/>
        <v>0</v>
      </c>
      <c r="AJ183" s="8"/>
      <c r="AK183" s="16"/>
      <c r="AL183" s="8"/>
      <c r="AM183" s="16"/>
      <c r="AN183" s="16"/>
      <c r="AO183" s="16"/>
      <c r="AP183" s="16"/>
      <c r="AQ183" s="16"/>
      <c r="AR183" s="16"/>
      <c r="AS183" s="8">
        <f t="shared" si="70"/>
        <v>0</v>
      </c>
      <c r="AT183" s="8"/>
      <c r="AU183" s="16">
        <v>0</v>
      </c>
      <c r="AV183" s="16"/>
      <c r="AW183" s="16">
        <v>0</v>
      </c>
      <c r="AX183" s="16"/>
      <c r="AY183" s="16">
        <f t="shared" si="68"/>
        <v>0</v>
      </c>
      <c r="AZ183" s="16"/>
      <c r="BA183" s="6" t="s">
        <v>200</v>
      </c>
      <c r="BC183" s="6" t="s">
        <v>25</v>
      </c>
      <c r="BD183" s="16"/>
      <c r="BE183" s="16"/>
      <c r="BF183" s="16"/>
      <c r="BG183" s="16"/>
      <c r="BH183" s="16"/>
      <c r="BI183" s="16"/>
      <c r="BJ183" s="16"/>
      <c r="BK183" s="16"/>
      <c r="BL183" s="16"/>
      <c r="BM183" s="16">
        <f t="shared" si="69"/>
        <v>0</v>
      </c>
      <c r="BN183" s="17" t="s">
        <v>345</v>
      </c>
      <c r="BP183" s="18"/>
      <c r="BQ183" s="18"/>
      <c r="BR183" s="14"/>
      <c r="BS183" s="16"/>
      <c r="BT183" s="16"/>
      <c r="BU183" s="16"/>
      <c r="BV183" s="16"/>
      <c r="BW183" s="16"/>
      <c r="BX183" s="8"/>
      <c r="BY183" s="8"/>
      <c r="BZ183" s="16"/>
      <c r="CA183" s="16"/>
      <c r="CB183" s="16"/>
      <c r="CC183" s="16"/>
      <c r="CD183" s="16"/>
      <c r="CE183" s="16"/>
      <c r="CF183" s="6"/>
      <c r="CG183" s="18"/>
      <c r="CH183" s="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7"/>
    </row>
    <row r="184" spans="1:99" ht="12" hidden="1" customHeight="1" x14ac:dyDescent="0.2">
      <c r="A184" s="6" t="s">
        <v>201</v>
      </c>
      <c r="C184" s="6" t="s">
        <v>25</v>
      </c>
      <c r="E184" s="16">
        <v>0</v>
      </c>
      <c r="F184" s="16"/>
      <c r="G184" s="16"/>
      <c r="H184" s="16"/>
      <c r="I184" s="16">
        <f t="shared" si="64"/>
        <v>0</v>
      </c>
      <c r="J184" s="16"/>
      <c r="K184" s="16">
        <v>0</v>
      </c>
      <c r="L184" s="16"/>
      <c r="M184" s="16"/>
      <c r="N184" s="16"/>
      <c r="O184" s="16">
        <f t="shared" si="65"/>
        <v>0</v>
      </c>
      <c r="P184" s="16"/>
      <c r="Q184" s="16"/>
      <c r="R184" s="16"/>
      <c r="S184" s="16"/>
      <c r="T184" s="16"/>
      <c r="U184" s="16"/>
      <c r="V184" s="16"/>
      <c r="W184" s="16">
        <f t="shared" si="66"/>
        <v>0</v>
      </c>
      <c r="X184" s="16"/>
      <c r="Y184" s="6" t="s">
        <v>201</v>
      </c>
      <c r="AA184" s="6" t="s">
        <v>25</v>
      </c>
      <c r="AB184" s="6"/>
      <c r="AC184" s="16"/>
      <c r="AD184" s="16"/>
      <c r="AE184" s="16"/>
      <c r="AF184" s="16"/>
      <c r="AG184" s="16"/>
      <c r="AH184" s="16"/>
      <c r="AI184" s="8">
        <f t="shared" si="67"/>
        <v>0</v>
      </c>
      <c r="AJ184" s="8"/>
      <c r="AK184" s="16"/>
      <c r="AL184" s="8"/>
      <c r="AM184" s="16"/>
      <c r="AN184" s="16"/>
      <c r="AO184" s="16"/>
      <c r="AP184" s="16"/>
      <c r="AQ184" s="16"/>
      <c r="AR184" s="16"/>
      <c r="AS184" s="8">
        <f t="shared" si="70"/>
        <v>0</v>
      </c>
      <c r="AT184" s="8"/>
      <c r="AU184" s="16">
        <v>0</v>
      </c>
      <c r="AV184" s="16"/>
      <c r="AW184" s="16">
        <v>0</v>
      </c>
      <c r="AX184" s="16"/>
      <c r="AY184" s="16">
        <f t="shared" si="68"/>
        <v>0</v>
      </c>
      <c r="AZ184" s="16"/>
      <c r="BA184" s="6" t="s">
        <v>201</v>
      </c>
      <c r="BC184" s="6" t="s">
        <v>25</v>
      </c>
      <c r="BD184" s="16"/>
      <c r="BE184" s="16"/>
      <c r="BF184" s="16"/>
      <c r="BG184" s="16"/>
      <c r="BH184" s="16"/>
      <c r="BI184" s="16"/>
      <c r="BJ184" s="16"/>
      <c r="BK184" s="16"/>
      <c r="BL184" s="16"/>
      <c r="BM184" s="16">
        <f t="shared" si="69"/>
        <v>0</v>
      </c>
      <c r="BN184" s="17" t="s">
        <v>345</v>
      </c>
      <c r="BO184" s="18" t="s">
        <v>402</v>
      </c>
      <c r="BP184" s="18"/>
      <c r="BQ184" s="18"/>
      <c r="BR184" s="14"/>
      <c r="BS184" s="16"/>
      <c r="BT184" s="16"/>
      <c r="BU184" s="16"/>
      <c r="BV184" s="16"/>
      <c r="BW184" s="16"/>
      <c r="BX184" s="8"/>
      <c r="BY184" s="8"/>
      <c r="BZ184" s="16"/>
      <c r="CA184" s="16"/>
      <c r="CB184" s="16"/>
      <c r="CC184" s="16"/>
      <c r="CD184" s="16"/>
      <c r="CE184" s="16"/>
      <c r="CF184" s="6"/>
      <c r="CG184" s="18"/>
      <c r="CH184" s="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7"/>
    </row>
    <row r="185" spans="1:99" ht="12.75" customHeight="1" x14ac:dyDescent="0.2">
      <c r="A185" s="6" t="s">
        <v>202</v>
      </c>
      <c r="C185" s="6" t="s">
        <v>123</v>
      </c>
      <c r="E185" s="16">
        <v>3370528</v>
      </c>
      <c r="F185" s="16"/>
      <c r="G185" s="16">
        <v>7483170</v>
      </c>
      <c r="H185" s="16"/>
      <c r="I185" s="16">
        <f t="shared" si="64"/>
        <v>10853698</v>
      </c>
      <c r="J185" s="16"/>
      <c r="K185" s="16">
        <v>1623431</v>
      </c>
      <c r="L185" s="16"/>
      <c r="M185" s="16">
        <v>4676943</v>
      </c>
      <c r="N185" s="16"/>
      <c r="O185" s="16">
        <f t="shared" si="65"/>
        <v>6300374</v>
      </c>
      <c r="P185" s="16"/>
      <c r="Q185" s="16">
        <v>2301551</v>
      </c>
      <c r="R185" s="16"/>
      <c r="S185" s="16">
        <v>0</v>
      </c>
      <c r="T185" s="16"/>
      <c r="U185" s="16">
        <v>2254221</v>
      </c>
      <c r="V185" s="16"/>
      <c r="W185" s="16">
        <f t="shared" si="66"/>
        <v>4555772</v>
      </c>
      <c r="X185" s="16"/>
      <c r="Y185" s="6" t="s">
        <v>202</v>
      </c>
      <c r="AA185" s="6" t="s">
        <v>123</v>
      </c>
      <c r="AB185" s="6"/>
      <c r="AC185" s="16">
        <v>1728713</v>
      </c>
      <c r="AD185" s="16"/>
      <c r="AE185" s="16">
        <f>1108301-171272</f>
        <v>937029</v>
      </c>
      <c r="AF185" s="16"/>
      <c r="AG185" s="16">
        <v>171272</v>
      </c>
      <c r="AH185" s="16"/>
      <c r="AI185" s="8">
        <f t="shared" si="67"/>
        <v>620412</v>
      </c>
      <c r="AJ185" s="8"/>
      <c r="AK185" s="16">
        <v>-231906</v>
      </c>
      <c r="AL185" s="8"/>
      <c r="AM185" s="16">
        <v>0</v>
      </c>
      <c r="AN185" s="16"/>
      <c r="AO185" s="16">
        <v>0</v>
      </c>
      <c r="AP185" s="16"/>
      <c r="AQ185" s="16">
        <v>0</v>
      </c>
      <c r="AR185" s="16"/>
      <c r="AS185" s="8">
        <f t="shared" si="70"/>
        <v>388506</v>
      </c>
      <c r="AT185" s="8"/>
      <c r="AU185" s="16">
        <v>0</v>
      </c>
      <c r="AV185" s="16"/>
      <c r="AW185" s="16">
        <v>0</v>
      </c>
      <c r="AX185" s="16"/>
      <c r="AY185" s="16">
        <f t="shared" si="68"/>
        <v>1747097</v>
      </c>
      <c r="AZ185" s="16"/>
      <c r="BA185" s="6" t="s">
        <v>202</v>
      </c>
      <c r="BC185" s="6" t="s">
        <v>123</v>
      </c>
      <c r="BD185" s="16"/>
      <c r="BE185" s="16">
        <f>380000+60000</f>
        <v>440000</v>
      </c>
      <c r="BF185" s="16"/>
      <c r="BG185" s="16">
        <v>0</v>
      </c>
      <c r="BH185" s="16"/>
      <c r="BI185" s="16">
        <v>4296943</v>
      </c>
      <c r="BJ185" s="16"/>
      <c r="BK185" s="16">
        <v>9441</v>
      </c>
      <c r="BL185" s="16"/>
      <c r="BM185" s="16">
        <f t="shared" si="69"/>
        <v>4746384</v>
      </c>
      <c r="BN185" s="17" t="s">
        <v>345</v>
      </c>
      <c r="BP185" s="18"/>
      <c r="BQ185" s="18"/>
      <c r="BR185" s="14"/>
      <c r="BS185" s="16"/>
      <c r="BT185" s="16"/>
      <c r="BU185" s="16"/>
      <c r="BV185" s="16"/>
      <c r="BW185" s="16"/>
      <c r="BX185" s="8"/>
      <c r="BY185" s="8"/>
      <c r="BZ185" s="16"/>
      <c r="CA185" s="16"/>
      <c r="CB185" s="16"/>
      <c r="CC185" s="16"/>
      <c r="CD185" s="16"/>
      <c r="CE185" s="16"/>
      <c r="CF185" s="6"/>
      <c r="CG185" s="18"/>
      <c r="CH185" s="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7"/>
    </row>
    <row r="186" spans="1:99" ht="12.75" hidden="1" customHeight="1" x14ac:dyDescent="0.2">
      <c r="A186" s="6" t="s">
        <v>203</v>
      </c>
      <c r="C186" s="6" t="s">
        <v>25</v>
      </c>
      <c r="E186" s="16">
        <v>0</v>
      </c>
      <c r="F186" s="16"/>
      <c r="G186" s="16"/>
      <c r="H186" s="16"/>
      <c r="I186" s="16">
        <f t="shared" si="64"/>
        <v>0</v>
      </c>
      <c r="J186" s="16"/>
      <c r="K186" s="16">
        <v>0</v>
      </c>
      <c r="L186" s="16"/>
      <c r="M186" s="16"/>
      <c r="N186" s="16"/>
      <c r="O186" s="16">
        <f t="shared" si="65"/>
        <v>0</v>
      </c>
      <c r="P186" s="16"/>
      <c r="Q186" s="16"/>
      <c r="R186" s="16"/>
      <c r="S186" s="16"/>
      <c r="T186" s="16"/>
      <c r="U186" s="16"/>
      <c r="V186" s="16"/>
      <c r="W186" s="16">
        <f t="shared" si="66"/>
        <v>0</v>
      </c>
      <c r="X186" s="16"/>
      <c r="Y186" s="6" t="s">
        <v>203</v>
      </c>
      <c r="AA186" s="6" t="s">
        <v>25</v>
      </c>
      <c r="AB186" s="6"/>
      <c r="AC186" s="16"/>
      <c r="AD186" s="16"/>
      <c r="AE186" s="16"/>
      <c r="AF186" s="16"/>
      <c r="AG186" s="16"/>
      <c r="AH186" s="16"/>
      <c r="AI186" s="8">
        <f t="shared" si="67"/>
        <v>0</v>
      </c>
      <c r="AJ186" s="8"/>
      <c r="AK186" s="16"/>
      <c r="AL186" s="8"/>
      <c r="AM186" s="16"/>
      <c r="AN186" s="16"/>
      <c r="AO186" s="16"/>
      <c r="AP186" s="16"/>
      <c r="AQ186" s="16"/>
      <c r="AR186" s="16"/>
      <c r="AS186" s="8">
        <f t="shared" si="70"/>
        <v>0</v>
      </c>
      <c r="AT186" s="8"/>
      <c r="AU186" s="16">
        <v>0</v>
      </c>
      <c r="AV186" s="16"/>
      <c r="AW186" s="16">
        <v>0</v>
      </c>
      <c r="AX186" s="16"/>
      <c r="AY186" s="16">
        <f t="shared" si="68"/>
        <v>0</v>
      </c>
      <c r="AZ186" s="16"/>
      <c r="BA186" s="6" t="s">
        <v>203</v>
      </c>
      <c r="BC186" s="6" t="s">
        <v>25</v>
      </c>
      <c r="BD186" s="16"/>
      <c r="BE186" s="16"/>
      <c r="BF186" s="16"/>
      <c r="BG186" s="16"/>
      <c r="BH186" s="16"/>
      <c r="BI186" s="16"/>
      <c r="BJ186" s="16"/>
      <c r="BK186" s="16"/>
      <c r="BL186" s="16"/>
      <c r="BM186" s="16">
        <f t="shared" si="69"/>
        <v>0</v>
      </c>
      <c r="BN186" s="17" t="s">
        <v>345</v>
      </c>
      <c r="BP186" s="18"/>
      <c r="BQ186" s="18"/>
      <c r="BR186" s="14"/>
      <c r="BS186" s="16"/>
      <c r="BT186" s="16"/>
      <c r="BU186" s="16"/>
      <c r="BV186" s="16"/>
      <c r="BW186" s="16"/>
      <c r="BX186" s="8"/>
      <c r="BY186" s="8"/>
      <c r="BZ186" s="16"/>
      <c r="CA186" s="16"/>
      <c r="CB186" s="16"/>
      <c r="CC186" s="16"/>
      <c r="CD186" s="16"/>
      <c r="CE186" s="16"/>
      <c r="CF186" s="6"/>
      <c r="CG186" s="18"/>
      <c r="CH186" s="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7"/>
    </row>
    <row r="187" spans="1:99" ht="12.75" customHeight="1" x14ac:dyDescent="0.2">
      <c r="A187" s="6" t="s">
        <v>204</v>
      </c>
      <c r="B187" s="18"/>
      <c r="C187" s="6" t="s">
        <v>45</v>
      </c>
      <c r="E187" s="16">
        <v>7332069</v>
      </c>
      <c r="F187" s="16"/>
      <c r="G187" s="16">
        <v>47776067</v>
      </c>
      <c r="H187" s="16"/>
      <c r="I187" s="16">
        <f t="shared" si="64"/>
        <v>55108136</v>
      </c>
      <c r="J187" s="16"/>
      <c r="K187" s="16">
        <v>1813911</v>
      </c>
      <c r="L187" s="16"/>
      <c r="M187" s="16">
        <f>70608+37736+11545000+2396140</f>
        <v>14049484</v>
      </c>
      <c r="N187" s="16"/>
      <c r="O187" s="16">
        <f t="shared" si="65"/>
        <v>15863395</v>
      </c>
      <c r="P187" s="16"/>
      <c r="Q187" s="16">
        <v>32448592</v>
      </c>
      <c r="R187" s="16"/>
      <c r="S187" s="16">
        <v>0</v>
      </c>
      <c r="T187" s="16"/>
      <c r="U187" s="16">
        <v>6796149</v>
      </c>
      <c r="V187" s="16"/>
      <c r="W187" s="16">
        <f t="shared" si="66"/>
        <v>39244741</v>
      </c>
      <c r="X187" s="16"/>
      <c r="Y187" s="6" t="s">
        <v>204</v>
      </c>
      <c r="AA187" s="6" t="s">
        <v>45</v>
      </c>
      <c r="AB187" s="6"/>
      <c r="AC187" s="16">
        <v>7592077</v>
      </c>
      <c r="AD187" s="16"/>
      <c r="AE187" s="16">
        <f>2948739-1068654</f>
        <v>1880085</v>
      </c>
      <c r="AF187" s="16"/>
      <c r="AG187" s="16">
        <v>1068654</v>
      </c>
      <c r="AH187" s="16"/>
      <c r="AI187" s="8">
        <f t="shared" si="67"/>
        <v>4643338</v>
      </c>
      <c r="AJ187" s="8"/>
      <c r="AK187" s="16">
        <v>-1210612</v>
      </c>
      <c r="AL187" s="8"/>
      <c r="AM187" s="16">
        <v>45000</v>
      </c>
      <c r="AN187" s="16"/>
      <c r="AO187" s="16">
        <v>0</v>
      </c>
      <c r="AP187" s="16"/>
      <c r="AQ187" s="16">
        <v>192947</v>
      </c>
      <c r="AR187" s="16"/>
      <c r="AS187" s="8">
        <f t="shared" si="70"/>
        <v>3670673</v>
      </c>
      <c r="AT187" s="8"/>
      <c r="AU187" s="16">
        <v>0</v>
      </c>
      <c r="AV187" s="16"/>
      <c r="AW187" s="16">
        <v>0</v>
      </c>
      <c r="AX187" s="16"/>
      <c r="AY187" s="16">
        <f t="shared" si="68"/>
        <v>5518158</v>
      </c>
      <c r="AZ187" s="16"/>
      <c r="BA187" s="6" t="s">
        <v>204</v>
      </c>
      <c r="BC187" s="6" t="s">
        <v>45</v>
      </c>
      <c r="BD187" s="16"/>
      <c r="BE187" s="16">
        <f>11545000+540000</f>
        <v>12085000</v>
      </c>
      <c r="BF187" s="16"/>
      <c r="BG187" s="16">
        <v>0</v>
      </c>
      <c r="BH187" s="16"/>
      <c r="BI187" s="16">
        <f>2396140+846335</f>
        <v>3242475</v>
      </c>
      <c r="BJ187" s="16"/>
      <c r="BK187" s="16">
        <f>70608+37736</f>
        <v>108344</v>
      </c>
      <c r="BL187" s="16"/>
      <c r="BM187" s="16">
        <f t="shared" si="69"/>
        <v>15435819</v>
      </c>
      <c r="BN187" s="17" t="s">
        <v>345</v>
      </c>
      <c r="BP187" s="18"/>
      <c r="BQ187" s="18"/>
      <c r="BR187" s="14"/>
      <c r="BS187" s="16"/>
      <c r="BT187" s="16"/>
      <c r="BU187" s="16"/>
      <c r="BV187" s="16"/>
      <c r="BW187" s="16"/>
      <c r="BX187" s="8"/>
      <c r="BY187" s="8"/>
      <c r="BZ187" s="16"/>
      <c r="CA187" s="16"/>
      <c r="CB187" s="16"/>
      <c r="CC187" s="16"/>
      <c r="CD187" s="16"/>
      <c r="CE187" s="16"/>
      <c r="CF187" s="6"/>
      <c r="CG187" s="18"/>
      <c r="CH187" s="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7"/>
    </row>
    <row r="188" spans="1:99" ht="12.75" customHeight="1" x14ac:dyDescent="0.2">
      <c r="A188" s="6" t="s">
        <v>205</v>
      </c>
      <c r="B188" s="20"/>
      <c r="C188" s="6" t="s">
        <v>100</v>
      </c>
      <c r="E188" s="16">
        <v>3197099</v>
      </c>
      <c r="F188" s="16"/>
      <c r="G188" s="16">
        <v>28152331</v>
      </c>
      <c r="H188" s="16"/>
      <c r="I188" s="16">
        <f t="shared" si="64"/>
        <v>31349430</v>
      </c>
      <c r="J188" s="16"/>
      <c r="K188" s="16">
        <v>1098335</v>
      </c>
      <c r="L188" s="16"/>
      <c r="M188" s="16">
        <v>12198714</v>
      </c>
      <c r="N188" s="16"/>
      <c r="O188" s="16">
        <f t="shared" si="65"/>
        <v>13297049</v>
      </c>
      <c r="P188" s="16"/>
      <c r="Q188" s="16">
        <v>15280391</v>
      </c>
      <c r="R188" s="16"/>
      <c r="S188" s="16">
        <v>0</v>
      </c>
      <c r="T188" s="16"/>
      <c r="U188" s="16">
        <v>2862744</v>
      </c>
      <c r="V188" s="16"/>
      <c r="W188" s="16">
        <f t="shared" ref="W188:W227" si="71">SUM(Q188:U188)</f>
        <v>18143135</v>
      </c>
      <c r="X188" s="16"/>
      <c r="Y188" s="6" t="s">
        <v>205</v>
      </c>
      <c r="AA188" s="6" t="s">
        <v>100</v>
      </c>
      <c r="AB188" s="6"/>
      <c r="AC188" s="16">
        <v>3432059</v>
      </c>
      <c r="AD188" s="16"/>
      <c r="AE188" s="16">
        <f>2413539-466254</f>
        <v>1947285</v>
      </c>
      <c r="AF188" s="16"/>
      <c r="AG188" s="16">
        <v>466254</v>
      </c>
      <c r="AH188" s="16"/>
      <c r="AI188" s="8">
        <f t="shared" si="67"/>
        <v>1018520</v>
      </c>
      <c r="AJ188" s="8"/>
      <c r="AK188" s="16">
        <v>-434662</v>
      </c>
      <c r="AL188" s="8"/>
      <c r="AM188" s="16">
        <v>0</v>
      </c>
      <c r="AN188" s="16"/>
      <c r="AO188" s="16">
        <v>0</v>
      </c>
      <c r="AP188" s="16"/>
      <c r="AQ188" s="16">
        <f>6290+274627</f>
        <v>280917</v>
      </c>
      <c r="AR188" s="16"/>
      <c r="AS188" s="8">
        <f t="shared" ref="AS188:AS213" si="72">+AI188+AK188+AM188-AO188+AQ188</f>
        <v>864775</v>
      </c>
      <c r="AT188" s="8"/>
      <c r="AU188" s="16">
        <v>0</v>
      </c>
      <c r="AV188" s="16"/>
      <c r="AW188" s="16">
        <v>0</v>
      </c>
      <c r="AX188" s="16"/>
      <c r="AY188" s="16">
        <f t="shared" ref="AY188:AY222" si="73">+E188-K188</f>
        <v>2098764</v>
      </c>
      <c r="AZ188" s="16"/>
      <c r="BA188" s="6" t="s">
        <v>205</v>
      </c>
      <c r="BC188" s="6" t="s">
        <v>100</v>
      </c>
      <c r="BD188" s="16"/>
      <c r="BE188" s="16">
        <f>1966038+325000</f>
        <v>2291038</v>
      </c>
      <c r="BF188" s="16"/>
      <c r="BG188" s="16">
        <v>0</v>
      </c>
      <c r="BH188" s="16"/>
      <c r="BI188" s="16">
        <f>10167481+478766</f>
        <v>10646247</v>
      </c>
      <c r="BJ188" s="16"/>
      <c r="BK188" s="16">
        <f>19322+44490+1383+33563+4704</f>
        <v>103462</v>
      </c>
      <c r="BL188" s="16"/>
      <c r="BM188" s="16">
        <f t="shared" si="69"/>
        <v>13040747</v>
      </c>
      <c r="BN188" s="17"/>
      <c r="BP188" s="18"/>
      <c r="BQ188" s="18"/>
      <c r="BR188" s="20"/>
      <c r="BS188" s="16"/>
      <c r="BT188" s="16"/>
      <c r="BU188" s="16"/>
      <c r="BV188" s="16"/>
      <c r="BW188" s="16"/>
      <c r="BX188" s="8"/>
      <c r="BY188" s="8"/>
      <c r="BZ188" s="16"/>
      <c r="CA188" s="16"/>
      <c r="CB188" s="16"/>
      <c r="CC188" s="16"/>
      <c r="CD188" s="16"/>
      <c r="CE188" s="16"/>
      <c r="CF188" s="6"/>
      <c r="CG188" s="18"/>
      <c r="CH188" s="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7"/>
    </row>
    <row r="189" spans="1:99" ht="12.75" customHeight="1" x14ac:dyDescent="0.2">
      <c r="A189" s="6" t="s">
        <v>206</v>
      </c>
      <c r="C189" s="6" t="s">
        <v>207</v>
      </c>
      <c r="E189" s="16">
        <v>3190569</v>
      </c>
      <c r="F189" s="16"/>
      <c r="G189" s="16">
        <v>11508200</v>
      </c>
      <c r="H189" s="16"/>
      <c r="I189" s="16">
        <f t="shared" si="64"/>
        <v>14698769</v>
      </c>
      <c r="J189" s="16"/>
      <c r="K189" s="16">
        <v>791366</v>
      </c>
      <c r="L189" s="16"/>
      <c r="M189" s="16">
        <v>4394723</v>
      </c>
      <c r="N189" s="16"/>
      <c r="O189" s="16">
        <f t="shared" si="65"/>
        <v>5186089</v>
      </c>
      <c r="P189" s="16"/>
      <c r="Q189" s="16">
        <v>7095716</v>
      </c>
      <c r="R189" s="16"/>
      <c r="S189" s="16">
        <v>50000</v>
      </c>
      <c r="T189" s="16"/>
      <c r="U189" s="16">
        <v>2769062</v>
      </c>
      <c r="V189" s="16"/>
      <c r="W189" s="16">
        <f t="shared" si="71"/>
        <v>9914778</v>
      </c>
      <c r="X189" s="16"/>
      <c r="Y189" s="6" t="s">
        <v>206</v>
      </c>
      <c r="AA189" s="6" t="s">
        <v>207</v>
      </c>
      <c r="AB189" s="6"/>
      <c r="AC189" s="16">
        <v>3456946</v>
      </c>
      <c r="AD189" s="16"/>
      <c r="AE189" s="16">
        <f>3179899-1021649</f>
        <v>2158250</v>
      </c>
      <c r="AF189" s="16"/>
      <c r="AG189" s="16">
        <v>1021649</v>
      </c>
      <c r="AH189" s="16"/>
      <c r="AI189" s="8">
        <f t="shared" si="67"/>
        <v>277047</v>
      </c>
      <c r="AJ189" s="8"/>
      <c r="AK189" s="16">
        <v>-162591</v>
      </c>
      <c r="AL189" s="8"/>
      <c r="AM189" s="16">
        <v>0</v>
      </c>
      <c r="AN189" s="16"/>
      <c r="AO189" s="16">
        <v>0</v>
      </c>
      <c r="AP189" s="16"/>
      <c r="AQ189" s="16">
        <v>0</v>
      </c>
      <c r="AR189" s="16"/>
      <c r="AS189" s="8">
        <f t="shared" si="72"/>
        <v>114456</v>
      </c>
      <c r="AT189" s="8"/>
      <c r="AU189" s="16">
        <v>0</v>
      </c>
      <c r="AV189" s="16"/>
      <c r="AW189" s="16">
        <v>0</v>
      </c>
      <c r="AX189" s="16"/>
      <c r="AY189" s="16">
        <f t="shared" si="73"/>
        <v>2399203</v>
      </c>
      <c r="AZ189" s="16"/>
      <c r="BA189" s="6" t="s">
        <v>206</v>
      </c>
      <c r="BC189" s="6" t="s">
        <v>207</v>
      </c>
      <c r="BD189" s="16"/>
      <c r="BE189" s="16">
        <f>4177339+637243</f>
        <v>4814582</v>
      </c>
      <c r="BF189" s="16"/>
      <c r="BG189" s="16">
        <v>0</v>
      </c>
      <c r="BH189" s="16"/>
      <c r="BI189" s="16">
        <v>0</v>
      </c>
      <c r="BJ189" s="16"/>
      <c r="BK189" s="16">
        <f>217384+94522</f>
        <v>311906</v>
      </c>
      <c r="BL189" s="16"/>
      <c r="BM189" s="16">
        <f t="shared" si="69"/>
        <v>5126488</v>
      </c>
      <c r="BN189" s="17" t="s">
        <v>345</v>
      </c>
      <c r="BP189" s="18"/>
      <c r="BQ189" s="18"/>
      <c r="BR189" s="14"/>
      <c r="BS189" s="16"/>
      <c r="BT189" s="16"/>
      <c r="BU189" s="16"/>
      <c r="BV189" s="16"/>
      <c r="BX189" s="8"/>
      <c r="BY189" s="16"/>
      <c r="BZ189" s="16"/>
      <c r="CA189" s="16"/>
      <c r="CB189" s="16"/>
      <c r="CC189" s="16"/>
      <c r="CD189" s="16"/>
      <c r="CE189" s="16"/>
      <c r="CF189" s="6"/>
      <c r="CG189" s="18"/>
      <c r="CH189" s="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7"/>
    </row>
    <row r="190" spans="1:99" ht="12.75" customHeight="1" x14ac:dyDescent="0.2">
      <c r="A190" s="9" t="s">
        <v>208</v>
      </c>
      <c r="B190" s="36"/>
      <c r="C190" s="9" t="s">
        <v>209</v>
      </c>
      <c r="D190" s="9"/>
      <c r="E190" s="16">
        <v>1605737</v>
      </c>
      <c r="F190" s="16"/>
      <c r="G190" s="16">
        <v>26286750</v>
      </c>
      <c r="H190" s="16"/>
      <c r="I190" s="16">
        <f t="shared" si="64"/>
        <v>27892487</v>
      </c>
      <c r="J190" s="16"/>
      <c r="K190" s="16">
        <v>576725</v>
      </c>
      <c r="L190" s="16"/>
      <c r="M190" s="16">
        <v>12854519</v>
      </c>
      <c r="N190" s="16"/>
      <c r="O190" s="16">
        <f t="shared" si="65"/>
        <v>13431244</v>
      </c>
      <c r="P190" s="16"/>
      <c r="Q190" s="16">
        <v>12993925</v>
      </c>
      <c r="R190" s="16"/>
      <c r="S190" s="16">
        <v>0</v>
      </c>
      <c r="T190" s="16"/>
      <c r="U190" s="16">
        <v>1467318</v>
      </c>
      <c r="V190" s="16"/>
      <c r="W190" s="16">
        <f t="shared" si="71"/>
        <v>14461243</v>
      </c>
      <c r="X190" s="28"/>
      <c r="Y190" s="9" t="s">
        <v>208</v>
      </c>
      <c r="Z190" s="36"/>
      <c r="AA190" s="9" t="s">
        <v>209</v>
      </c>
      <c r="AB190" s="9"/>
      <c r="AC190" s="16">
        <v>3101009</v>
      </c>
      <c r="AD190" s="16"/>
      <c r="AE190" s="16">
        <f>2298505-593270</f>
        <v>1705235</v>
      </c>
      <c r="AF190" s="16"/>
      <c r="AG190" s="16">
        <v>593270</v>
      </c>
      <c r="AH190" s="16"/>
      <c r="AI190" s="8">
        <f t="shared" si="67"/>
        <v>802504</v>
      </c>
      <c r="AJ190" s="8"/>
      <c r="AK190" s="16">
        <v>-344216</v>
      </c>
      <c r="AL190" s="8"/>
      <c r="AM190" s="16">
        <v>0</v>
      </c>
      <c r="AN190" s="16"/>
      <c r="AO190" s="16">
        <v>0</v>
      </c>
      <c r="AP190" s="16"/>
      <c r="AQ190" s="16">
        <v>0</v>
      </c>
      <c r="AR190" s="16"/>
      <c r="AS190" s="8">
        <f t="shared" si="72"/>
        <v>458288</v>
      </c>
      <c r="AT190" s="8"/>
      <c r="AU190" s="16">
        <v>0</v>
      </c>
      <c r="AV190" s="16"/>
      <c r="AW190" s="16">
        <v>0</v>
      </c>
      <c r="AX190" s="16"/>
      <c r="AY190" s="16">
        <f t="shared" si="73"/>
        <v>1029012</v>
      </c>
      <c r="AZ190" s="16"/>
      <c r="BA190" s="9" t="s">
        <v>208</v>
      </c>
      <c r="BB190" s="36"/>
      <c r="BC190" s="9" t="s">
        <v>209</v>
      </c>
      <c r="BD190" s="28"/>
      <c r="BE190" s="16">
        <f>3115000+155000</f>
        <v>3270000</v>
      </c>
      <c r="BF190" s="16"/>
      <c r="BG190" s="16">
        <v>0</v>
      </c>
      <c r="BH190" s="16"/>
      <c r="BI190" s="16">
        <f>144113+9386077+13045+238688</f>
        <v>9781923</v>
      </c>
      <c r="BJ190" s="16"/>
      <c r="BK190" s="16">
        <f>181650+27679+59252+13914</f>
        <v>282495</v>
      </c>
      <c r="BL190" s="16"/>
      <c r="BM190" s="16">
        <f t="shared" si="69"/>
        <v>13334418</v>
      </c>
      <c r="BN190" s="17" t="s">
        <v>345</v>
      </c>
      <c r="BO190" s="6"/>
      <c r="BP190" s="6"/>
      <c r="BQ190" s="18"/>
      <c r="BR190" s="14"/>
      <c r="BS190" s="16"/>
      <c r="BT190" s="16"/>
      <c r="BU190" s="16"/>
      <c r="BV190" s="16"/>
      <c r="BX190" s="8"/>
      <c r="BY190" s="16"/>
      <c r="BZ190" s="16"/>
      <c r="CA190" s="16"/>
      <c r="CB190" s="16"/>
      <c r="CC190" s="16"/>
      <c r="CD190" s="16"/>
      <c r="CE190" s="16"/>
      <c r="CF190" s="6"/>
      <c r="CG190" s="18"/>
      <c r="CH190" s="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7"/>
      <c r="CT190" s="6"/>
      <c r="CU190" s="6"/>
    </row>
    <row r="191" spans="1:99" ht="12.75" customHeight="1" x14ac:dyDescent="0.2">
      <c r="A191" s="7" t="s">
        <v>210</v>
      </c>
      <c r="C191" s="7" t="s">
        <v>211</v>
      </c>
      <c r="E191" s="16">
        <v>1205558</v>
      </c>
      <c r="F191" s="16"/>
      <c r="G191" s="16">
        <v>9249909</v>
      </c>
      <c r="H191" s="16"/>
      <c r="I191" s="16">
        <f t="shared" si="64"/>
        <v>10455467</v>
      </c>
      <c r="J191" s="16"/>
      <c r="K191" s="16">
        <v>480731</v>
      </c>
      <c r="L191" s="16"/>
      <c r="M191" s="16">
        <v>4218218</v>
      </c>
      <c r="N191" s="16"/>
      <c r="O191" s="16">
        <f t="shared" si="65"/>
        <v>4698949</v>
      </c>
      <c r="P191" s="16"/>
      <c r="Q191" s="16">
        <v>5523190</v>
      </c>
      <c r="R191" s="16"/>
      <c r="S191" s="16">
        <v>0</v>
      </c>
      <c r="T191" s="16"/>
      <c r="U191" s="16">
        <v>233328</v>
      </c>
      <c r="V191" s="16"/>
      <c r="W191" s="16">
        <f t="shared" si="71"/>
        <v>5756518</v>
      </c>
      <c r="X191" s="16"/>
      <c r="Y191" s="7" t="s">
        <v>210</v>
      </c>
      <c r="AA191" s="7" t="s">
        <v>211</v>
      </c>
      <c r="AB191" s="7"/>
      <c r="AC191" s="16">
        <v>3178003</v>
      </c>
      <c r="AD191" s="16"/>
      <c r="AE191" s="16">
        <f>2703034-260234</f>
        <v>2442800</v>
      </c>
      <c r="AF191" s="16"/>
      <c r="AG191" s="16">
        <v>260234</v>
      </c>
      <c r="AH191" s="16"/>
      <c r="AI191" s="8">
        <f t="shared" si="67"/>
        <v>474969</v>
      </c>
      <c r="AJ191" s="8"/>
      <c r="AK191" s="16">
        <v>-118357</v>
      </c>
      <c r="AL191" s="8"/>
      <c r="AM191" s="16">
        <v>7960</v>
      </c>
      <c r="AN191" s="16"/>
      <c r="AO191" s="16">
        <v>0</v>
      </c>
      <c r="AP191" s="16"/>
      <c r="AQ191" s="16">
        <v>0</v>
      </c>
      <c r="AR191" s="16"/>
      <c r="AS191" s="8">
        <f t="shared" si="72"/>
        <v>364572</v>
      </c>
      <c r="AT191" s="8"/>
      <c r="AU191" s="16">
        <v>0</v>
      </c>
      <c r="AV191" s="16"/>
      <c r="AW191" s="16">
        <v>0</v>
      </c>
      <c r="AX191" s="16"/>
      <c r="AY191" s="16">
        <f t="shared" si="73"/>
        <v>724827</v>
      </c>
      <c r="AZ191" s="16"/>
      <c r="BA191" s="7" t="s">
        <v>210</v>
      </c>
      <c r="BC191" s="7" t="s">
        <v>211</v>
      </c>
      <c r="BD191" s="16"/>
      <c r="BE191" s="16">
        <v>0</v>
      </c>
      <c r="BF191" s="16"/>
      <c r="BG191" s="16">
        <v>0</v>
      </c>
      <c r="BH191" s="16"/>
      <c r="BI191" s="16">
        <f>2219921+1206049+78308+100000</f>
        <v>3604278</v>
      </c>
      <c r="BJ191" s="16"/>
      <c r="BK191" s="16">
        <f>778759+13489+160560+2400</f>
        <v>955208</v>
      </c>
      <c r="BL191" s="16"/>
      <c r="BM191" s="16">
        <f t="shared" si="69"/>
        <v>4559486</v>
      </c>
      <c r="BN191" s="17" t="s">
        <v>345</v>
      </c>
      <c r="BO191" s="18" t="s">
        <v>402</v>
      </c>
      <c r="BP191" s="18"/>
      <c r="BQ191" s="18"/>
      <c r="BR191" s="14"/>
      <c r="BS191" s="16"/>
      <c r="BT191" s="16"/>
      <c r="BU191" s="16"/>
      <c r="BV191" s="16"/>
      <c r="BW191" s="16"/>
      <c r="BX191" s="8"/>
      <c r="BY191" s="8"/>
      <c r="BZ191" s="16"/>
      <c r="CA191" s="16"/>
      <c r="CB191" s="16"/>
      <c r="CC191" s="16"/>
      <c r="CD191" s="16"/>
      <c r="CE191" s="16"/>
      <c r="CF191" s="6"/>
      <c r="CG191" s="18"/>
      <c r="CH191" s="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7"/>
    </row>
    <row r="192" spans="1:99" ht="12.75" hidden="1" customHeight="1" x14ac:dyDescent="0.2">
      <c r="A192" s="7" t="s">
        <v>212</v>
      </c>
      <c r="C192" s="7" t="s">
        <v>84</v>
      </c>
      <c r="E192" s="16">
        <v>0</v>
      </c>
      <c r="F192" s="16"/>
      <c r="G192" s="16"/>
      <c r="H192" s="16"/>
      <c r="I192" s="16">
        <f t="shared" si="64"/>
        <v>0</v>
      </c>
      <c r="J192" s="16"/>
      <c r="K192" s="16">
        <v>0</v>
      </c>
      <c r="L192" s="16"/>
      <c r="M192" s="16"/>
      <c r="N192" s="16"/>
      <c r="O192" s="16">
        <f t="shared" si="65"/>
        <v>0</v>
      </c>
      <c r="P192" s="16"/>
      <c r="Q192" s="16"/>
      <c r="R192" s="16"/>
      <c r="S192" s="16"/>
      <c r="T192" s="16"/>
      <c r="U192" s="16"/>
      <c r="V192" s="16"/>
      <c r="W192" s="16">
        <f t="shared" si="71"/>
        <v>0</v>
      </c>
      <c r="X192" s="16"/>
      <c r="Y192" s="7" t="s">
        <v>212</v>
      </c>
      <c r="AA192" s="7" t="s">
        <v>84</v>
      </c>
      <c r="AB192" s="7"/>
      <c r="AC192" s="16"/>
      <c r="AD192" s="16"/>
      <c r="AE192" s="16"/>
      <c r="AF192" s="16"/>
      <c r="AG192" s="16"/>
      <c r="AH192" s="16"/>
      <c r="AI192" s="8">
        <f t="shared" si="67"/>
        <v>0</v>
      </c>
      <c r="AJ192" s="8"/>
      <c r="AK192" s="16"/>
      <c r="AL192" s="8"/>
      <c r="AM192" s="16"/>
      <c r="AN192" s="16"/>
      <c r="AO192" s="16"/>
      <c r="AP192" s="16"/>
      <c r="AQ192" s="16"/>
      <c r="AR192" s="16"/>
      <c r="AS192" s="8">
        <f t="shared" si="72"/>
        <v>0</v>
      </c>
      <c r="AT192" s="8"/>
      <c r="AU192" s="16">
        <v>0</v>
      </c>
      <c r="AV192" s="16"/>
      <c r="AW192" s="16">
        <v>0</v>
      </c>
      <c r="AX192" s="16"/>
      <c r="AY192" s="16">
        <f t="shared" si="73"/>
        <v>0</v>
      </c>
      <c r="AZ192" s="16"/>
      <c r="BA192" s="7" t="s">
        <v>212</v>
      </c>
      <c r="BC192" s="7" t="s">
        <v>84</v>
      </c>
      <c r="BD192" s="16"/>
      <c r="BE192" s="16"/>
      <c r="BF192" s="16"/>
      <c r="BG192" s="16"/>
      <c r="BH192" s="16"/>
      <c r="BI192" s="16"/>
      <c r="BJ192" s="16"/>
      <c r="BK192" s="16"/>
      <c r="BL192" s="16"/>
      <c r="BM192" s="16">
        <f t="shared" si="69"/>
        <v>0</v>
      </c>
      <c r="BN192" s="17" t="s">
        <v>345</v>
      </c>
      <c r="BO192" s="18" t="s">
        <v>402</v>
      </c>
      <c r="BP192" s="18"/>
      <c r="BQ192" s="18"/>
      <c r="BR192" s="14"/>
      <c r="BS192" s="16"/>
      <c r="BT192" s="16"/>
      <c r="BU192" s="16"/>
      <c r="BV192" s="16"/>
      <c r="BW192" s="16"/>
      <c r="BX192" s="8"/>
      <c r="BY192" s="8"/>
      <c r="BZ192" s="16"/>
      <c r="CA192" s="16"/>
      <c r="CB192" s="16"/>
      <c r="CC192" s="16"/>
      <c r="CD192" s="16"/>
      <c r="CE192" s="16"/>
      <c r="CF192" s="6"/>
      <c r="CG192" s="18"/>
      <c r="CH192" s="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7"/>
    </row>
    <row r="193" spans="1:108" ht="12.75" customHeight="1" x14ac:dyDescent="0.2">
      <c r="A193" s="6" t="s">
        <v>213</v>
      </c>
      <c r="B193" s="18"/>
      <c r="C193" s="6" t="s">
        <v>20</v>
      </c>
      <c r="E193" s="16">
        <v>7869032</v>
      </c>
      <c r="F193" s="16"/>
      <c r="G193" s="16">
        <v>13461366</v>
      </c>
      <c r="H193" s="16"/>
      <c r="I193" s="16">
        <f t="shared" si="64"/>
        <v>21330398</v>
      </c>
      <c r="J193" s="16"/>
      <c r="K193" s="16">
        <v>1063519</v>
      </c>
      <c r="L193" s="16"/>
      <c r="M193" s="16">
        <v>11674780</v>
      </c>
      <c r="N193" s="16"/>
      <c r="O193" s="16">
        <f t="shared" si="65"/>
        <v>12738299</v>
      </c>
      <c r="P193" s="16"/>
      <c r="Q193" s="16">
        <v>928829</v>
      </c>
      <c r="R193" s="16"/>
      <c r="S193" s="16">
        <v>0</v>
      </c>
      <c r="T193" s="16"/>
      <c r="U193" s="16">
        <v>7663270</v>
      </c>
      <c r="V193" s="16"/>
      <c r="W193" s="16">
        <f t="shared" si="71"/>
        <v>8592099</v>
      </c>
      <c r="X193" s="16"/>
      <c r="Y193" s="6" t="s">
        <v>213</v>
      </c>
      <c r="AA193" s="6" t="s">
        <v>20</v>
      </c>
      <c r="AB193" s="6"/>
      <c r="AC193" s="16">
        <v>2627561</v>
      </c>
      <c r="AD193" s="16"/>
      <c r="AE193" s="16">
        <f>2584577-616580</f>
        <v>1967997</v>
      </c>
      <c r="AF193" s="16"/>
      <c r="AG193" s="16">
        <v>616580</v>
      </c>
      <c r="AH193" s="16"/>
      <c r="AI193" s="8">
        <f t="shared" si="67"/>
        <v>42984</v>
      </c>
      <c r="AJ193" s="8"/>
      <c r="AK193" s="16">
        <v>283211</v>
      </c>
      <c r="AL193" s="8"/>
      <c r="AM193" s="16">
        <v>0</v>
      </c>
      <c r="AN193" s="16"/>
      <c r="AO193" s="16">
        <v>0</v>
      </c>
      <c r="AP193" s="16"/>
      <c r="AQ193" s="16">
        <v>0</v>
      </c>
      <c r="AR193" s="16"/>
      <c r="AS193" s="8">
        <f t="shared" si="72"/>
        <v>326195</v>
      </c>
      <c r="AT193" s="8"/>
      <c r="AU193" s="16">
        <v>0</v>
      </c>
      <c r="AV193" s="16"/>
      <c r="AW193" s="16">
        <v>0</v>
      </c>
      <c r="AX193" s="16"/>
      <c r="AY193" s="16">
        <f t="shared" si="73"/>
        <v>6805513</v>
      </c>
      <c r="AZ193" s="16"/>
      <c r="BA193" s="6" t="s">
        <v>213</v>
      </c>
      <c r="BC193" s="6" t="s">
        <v>20</v>
      </c>
      <c r="BD193" s="16"/>
      <c r="BE193" s="16">
        <f>1498580+58050</f>
        <v>1556630</v>
      </c>
      <c r="BF193" s="16"/>
      <c r="BG193" s="16">
        <v>0</v>
      </c>
      <c r="BH193" s="16"/>
      <c r="BI193" s="16">
        <f>10097607+894367</f>
        <v>10991974</v>
      </c>
      <c r="BJ193" s="16"/>
      <c r="BK193" s="16">
        <f>73992+4601+30077+3442</f>
        <v>112112</v>
      </c>
      <c r="BL193" s="16"/>
      <c r="BM193" s="16">
        <f t="shared" si="69"/>
        <v>12660716</v>
      </c>
      <c r="BN193" s="17" t="s">
        <v>345</v>
      </c>
      <c r="BP193" s="18"/>
      <c r="BQ193" s="18"/>
      <c r="BR193" s="14"/>
      <c r="BS193" s="16"/>
      <c r="BT193" s="16"/>
      <c r="BU193" s="16"/>
      <c r="BV193" s="16"/>
      <c r="BW193" s="16"/>
      <c r="BX193" s="8"/>
      <c r="BY193" s="8"/>
      <c r="BZ193" s="16"/>
      <c r="CA193" s="16"/>
      <c r="CB193" s="16"/>
      <c r="CC193" s="16"/>
      <c r="CD193" s="16"/>
      <c r="CE193" s="16"/>
      <c r="CF193" s="6"/>
      <c r="CG193" s="18"/>
      <c r="CH193" s="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7"/>
    </row>
    <row r="194" spans="1:108" ht="12.75" hidden="1" customHeight="1" x14ac:dyDescent="0.2">
      <c r="A194" s="6" t="s">
        <v>214</v>
      </c>
      <c r="C194" s="6" t="s">
        <v>43</v>
      </c>
      <c r="E194" s="16">
        <v>0</v>
      </c>
      <c r="F194" s="16"/>
      <c r="G194" s="16"/>
      <c r="H194" s="16"/>
      <c r="I194" s="16">
        <f t="shared" si="64"/>
        <v>0</v>
      </c>
      <c r="J194" s="16"/>
      <c r="K194" s="16">
        <v>0</v>
      </c>
      <c r="L194" s="16"/>
      <c r="M194" s="16"/>
      <c r="N194" s="16"/>
      <c r="O194" s="16">
        <f t="shared" si="65"/>
        <v>0</v>
      </c>
      <c r="P194" s="16"/>
      <c r="Q194" s="16"/>
      <c r="R194" s="16"/>
      <c r="S194" s="16"/>
      <c r="T194" s="16"/>
      <c r="U194" s="16"/>
      <c r="V194" s="16"/>
      <c r="W194" s="16">
        <f t="shared" si="71"/>
        <v>0</v>
      </c>
      <c r="X194" s="16"/>
      <c r="Y194" s="6" t="s">
        <v>214</v>
      </c>
      <c r="AA194" s="6" t="s">
        <v>43</v>
      </c>
      <c r="AB194" s="6"/>
      <c r="AC194" s="16"/>
      <c r="AD194" s="16"/>
      <c r="AE194" s="16"/>
      <c r="AF194" s="16"/>
      <c r="AG194" s="16"/>
      <c r="AH194" s="16"/>
      <c r="AI194" s="8">
        <f t="shared" si="67"/>
        <v>0</v>
      </c>
      <c r="AJ194" s="8"/>
      <c r="AK194" s="16"/>
      <c r="AL194" s="8"/>
      <c r="AM194" s="16"/>
      <c r="AN194" s="16"/>
      <c r="AO194" s="16"/>
      <c r="AP194" s="16"/>
      <c r="AQ194" s="16"/>
      <c r="AR194" s="16"/>
      <c r="AS194" s="8">
        <f t="shared" si="72"/>
        <v>0</v>
      </c>
      <c r="AT194" s="8"/>
      <c r="AU194" s="16">
        <v>0</v>
      </c>
      <c r="AV194" s="16"/>
      <c r="AW194" s="16">
        <v>0</v>
      </c>
      <c r="AX194" s="16"/>
      <c r="AY194" s="16">
        <f t="shared" si="73"/>
        <v>0</v>
      </c>
      <c r="AZ194" s="16"/>
      <c r="BA194" s="6" t="s">
        <v>214</v>
      </c>
      <c r="BC194" s="6" t="s">
        <v>43</v>
      </c>
      <c r="BD194" s="16"/>
      <c r="BE194" s="16"/>
      <c r="BF194" s="16"/>
      <c r="BG194" s="16"/>
      <c r="BH194" s="16"/>
      <c r="BI194" s="16"/>
      <c r="BJ194" s="16"/>
      <c r="BK194" s="16"/>
      <c r="BL194" s="16"/>
      <c r="BM194" s="16">
        <f t="shared" si="69"/>
        <v>0</v>
      </c>
      <c r="BN194" s="17" t="s">
        <v>345</v>
      </c>
      <c r="BP194" s="18"/>
      <c r="BQ194" s="18"/>
      <c r="BR194" s="14"/>
      <c r="BS194" s="16"/>
      <c r="BT194" s="16"/>
      <c r="BU194" s="16"/>
      <c r="BV194" s="16"/>
      <c r="BW194" s="16"/>
      <c r="BX194" s="8"/>
      <c r="BY194" s="8"/>
      <c r="BZ194" s="16"/>
      <c r="CA194" s="16"/>
      <c r="CB194" s="16"/>
      <c r="CC194" s="16"/>
      <c r="CD194" s="16"/>
      <c r="CE194" s="16"/>
      <c r="CF194" s="6"/>
      <c r="CG194" s="18"/>
      <c r="CH194" s="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7"/>
    </row>
    <row r="195" spans="1:108" ht="12.75" customHeight="1" x14ac:dyDescent="0.2">
      <c r="A195" s="6" t="s">
        <v>215</v>
      </c>
      <c r="C195" s="6" t="s">
        <v>41</v>
      </c>
      <c r="E195" s="16">
        <v>4127561</v>
      </c>
      <c r="F195" s="16"/>
      <c r="G195" s="16">
        <v>32912497</v>
      </c>
      <c r="H195" s="16"/>
      <c r="I195" s="16">
        <f t="shared" si="64"/>
        <v>37040058</v>
      </c>
      <c r="J195" s="16"/>
      <c r="K195" s="16">
        <v>1540679</v>
      </c>
      <c r="L195" s="16"/>
      <c r="M195" s="16">
        <v>1183859</v>
      </c>
      <c r="N195" s="16"/>
      <c r="O195" s="16">
        <f t="shared" si="65"/>
        <v>2724538</v>
      </c>
      <c r="P195" s="16"/>
      <c r="Q195" s="16">
        <v>31516027</v>
      </c>
      <c r="R195" s="16"/>
      <c r="S195" s="16">
        <v>0</v>
      </c>
      <c r="T195" s="16"/>
      <c r="U195" s="16">
        <v>2799493</v>
      </c>
      <c r="V195" s="16"/>
      <c r="W195" s="16">
        <f t="shared" si="71"/>
        <v>34315520</v>
      </c>
      <c r="X195" s="16"/>
      <c r="Y195" s="6" t="s">
        <v>215</v>
      </c>
      <c r="AA195" s="6" t="s">
        <v>41</v>
      </c>
      <c r="AB195" s="6"/>
      <c r="AC195" s="16">
        <v>5501957</v>
      </c>
      <c r="AD195" s="16"/>
      <c r="AE195" s="16">
        <f>6375916-987020</f>
        <v>5388896</v>
      </c>
      <c r="AF195" s="16"/>
      <c r="AG195" s="16">
        <v>987020</v>
      </c>
      <c r="AH195" s="16"/>
      <c r="AI195" s="8">
        <f t="shared" si="67"/>
        <v>-873959</v>
      </c>
      <c r="AJ195" s="8"/>
      <c r="AK195" s="16">
        <v>-49384</v>
      </c>
      <c r="AL195" s="8"/>
      <c r="AM195" s="16">
        <v>0</v>
      </c>
      <c r="AN195" s="16"/>
      <c r="AO195" s="16">
        <v>0</v>
      </c>
      <c r="AP195" s="16"/>
      <c r="AQ195" s="16">
        <f>39573+262</f>
        <v>39835</v>
      </c>
      <c r="AR195" s="16"/>
      <c r="AS195" s="8">
        <f t="shared" si="72"/>
        <v>-883508</v>
      </c>
      <c r="AT195" s="8"/>
      <c r="AU195" s="16">
        <v>0</v>
      </c>
      <c r="AV195" s="16"/>
      <c r="AW195" s="16">
        <v>0</v>
      </c>
      <c r="AX195" s="16"/>
      <c r="AY195" s="16">
        <f t="shared" si="73"/>
        <v>2586882</v>
      </c>
      <c r="AZ195" s="16"/>
      <c r="BA195" s="6" t="s">
        <v>215</v>
      </c>
      <c r="BC195" s="6" t="s">
        <v>41</v>
      </c>
      <c r="BD195" s="16"/>
      <c r="BE195" s="16">
        <f>752212+165888</f>
        <v>918100</v>
      </c>
      <c r="BF195" s="16"/>
      <c r="BG195" s="16">
        <v>0</v>
      </c>
      <c r="BH195" s="16"/>
      <c r="BI195" s="16">
        <f>428170+50200</f>
        <v>478370</v>
      </c>
      <c r="BJ195" s="16"/>
      <c r="BK195" s="16">
        <f>3477+5463</f>
        <v>8940</v>
      </c>
      <c r="BL195" s="16"/>
      <c r="BM195" s="16">
        <f t="shared" si="69"/>
        <v>1405410</v>
      </c>
      <c r="BN195" s="17" t="s">
        <v>345</v>
      </c>
      <c r="BP195" s="18"/>
      <c r="BQ195" s="18"/>
      <c r="BR195" s="20"/>
      <c r="BS195" s="16"/>
      <c r="BT195" s="16"/>
      <c r="BU195" s="16"/>
      <c r="BV195" s="16"/>
      <c r="BW195" s="16"/>
      <c r="BX195" s="8"/>
      <c r="BY195" s="8"/>
      <c r="BZ195" s="16"/>
      <c r="CA195" s="16"/>
      <c r="CB195" s="16"/>
      <c r="CC195" s="16"/>
      <c r="CD195" s="16"/>
      <c r="CE195" s="16"/>
      <c r="CF195" s="6"/>
      <c r="CG195" s="18"/>
      <c r="CH195" s="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7"/>
    </row>
    <row r="196" spans="1:108" ht="12.75" hidden="1" customHeight="1" x14ac:dyDescent="0.2">
      <c r="A196" s="6" t="s">
        <v>216</v>
      </c>
      <c r="C196" s="6" t="s">
        <v>25</v>
      </c>
      <c r="E196" s="16">
        <v>0</v>
      </c>
      <c r="F196" s="16"/>
      <c r="G196" s="16"/>
      <c r="H196" s="16"/>
      <c r="I196" s="16">
        <f t="shared" si="64"/>
        <v>0</v>
      </c>
      <c r="J196" s="16"/>
      <c r="K196" s="16">
        <v>0</v>
      </c>
      <c r="L196" s="16"/>
      <c r="M196" s="16"/>
      <c r="N196" s="16"/>
      <c r="O196" s="16">
        <f t="shared" si="65"/>
        <v>0</v>
      </c>
      <c r="P196" s="16"/>
      <c r="Q196" s="16"/>
      <c r="R196" s="16"/>
      <c r="S196" s="16"/>
      <c r="T196" s="16"/>
      <c r="U196" s="16"/>
      <c r="V196" s="16"/>
      <c r="W196" s="16">
        <f t="shared" si="71"/>
        <v>0</v>
      </c>
      <c r="X196" s="16"/>
      <c r="Y196" s="6" t="s">
        <v>216</v>
      </c>
      <c r="AA196" s="6" t="s">
        <v>25</v>
      </c>
      <c r="AB196" s="6"/>
      <c r="AC196" s="16"/>
      <c r="AD196" s="16"/>
      <c r="AE196" s="16"/>
      <c r="AF196" s="16"/>
      <c r="AG196" s="16"/>
      <c r="AH196" s="16"/>
      <c r="AI196" s="8">
        <f t="shared" si="67"/>
        <v>0</v>
      </c>
      <c r="AJ196" s="8"/>
      <c r="AK196" s="16"/>
      <c r="AL196" s="8"/>
      <c r="AM196" s="16"/>
      <c r="AN196" s="16"/>
      <c r="AO196" s="16"/>
      <c r="AP196" s="16"/>
      <c r="AQ196" s="16"/>
      <c r="AR196" s="16"/>
      <c r="AS196" s="8">
        <f t="shared" si="72"/>
        <v>0</v>
      </c>
      <c r="AT196" s="8"/>
      <c r="AU196" s="16">
        <v>0</v>
      </c>
      <c r="AV196" s="16"/>
      <c r="AW196" s="16">
        <v>0</v>
      </c>
      <c r="AX196" s="16"/>
      <c r="AY196" s="16">
        <f t="shared" si="73"/>
        <v>0</v>
      </c>
      <c r="AZ196" s="16"/>
      <c r="BA196" s="6" t="s">
        <v>216</v>
      </c>
      <c r="BC196" s="6" t="s">
        <v>25</v>
      </c>
      <c r="BD196" s="16"/>
      <c r="BE196" s="16"/>
      <c r="BF196" s="16"/>
      <c r="BG196" s="16"/>
      <c r="BH196" s="16"/>
      <c r="BI196" s="16"/>
      <c r="BJ196" s="16"/>
      <c r="BK196" s="16"/>
      <c r="BL196" s="16"/>
      <c r="BM196" s="16">
        <f t="shared" si="69"/>
        <v>0</v>
      </c>
      <c r="BN196" s="17" t="s">
        <v>345</v>
      </c>
      <c r="BP196" s="18"/>
      <c r="BQ196" s="18"/>
      <c r="BR196" s="14"/>
      <c r="BS196" s="16"/>
      <c r="BT196" s="16"/>
      <c r="BU196" s="16"/>
      <c r="BV196" s="16"/>
      <c r="BW196" s="16"/>
      <c r="BX196" s="8"/>
      <c r="BY196" s="8"/>
      <c r="BZ196" s="16"/>
      <c r="CA196" s="16"/>
      <c r="CB196" s="16"/>
      <c r="CC196" s="16"/>
      <c r="CD196" s="16"/>
      <c r="CE196" s="16"/>
      <c r="CF196" s="6"/>
      <c r="CG196" s="18"/>
      <c r="CH196" s="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7"/>
    </row>
    <row r="197" spans="1:108" ht="12.75" customHeight="1" x14ac:dyDescent="0.2">
      <c r="A197" s="6" t="s">
        <v>217</v>
      </c>
      <c r="C197" s="6" t="s">
        <v>197</v>
      </c>
      <c r="E197" s="16">
        <v>1088460</v>
      </c>
      <c r="F197" s="16"/>
      <c r="G197" s="16">
        <v>6894199</v>
      </c>
      <c r="H197" s="16"/>
      <c r="I197" s="16">
        <f t="shared" si="64"/>
        <v>7982659</v>
      </c>
      <c r="J197" s="16"/>
      <c r="K197" s="16">
        <v>365008</v>
      </c>
      <c r="L197" s="16"/>
      <c r="M197" s="16">
        <v>917270</v>
      </c>
      <c r="N197" s="16"/>
      <c r="O197" s="16">
        <f t="shared" si="65"/>
        <v>1282278</v>
      </c>
      <c r="P197" s="16"/>
      <c r="Q197" s="16">
        <v>5826097</v>
      </c>
      <c r="R197" s="16"/>
      <c r="S197" s="16">
        <v>0</v>
      </c>
      <c r="T197" s="16"/>
      <c r="U197" s="16">
        <v>874284</v>
      </c>
      <c r="V197" s="16"/>
      <c r="W197" s="16">
        <f t="shared" si="71"/>
        <v>6700381</v>
      </c>
      <c r="X197" s="16"/>
      <c r="Y197" s="6" t="s">
        <v>217</v>
      </c>
      <c r="AA197" s="6" t="s">
        <v>197</v>
      </c>
      <c r="AB197" s="6"/>
      <c r="AC197" s="16">
        <v>1344435</v>
      </c>
      <c r="AD197" s="16"/>
      <c r="AE197" s="16">
        <f>1036103-260934</f>
        <v>775169</v>
      </c>
      <c r="AF197" s="16"/>
      <c r="AG197" s="16">
        <v>260934</v>
      </c>
      <c r="AH197" s="16"/>
      <c r="AI197" s="8">
        <f t="shared" si="67"/>
        <v>308332</v>
      </c>
      <c r="AJ197" s="8"/>
      <c r="AK197" s="16">
        <v>-38938</v>
      </c>
      <c r="AL197" s="8"/>
      <c r="AM197" s="16">
        <v>0</v>
      </c>
      <c r="AN197" s="16"/>
      <c r="AO197" s="16">
        <v>0</v>
      </c>
      <c r="AP197" s="16"/>
      <c r="AQ197" s="16">
        <v>42000</v>
      </c>
      <c r="AR197" s="16"/>
      <c r="AS197" s="8">
        <f t="shared" si="72"/>
        <v>311394</v>
      </c>
      <c r="AT197" s="8"/>
      <c r="AU197" s="16">
        <v>0</v>
      </c>
      <c r="AV197" s="16"/>
      <c r="AW197" s="16">
        <v>0</v>
      </c>
      <c r="AX197" s="16"/>
      <c r="AY197" s="16">
        <f t="shared" si="73"/>
        <v>723452</v>
      </c>
      <c r="AZ197" s="16"/>
      <c r="BA197" s="6" t="s">
        <v>217</v>
      </c>
      <c r="BC197" s="6" t="s">
        <v>197</v>
      </c>
      <c r="BD197" s="16"/>
      <c r="BE197" s="16">
        <f>37500+11500</f>
        <v>49000</v>
      </c>
      <c r="BF197" s="16"/>
      <c r="BG197" s="16">
        <f>859400+26700</f>
        <v>886100</v>
      </c>
      <c r="BH197" s="16"/>
      <c r="BI197" s="16">
        <v>133002</v>
      </c>
      <c r="BJ197" s="16"/>
      <c r="BK197" s="16">
        <f>20370+24150</f>
        <v>44520</v>
      </c>
      <c r="BL197" s="16"/>
      <c r="BM197" s="16">
        <f t="shared" si="69"/>
        <v>1112622</v>
      </c>
      <c r="BN197" s="17" t="s">
        <v>345</v>
      </c>
      <c r="BP197" s="18"/>
      <c r="BQ197" s="18"/>
      <c r="BR197" s="14"/>
      <c r="BS197" s="16"/>
      <c r="BT197" s="16"/>
      <c r="BU197" s="16"/>
      <c r="BV197" s="16"/>
      <c r="BW197" s="16"/>
      <c r="BX197" s="8"/>
      <c r="BY197" s="8"/>
      <c r="BZ197" s="16"/>
      <c r="CA197" s="16"/>
      <c r="CB197" s="16"/>
      <c r="CC197" s="16"/>
      <c r="CD197" s="16"/>
      <c r="CE197" s="16"/>
      <c r="CF197" s="6"/>
      <c r="CG197" s="18"/>
      <c r="CH197" s="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7"/>
    </row>
    <row r="198" spans="1:108" ht="13.5" hidden="1" customHeight="1" x14ac:dyDescent="0.2">
      <c r="A198" s="6" t="s">
        <v>218</v>
      </c>
      <c r="C198" s="6" t="s">
        <v>64</v>
      </c>
      <c r="E198" s="16">
        <v>0</v>
      </c>
      <c r="F198" s="16"/>
      <c r="G198" s="16"/>
      <c r="H198" s="16"/>
      <c r="I198" s="16">
        <f t="shared" si="64"/>
        <v>0</v>
      </c>
      <c r="J198" s="16"/>
      <c r="K198" s="16">
        <v>0</v>
      </c>
      <c r="L198" s="16"/>
      <c r="M198" s="16"/>
      <c r="N198" s="16"/>
      <c r="O198" s="16">
        <f t="shared" si="65"/>
        <v>0</v>
      </c>
      <c r="P198" s="16"/>
      <c r="Q198" s="16"/>
      <c r="R198" s="16"/>
      <c r="S198" s="16"/>
      <c r="T198" s="16"/>
      <c r="U198" s="16"/>
      <c r="V198" s="16"/>
      <c r="W198" s="16">
        <f t="shared" si="71"/>
        <v>0</v>
      </c>
      <c r="X198" s="16"/>
      <c r="Y198" s="6" t="s">
        <v>218</v>
      </c>
      <c r="AA198" s="6" t="s">
        <v>64</v>
      </c>
      <c r="AB198" s="6"/>
      <c r="AC198" s="16"/>
      <c r="AD198" s="16"/>
      <c r="AE198" s="16"/>
      <c r="AF198" s="16"/>
      <c r="AG198" s="16"/>
      <c r="AH198" s="16"/>
      <c r="AI198" s="8">
        <f t="shared" si="67"/>
        <v>0</v>
      </c>
      <c r="AJ198" s="8"/>
      <c r="AK198" s="16"/>
      <c r="AL198" s="8"/>
      <c r="AM198" s="16"/>
      <c r="AN198" s="16"/>
      <c r="AO198" s="16"/>
      <c r="AP198" s="16"/>
      <c r="AQ198" s="16"/>
      <c r="AR198" s="16"/>
      <c r="AS198" s="8">
        <f t="shared" si="72"/>
        <v>0</v>
      </c>
      <c r="AT198" s="8"/>
      <c r="AU198" s="16">
        <v>0</v>
      </c>
      <c r="AV198" s="16"/>
      <c r="AW198" s="16">
        <v>0</v>
      </c>
      <c r="AX198" s="16"/>
      <c r="AY198" s="16">
        <f t="shared" si="73"/>
        <v>0</v>
      </c>
      <c r="AZ198" s="16"/>
      <c r="BA198" s="6" t="s">
        <v>218</v>
      </c>
      <c r="BC198" s="6" t="s">
        <v>64</v>
      </c>
      <c r="BD198" s="16"/>
      <c r="BE198" s="16"/>
      <c r="BF198" s="16"/>
      <c r="BG198" s="16"/>
      <c r="BH198" s="16"/>
      <c r="BI198" s="16"/>
      <c r="BJ198" s="16"/>
      <c r="BK198" s="16"/>
      <c r="BL198" s="16"/>
      <c r="BM198" s="16">
        <f t="shared" si="69"/>
        <v>0</v>
      </c>
      <c r="BN198" s="17" t="s">
        <v>345</v>
      </c>
      <c r="BP198" s="18"/>
      <c r="BQ198" s="18"/>
      <c r="BR198" s="14"/>
      <c r="BS198" s="16"/>
      <c r="BT198" s="16"/>
      <c r="BU198" s="16"/>
      <c r="BV198" s="16"/>
      <c r="BX198" s="8"/>
      <c r="BY198" s="16"/>
      <c r="BZ198" s="16"/>
      <c r="CA198" s="16"/>
      <c r="CB198" s="16"/>
      <c r="CC198" s="16"/>
      <c r="CD198" s="16"/>
      <c r="CE198" s="16"/>
      <c r="CF198" s="6"/>
      <c r="CG198" s="18"/>
      <c r="CH198" s="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7"/>
    </row>
    <row r="199" spans="1:108" ht="12.75" customHeight="1" x14ac:dyDescent="0.2">
      <c r="A199" s="6" t="s">
        <v>219</v>
      </c>
      <c r="B199" s="18"/>
      <c r="C199" s="6" t="s">
        <v>25</v>
      </c>
      <c r="E199" s="16">
        <v>869761</v>
      </c>
      <c r="F199" s="16"/>
      <c r="G199" s="16">
        <v>31191042</v>
      </c>
      <c r="H199" s="16"/>
      <c r="I199" s="16">
        <f t="shared" si="64"/>
        <v>32060803</v>
      </c>
      <c r="J199" s="16"/>
      <c r="K199" s="16">
        <v>57718</v>
      </c>
      <c r="L199" s="16"/>
      <c r="M199" s="16">
        <v>396323</v>
      </c>
      <c r="N199" s="16"/>
      <c r="O199" s="16">
        <f t="shared" si="65"/>
        <v>454041</v>
      </c>
      <c r="P199" s="16"/>
      <c r="Q199" s="16">
        <v>21806517</v>
      </c>
      <c r="R199" s="16"/>
      <c r="S199" s="16">
        <v>0</v>
      </c>
      <c r="T199" s="16"/>
      <c r="U199" s="16">
        <v>9800245</v>
      </c>
      <c r="V199" s="16"/>
      <c r="W199" s="16">
        <f t="shared" si="71"/>
        <v>31606762</v>
      </c>
      <c r="X199" s="16"/>
      <c r="Y199" s="6" t="s">
        <v>219</v>
      </c>
      <c r="AA199" s="6" t="s">
        <v>25</v>
      </c>
      <c r="AB199" s="6"/>
      <c r="AC199" s="16">
        <v>1867073</v>
      </c>
      <c r="AD199" s="16"/>
      <c r="AE199" s="16">
        <f>1909121-323855</f>
        <v>1585266</v>
      </c>
      <c r="AF199" s="16"/>
      <c r="AG199" s="16">
        <v>323855</v>
      </c>
      <c r="AH199" s="16"/>
      <c r="AI199" s="8">
        <f t="shared" si="67"/>
        <v>-42048</v>
      </c>
      <c r="AJ199" s="8"/>
      <c r="AK199" s="16">
        <v>-151277</v>
      </c>
      <c r="AL199" s="8"/>
      <c r="AM199" s="16">
        <v>0</v>
      </c>
      <c r="AN199" s="16"/>
      <c r="AO199" s="16">
        <v>0</v>
      </c>
      <c r="AP199" s="16"/>
      <c r="AQ199" s="16">
        <v>7241807</v>
      </c>
      <c r="AR199" s="16"/>
      <c r="AS199" s="8">
        <f t="shared" si="72"/>
        <v>7048482</v>
      </c>
      <c r="AT199" s="8"/>
      <c r="AU199" s="16">
        <v>0</v>
      </c>
      <c r="AV199" s="16"/>
      <c r="AW199" s="16">
        <v>0</v>
      </c>
      <c r="AX199" s="16"/>
      <c r="AY199" s="16">
        <f t="shared" si="73"/>
        <v>812043</v>
      </c>
      <c r="AZ199" s="16"/>
      <c r="BA199" s="6" t="s">
        <v>219</v>
      </c>
      <c r="BC199" s="6" t="s">
        <v>25</v>
      </c>
      <c r="BD199" s="16"/>
      <c r="BE199" s="16">
        <v>0</v>
      </c>
      <c r="BF199" s="16"/>
      <c r="BG199" s="16">
        <v>0</v>
      </c>
      <c r="BH199" s="16"/>
      <c r="BI199" s="16">
        <f>302711+18992</f>
        <v>321703</v>
      </c>
      <c r="BJ199" s="16"/>
      <c r="BK199" s="16">
        <f>93612+15928</f>
        <v>109540</v>
      </c>
      <c r="BL199" s="16"/>
      <c r="BM199" s="16">
        <f t="shared" si="69"/>
        <v>431243</v>
      </c>
      <c r="BN199" s="17" t="s">
        <v>345</v>
      </c>
      <c r="BP199" s="18"/>
      <c r="BQ199" s="18"/>
      <c r="BR199" s="14"/>
      <c r="BS199" s="16"/>
      <c r="BT199" s="16"/>
      <c r="BU199" s="16"/>
      <c r="BV199" s="16"/>
      <c r="BW199" s="16"/>
      <c r="BX199" s="8"/>
      <c r="BY199" s="8"/>
      <c r="BZ199" s="16"/>
      <c r="CA199" s="16"/>
      <c r="CB199" s="16"/>
      <c r="CC199" s="16"/>
      <c r="CD199" s="16"/>
      <c r="CE199" s="16"/>
      <c r="CF199" s="6"/>
      <c r="CG199" s="18"/>
      <c r="CH199" s="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7"/>
    </row>
    <row r="200" spans="1:108" ht="12.75" hidden="1" customHeight="1" x14ac:dyDescent="0.2">
      <c r="A200" s="6" t="s">
        <v>220</v>
      </c>
      <c r="C200" s="6" t="s">
        <v>45</v>
      </c>
      <c r="E200" s="16">
        <v>0</v>
      </c>
      <c r="F200" s="16"/>
      <c r="G200" s="16">
        <v>1115276</v>
      </c>
      <c r="H200" s="16"/>
      <c r="I200" s="16">
        <f t="shared" si="64"/>
        <v>1115276</v>
      </c>
      <c r="J200" s="16"/>
      <c r="K200" s="16">
        <v>60789</v>
      </c>
      <c r="L200" s="16"/>
      <c r="M200" s="16">
        <v>1103293</v>
      </c>
      <c r="N200" s="16"/>
      <c r="O200" s="16">
        <f t="shared" si="65"/>
        <v>1164082</v>
      </c>
      <c r="P200" s="16"/>
      <c r="Q200" s="16">
        <v>-44133</v>
      </c>
      <c r="R200" s="16"/>
      <c r="S200" s="16">
        <v>0</v>
      </c>
      <c r="T200" s="16"/>
      <c r="U200" s="16">
        <v>-4673</v>
      </c>
      <c r="V200" s="16"/>
      <c r="W200" s="16">
        <f t="shared" si="71"/>
        <v>-48806</v>
      </c>
      <c r="X200" s="16"/>
      <c r="Y200" s="6" t="s">
        <v>220</v>
      </c>
      <c r="AA200" s="6" t="s">
        <v>45</v>
      </c>
      <c r="AB200" s="6"/>
      <c r="AC200" s="16">
        <v>141941</v>
      </c>
      <c r="AD200" s="16"/>
      <c r="AE200" s="16">
        <f>617228-81743</f>
        <v>535485</v>
      </c>
      <c r="AF200" s="16"/>
      <c r="AG200" s="16">
        <v>81743</v>
      </c>
      <c r="AH200" s="16"/>
      <c r="AI200" s="8">
        <f t="shared" si="67"/>
        <v>-475287</v>
      </c>
      <c r="AJ200" s="8"/>
      <c r="AK200" s="16">
        <v>-58560</v>
      </c>
      <c r="AL200" s="8"/>
      <c r="AM200" s="16">
        <v>-2473737</v>
      </c>
      <c r="AN200" s="16"/>
      <c r="AO200" s="16">
        <v>0</v>
      </c>
      <c r="AP200" s="16"/>
      <c r="AQ200" s="16">
        <v>0</v>
      </c>
      <c r="AR200" s="16"/>
      <c r="AS200" s="8">
        <f t="shared" si="72"/>
        <v>-3007584</v>
      </c>
      <c r="AT200" s="8"/>
      <c r="AU200" s="16">
        <v>0</v>
      </c>
      <c r="AV200" s="16"/>
      <c r="AW200" s="16">
        <v>0</v>
      </c>
      <c r="AX200" s="16"/>
      <c r="AY200" s="16">
        <f t="shared" si="73"/>
        <v>-60789</v>
      </c>
      <c r="AZ200" s="16"/>
      <c r="BA200" s="6" t="s">
        <v>220</v>
      </c>
      <c r="BC200" s="6" t="s">
        <v>45</v>
      </c>
      <c r="BD200" s="16"/>
      <c r="BE200" s="16">
        <f>1103293+56116</f>
        <v>1159409</v>
      </c>
      <c r="BF200" s="16"/>
      <c r="BG200" s="16">
        <v>0</v>
      </c>
      <c r="BH200" s="16"/>
      <c r="BI200" s="16">
        <v>0</v>
      </c>
      <c r="BJ200" s="16"/>
      <c r="BK200" s="16">
        <v>0</v>
      </c>
      <c r="BL200" s="16"/>
      <c r="BM200" s="16">
        <f t="shared" si="69"/>
        <v>1159409</v>
      </c>
      <c r="BN200" s="17" t="s">
        <v>345</v>
      </c>
      <c r="BP200" s="18"/>
      <c r="BQ200" s="18"/>
      <c r="BR200" s="14"/>
      <c r="BS200" s="16"/>
      <c r="BT200" s="16"/>
      <c r="BU200" s="16"/>
      <c r="BV200" s="16"/>
      <c r="BW200" s="16"/>
      <c r="BX200" s="8"/>
      <c r="BY200" s="8"/>
      <c r="BZ200" s="16"/>
      <c r="CA200" s="16"/>
      <c r="CB200" s="16"/>
      <c r="CC200" s="16"/>
      <c r="CD200" s="16"/>
      <c r="CE200" s="16"/>
      <c r="CF200" s="6"/>
      <c r="CG200" s="18"/>
      <c r="CH200" s="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7"/>
    </row>
    <row r="201" spans="1:108" ht="12.75" customHeight="1" x14ac:dyDescent="0.2">
      <c r="A201" s="6" t="s">
        <v>221</v>
      </c>
      <c r="C201" s="6" t="s">
        <v>92</v>
      </c>
      <c r="E201" s="16">
        <v>14523770</v>
      </c>
      <c r="F201" s="16"/>
      <c r="G201" s="16">
        <v>8241083</v>
      </c>
      <c r="H201" s="16"/>
      <c r="I201" s="16">
        <f t="shared" ref="I201:I221" si="74">+E201+G201</f>
        <v>22764853</v>
      </c>
      <c r="J201" s="16"/>
      <c r="K201" s="16">
        <v>179284</v>
      </c>
      <c r="L201" s="16"/>
      <c r="M201" s="16">
        <v>68572</v>
      </c>
      <c r="N201" s="16"/>
      <c r="O201" s="16">
        <f t="shared" ref="O201:O221" si="75">+K201+M201</f>
        <v>247856</v>
      </c>
      <c r="P201" s="16"/>
      <c r="Q201" s="16">
        <v>8241083</v>
      </c>
      <c r="R201" s="16"/>
      <c r="S201" s="16">
        <v>0</v>
      </c>
      <c r="T201" s="16"/>
      <c r="U201" s="16">
        <v>14275914</v>
      </c>
      <c r="V201" s="16"/>
      <c r="W201" s="16">
        <f t="shared" si="71"/>
        <v>22516997</v>
      </c>
      <c r="X201" s="16"/>
      <c r="Y201" s="6" t="s">
        <v>221</v>
      </c>
      <c r="AA201" s="6" t="s">
        <v>92</v>
      </c>
      <c r="AB201" s="6"/>
      <c r="AC201" s="16">
        <v>2280959</v>
      </c>
      <c r="AD201" s="16"/>
      <c r="AE201" s="16">
        <f>2398423-334817</f>
        <v>2063606</v>
      </c>
      <c r="AF201" s="16"/>
      <c r="AG201" s="16">
        <v>334817</v>
      </c>
      <c r="AH201" s="16"/>
      <c r="AI201" s="8">
        <f t="shared" ref="AI201:AI221" si="76">+AC201-AE201-AG201</f>
        <v>-117464</v>
      </c>
      <c r="AJ201" s="8"/>
      <c r="AK201" s="16">
        <v>0</v>
      </c>
      <c r="AL201" s="8"/>
      <c r="AM201" s="16">
        <v>0</v>
      </c>
      <c r="AN201" s="16"/>
      <c r="AO201" s="16">
        <v>0</v>
      </c>
      <c r="AP201" s="16"/>
      <c r="AQ201" s="16">
        <v>0</v>
      </c>
      <c r="AR201" s="16"/>
      <c r="AS201" s="8">
        <f t="shared" si="72"/>
        <v>-117464</v>
      </c>
      <c r="AT201" s="8"/>
      <c r="AU201" s="16">
        <v>0</v>
      </c>
      <c r="AV201" s="16"/>
      <c r="AW201" s="16">
        <v>0</v>
      </c>
      <c r="AX201" s="16"/>
      <c r="AY201" s="16">
        <f t="shared" si="73"/>
        <v>14344486</v>
      </c>
      <c r="AZ201" s="16"/>
      <c r="BA201" s="6" t="s">
        <v>221</v>
      </c>
      <c r="BC201" s="6" t="s">
        <v>92</v>
      </c>
      <c r="BD201" s="16"/>
      <c r="BE201" s="16">
        <v>0</v>
      </c>
      <c r="BF201" s="16"/>
      <c r="BG201" s="16">
        <v>0</v>
      </c>
      <c r="BH201" s="16"/>
      <c r="BI201" s="16">
        <v>0</v>
      </c>
      <c r="BJ201" s="16"/>
      <c r="BK201" s="16">
        <f>68572+1783</f>
        <v>70355</v>
      </c>
      <c r="BL201" s="16"/>
      <c r="BM201" s="16">
        <f t="shared" ref="BM201:BM221" si="77">SUM(BE201:BK201)</f>
        <v>70355</v>
      </c>
      <c r="BN201" s="17" t="s">
        <v>345</v>
      </c>
      <c r="BP201" s="18"/>
      <c r="BQ201" s="18"/>
      <c r="BR201" s="14"/>
      <c r="BS201" s="16"/>
      <c r="BT201" s="16"/>
      <c r="BU201" s="16"/>
      <c r="BV201" s="16"/>
      <c r="BW201" s="16"/>
      <c r="BX201" s="8"/>
      <c r="BY201" s="8"/>
      <c r="BZ201" s="16"/>
      <c r="CA201" s="16"/>
      <c r="CB201" s="16"/>
      <c r="CC201" s="16"/>
      <c r="CD201" s="16"/>
      <c r="CE201" s="16"/>
      <c r="CF201" s="6"/>
      <c r="CG201" s="18"/>
      <c r="CH201" s="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7"/>
    </row>
    <row r="202" spans="1:108" ht="12.75" customHeight="1" x14ac:dyDescent="0.2">
      <c r="A202" s="6" t="s">
        <v>74</v>
      </c>
      <c r="C202" s="6" t="s">
        <v>130</v>
      </c>
      <c r="E202" s="16">
        <v>8461516</v>
      </c>
      <c r="F202" s="16"/>
      <c r="G202" s="16">
        <v>59076553</v>
      </c>
      <c r="H202" s="16"/>
      <c r="I202" s="16">
        <f t="shared" si="74"/>
        <v>67538069</v>
      </c>
      <c r="J202" s="16"/>
      <c r="K202" s="16">
        <v>2280450</v>
      </c>
      <c r="L202" s="16"/>
      <c r="M202" s="16">
        <v>30373270</v>
      </c>
      <c r="N202" s="16"/>
      <c r="O202" s="16">
        <f t="shared" si="75"/>
        <v>32653720</v>
      </c>
      <c r="P202" s="16"/>
      <c r="Q202" s="16">
        <v>27934382</v>
      </c>
      <c r="R202" s="16"/>
      <c r="S202" s="16">
        <v>0</v>
      </c>
      <c r="T202" s="16"/>
      <c r="U202" s="16">
        <v>6949967</v>
      </c>
      <c r="V202" s="16"/>
      <c r="W202" s="16">
        <f t="shared" si="71"/>
        <v>34884349</v>
      </c>
      <c r="X202" s="16"/>
      <c r="Y202" s="6" t="s">
        <v>74</v>
      </c>
      <c r="AA202" s="6" t="s">
        <v>130</v>
      </c>
      <c r="AB202" s="6"/>
      <c r="AC202" s="16">
        <v>5552003</v>
      </c>
      <c r="AD202" s="16"/>
      <c r="AE202" s="16">
        <f>4829487-1190762</f>
        <v>3638725</v>
      </c>
      <c r="AF202" s="16"/>
      <c r="AG202" s="16">
        <v>1190762</v>
      </c>
      <c r="AH202" s="16"/>
      <c r="AI202" s="8">
        <f t="shared" si="76"/>
        <v>722516</v>
      </c>
      <c r="AJ202" s="8"/>
      <c r="AK202" s="16">
        <v>-1501888</v>
      </c>
      <c r="AL202" s="8"/>
      <c r="AM202" s="16">
        <v>0</v>
      </c>
      <c r="AN202" s="16"/>
      <c r="AO202" s="16">
        <v>201414</v>
      </c>
      <c r="AP202" s="16"/>
      <c r="AQ202" s="16">
        <v>15929</v>
      </c>
      <c r="AR202" s="16"/>
      <c r="AS202" s="8">
        <f t="shared" si="72"/>
        <v>-964857</v>
      </c>
      <c r="AT202" s="8"/>
      <c r="AU202" s="16">
        <v>0</v>
      </c>
      <c r="AV202" s="16"/>
      <c r="AW202" s="16">
        <v>0</v>
      </c>
      <c r="AX202" s="16"/>
      <c r="AY202" s="16">
        <f t="shared" si="73"/>
        <v>6181066</v>
      </c>
      <c r="AZ202" s="16"/>
      <c r="BA202" s="6" t="s">
        <v>74</v>
      </c>
      <c r="BC202" s="6" t="s">
        <v>130</v>
      </c>
      <c r="BD202" s="16"/>
      <c r="BE202" s="16">
        <f>1454180+55000</f>
        <v>1509180</v>
      </c>
      <c r="BF202" s="16"/>
      <c r="BG202" s="16">
        <v>0</v>
      </c>
      <c r="BH202" s="16"/>
      <c r="BI202" s="16">
        <f>28519284+69190+1113707+15555</f>
        <v>29717736</v>
      </c>
      <c r="BJ202" s="16"/>
      <c r="BK202" s="16">
        <f>330616+54146</f>
        <v>384762</v>
      </c>
      <c r="BL202" s="16"/>
      <c r="BM202" s="16">
        <f t="shared" si="77"/>
        <v>31611678</v>
      </c>
      <c r="BN202" s="17" t="s">
        <v>345</v>
      </c>
      <c r="BP202" s="18"/>
      <c r="BQ202" s="18"/>
      <c r="BR202" s="14"/>
      <c r="BS202" s="16"/>
      <c r="BT202" s="16"/>
      <c r="BU202" s="16"/>
      <c r="BV202" s="16"/>
      <c r="BW202" s="16"/>
      <c r="BX202" s="8"/>
      <c r="BY202" s="8"/>
      <c r="BZ202" s="16"/>
      <c r="CA202" s="16"/>
      <c r="CB202" s="16"/>
      <c r="CC202" s="16"/>
      <c r="CD202" s="16"/>
      <c r="CE202" s="16"/>
      <c r="CF202" s="6"/>
      <c r="CG202" s="18"/>
      <c r="CH202" s="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7"/>
    </row>
    <row r="203" spans="1:108" ht="12.75" hidden="1" customHeight="1" x14ac:dyDescent="0.2">
      <c r="A203" s="6" t="s">
        <v>222</v>
      </c>
      <c r="B203" s="18"/>
      <c r="C203" s="6" t="s">
        <v>25</v>
      </c>
      <c r="E203" s="16">
        <v>0</v>
      </c>
      <c r="F203" s="16"/>
      <c r="G203" s="16"/>
      <c r="H203" s="16"/>
      <c r="I203" s="16">
        <f t="shared" si="74"/>
        <v>0</v>
      </c>
      <c r="J203" s="16"/>
      <c r="K203" s="16">
        <v>0</v>
      </c>
      <c r="L203" s="16"/>
      <c r="M203" s="16"/>
      <c r="N203" s="16"/>
      <c r="O203" s="16">
        <f t="shared" si="75"/>
        <v>0</v>
      </c>
      <c r="P203" s="16"/>
      <c r="Q203" s="16"/>
      <c r="R203" s="16"/>
      <c r="S203" s="16"/>
      <c r="T203" s="16"/>
      <c r="U203" s="16"/>
      <c r="V203" s="16"/>
      <c r="W203" s="16">
        <f t="shared" si="71"/>
        <v>0</v>
      </c>
      <c r="X203" s="16"/>
      <c r="Y203" s="6" t="s">
        <v>222</v>
      </c>
      <c r="AA203" s="6" t="s">
        <v>25</v>
      </c>
      <c r="AB203" s="6"/>
      <c r="AC203" s="16"/>
      <c r="AD203" s="16"/>
      <c r="AE203" s="16"/>
      <c r="AF203" s="16"/>
      <c r="AG203" s="16"/>
      <c r="AH203" s="16"/>
      <c r="AI203" s="8">
        <f t="shared" si="76"/>
        <v>0</v>
      </c>
      <c r="AJ203" s="8"/>
      <c r="AK203" s="16"/>
      <c r="AL203" s="8"/>
      <c r="AM203" s="16"/>
      <c r="AN203" s="16"/>
      <c r="AO203" s="16"/>
      <c r="AP203" s="16"/>
      <c r="AQ203" s="16"/>
      <c r="AR203" s="16"/>
      <c r="AS203" s="8">
        <f t="shared" si="72"/>
        <v>0</v>
      </c>
      <c r="AT203" s="8"/>
      <c r="AU203" s="16">
        <v>0</v>
      </c>
      <c r="AV203" s="16"/>
      <c r="AW203" s="16">
        <v>0</v>
      </c>
      <c r="AX203" s="16"/>
      <c r="AY203" s="16">
        <f t="shared" si="73"/>
        <v>0</v>
      </c>
      <c r="AZ203" s="16"/>
      <c r="BA203" s="6" t="s">
        <v>222</v>
      </c>
      <c r="BC203" s="6" t="s">
        <v>25</v>
      </c>
      <c r="BD203" s="16"/>
      <c r="BE203" s="16"/>
      <c r="BF203" s="16"/>
      <c r="BG203" s="16"/>
      <c r="BH203" s="16"/>
      <c r="BI203" s="16"/>
      <c r="BJ203" s="16"/>
      <c r="BK203" s="16"/>
      <c r="BL203" s="16"/>
      <c r="BM203" s="16">
        <f t="shared" si="77"/>
        <v>0</v>
      </c>
      <c r="BN203" s="17" t="s">
        <v>345</v>
      </c>
      <c r="BP203" s="18"/>
      <c r="BQ203" s="18"/>
      <c r="BR203" s="14"/>
      <c r="BS203" s="16"/>
      <c r="BT203" s="16"/>
      <c r="BU203" s="16"/>
      <c r="BV203" s="16"/>
      <c r="BW203" s="16"/>
      <c r="BX203" s="8"/>
      <c r="BY203" s="8"/>
      <c r="BZ203" s="16"/>
      <c r="CA203" s="16"/>
      <c r="CB203" s="16"/>
      <c r="CC203" s="16"/>
      <c r="CD203" s="16"/>
      <c r="CE203" s="16"/>
      <c r="CF203" s="6"/>
      <c r="CG203" s="18"/>
      <c r="CH203" s="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7"/>
    </row>
    <row r="204" spans="1:108" s="36" customFormat="1" ht="12.75" hidden="1" customHeight="1" x14ac:dyDescent="0.2">
      <c r="A204" s="6" t="s">
        <v>223</v>
      </c>
      <c r="B204" s="14"/>
      <c r="C204" s="6" t="s">
        <v>25</v>
      </c>
      <c r="D204" s="7"/>
      <c r="E204" s="16">
        <v>0</v>
      </c>
      <c r="F204" s="16"/>
      <c r="G204" s="16"/>
      <c r="H204" s="16"/>
      <c r="I204" s="16">
        <f t="shared" si="74"/>
        <v>0</v>
      </c>
      <c r="J204" s="16"/>
      <c r="K204" s="16">
        <v>0</v>
      </c>
      <c r="L204" s="16"/>
      <c r="M204" s="16"/>
      <c r="N204" s="16"/>
      <c r="O204" s="16">
        <f t="shared" si="75"/>
        <v>0</v>
      </c>
      <c r="P204" s="16"/>
      <c r="Q204" s="16"/>
      <c r="R204" s="16"/>
      <c r="S204" s="16"/>
      <c r="T204" s="16"/>
      <c r="U204" s="16"/>
      <c r="V204" s="16"/>
      <c r="W204" s="16">
        <f t="shared" si="71"/>
        <v>0</v>
      </c>
      <c r="X204" s="16"/>
      <c r="Y204" s="6" t="s">
        <v>223</v>
      </c>
      <c r="Z204" s="18"/>
      <c r="AA204" s="6" t="s">
        <v>25</v>
      </c>
      <c r="AB204" s="6"/>
      <c r="AC204" s="16"/>
      <c r="AD204" s="16"/>
      <c r="AE204" s="16"/>
      <c r="AF204" s="16"/>
      <c r="AG204" s="16"/>
      <c r="AH204" s="16"/>
      <c r="AI204" s="8">
        <f t="shared" si="76"/>
        <v>0</v>
      </c>
      <c r="AJ204" s="8"/>
      <c r="AK204" s="16"/>
      <c r="AL204" s="8"/>
      <c r="AM204" s="16"/>
      <c r="AN204" s="16"/>
      <c r="AO204" s="16"/>
      <c r="AP204" s="16"/>
      <c r="AQ204" s="16"/>
      <c r="AR204" s="16"/>
      <c r="AS204" s="8">
        <f t="shared" si="72"/>
        <v>0</v>
      </c>
      <c r="AT204" s="8"/>
      <c r="AU204" s="16">
        <v>0</v>
      </c>
      <c r="AV204" s="16"/>
      <c r="AW204" s="16">
        <v>0</v>
      </c>
      <c r="AX204" s="16"/>
      <c r="AY204" s="16">
        <f t="shared" si="73"/>
        <v>0</v>
      </c>
      <c r="AZ204" s="16"/>
      <c r="BA204" s="6" t="s">
        <v>223</v>
      </c>
      <c r="BB204" s="18"/>
      <c r="BC204" s="6" t="s">
        <v>25</v>
      </c>
      <c r="BD204" s="16"/>
      <c r="BE204" s="16"/>
      <c r="BF204" s="16"/>
      <c r="BG204" s="16"/>
      <c r="BH204" s="16"/>
      <c r="BI204" s="16"/>
      <c r="BJ204" s="16"/>
      <c r="BK204" s="16"/>
      <c r="BL204" s="16"/>
      <c r="BM204" s="16">
        <f t="shared" si="77"/>
        <v>0</v>
      </c>
      <c r="BN204" s="37" t="s">
        <v>345</v>
      </c>
      <c r="BR204" s="21"/>
      <c r="BS204" s="28"/>
      <c r="BT204" s="28"/>
      <c r="BU204" s="28"/>
      <c r="BV204" s="28"/>
      <c r="BW204" s="28"/>
      <c r="BX204" s="40"/>
      <c r="BY204" s="40"/>
      <c r="BZ204" s="28"/>
      <c r="CA204" s="28"/>
      <c r="CB204" s="28"/>
      <c r="CC204" s="28"/>
      <c r="CD204" s="28"/>
      <c r="CE204" s="28"/>
      <c r="CF204" s="9"/>
      <c r="CH204" s="9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37"/>
    </row>
    <row r="205" spans="1:108" s="36" customFormat="1" ht="12.75" hidden="1" customHeight="1" x14ac:dyDescent="0.2">
      <c r="A205" s="6" t="s">
        <v>224</v>
      </c>
      <c r="B205" s="14"/>
      <c r="C205" s="6" t="s">
        <v>43</v>
      </c>
      <c r="D205" s="7"/>
      <c r="E205" s="16">
        <v>0</v>
      </c>
      <c r="F205" s="16"/>
      <c r="G205" s="16"/>
      <c r="H205" s="16"/>
      <c r="I205" s="16">
        <f t="shared" si="74"/>
        <v>0</v>
      </c>
      <c r="J205" s="16"/>
      <c r="K205" s="16">
        <v>0</v>
      </c>
      <c r="L205" s="16"/>
      <c r="M205" s="16"/>
      <c r="N205" s="16"/>
      <c r="O205" s="16">
        <f t="shared" si="75"/>
        <v>0</v>
      </c>
      <c r="P205" s="16"/>
      <c r="Q205" s="16"/>
      <c r="R205" s="16"/>
      <c r="S205" s="16"/>
      <c r="T205" s="16"/>
      <c r="U205" s="16"/>
      <c r="V205" s="16"/>
      <c r="W205" s="16">
        <f t="shared" si="71"/>
        <v>0</v>
      </c>
      <c r="X205" s="16"/>
      <c r="Y205" s="6" t="s">
        <v>224</v>
      </c>
      <c r="Z205" s="18"/>
      <c r="AA205" s="6" t="s">
        <v>43</v>
      </c>
      <c r="AB205" s="6"/>
      <c r="AC205" s="16"/>
      <c r="AD205" s="16"/>
      <c r="AE205" s="16"/>
      <c r="AF205" s="16"/>
      <c r="AG205" s="16"/>
      <c r="AH205" s="16"/>
      <c r="AI205" s="8">
        <f t="shared" si="76"/>
        <v>0</v>
      </c>
      <c r="AJ205" s="8"/>
      <c r="AK205" s="16"/>
      <c r="AL205" s="8"/>
      <c r="AM205" s="16"/>
      <c r="AN205" s="16"/>
      <c r="AO205" s="16"/>
      <c r="AP205" s="16"/>
      <c r="AQ205" s="16"/>
      <c r="AR205" s="16"/>
      <c r="AS205" s="8">
        <f t="shared" si="72"/>
        <v>0</v>
      </c>
      <c r="AT205" s="8"/>
      <c r="AU205" s="16">
        <v>0</v>
      </c>
      <c r="AV205" s="16"/>
      <c r="AW205" s="16">
        <v>0</v>
      </c>
      <c r="AX205" s="16"/>
      <c r="AY205" s="16">
        <f t="shared" si="73"/>
        <v>0</v>
      </c>
      <c r="AZ205" s="16"/>
      <c r="BA205" s="6" t="s">
        <v>224</v>
      </c>
      <c r="BB205" s="18"/>
      <c r="BC205" s="6" t="s">
        <v>43</v>
      </c>
      <c r="BD205" s="16"/>
      <c r="BE205" s="16"/>
      <c r="BF205" s="16"/>
      <c r="BG205" s="16"/>
      <c r="BH205" s="16"/>
      <c r="BI205" s="16"/>
      <c r="BJ205" s="16"/>
      <c r="BK205" s="16"/>
      <c r="BL205" s="16"/>
      <c r="BM205" s="16">
        <f t="shared" si="77"/>
        <v>0</v>
      </c>
      <c r="BN205" s="37"/>
      <c r="BR205" s="21"/>
      <c r="BS205" s="28"/>
      <c r="BT205" s="28"/>
      <c r="BU205" s="28"/>
      <c r="BV205" s="28"/>
      <c r="BW205" s="28"/>
      <c r="BX205" s="40"/>
      <c r="BY205" s="40"/>
      <c r="BZ205" s="28"/>
      <c r="CA205" s="28"/>
      <c r="CB205" s="28"/>
      <c r="CC205" s="28"/>
      <c r="CD205" s="28"/>
      <c r="CE205" s="28"/>
      <c r="CF205" s="9"/>
      <c r="CH205" s="9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37"/>
    </row>
    <row r="206" spans="1:108" ht="12.75" customHeight="1" x14ac:dyDescent="0.2">
      <c r="A206" s="6" t="s">
        <v>225</v>
      </c>
      <c r="B206" s="18"/>
      <c r="C206" s="6" t="s">
        <v>15</v>
      </c>
      <c r="E206" s="16">
        <v>726383</v>
      </c>
      <c r="F206" s="16"/>
      <c r="G206" s="16">
        <v>555355</v>
      </c>
      <c r="H206" s="16"/>
      <c r="I206" s="16">
        <f t="shared" si="74"/>
        <v>1281738</v>
      </c>
      <c r="J206" s="16"/>
      <c r="K206" s="16">
        <v>30451</v>
      </c>
      <c r="L206" s="16"/>
      <c r="M206" s="16">
        <v>39806</v>
      </c>
      <c r="N206" s="16"/>
      <c r="O206" s="16">
        <f t="shared" si="75"/>
        <v>70257</v>
      </c>
      <c r="P206" s="16"/>
      <c r="Q206" s="16">
        <v>555355</v>
      </c>
      <c r="R206" s="16"/>
      <c r="S206" s="16">
        <v>0</v>
      </c>
      <c r="T206" s="16"/>
      <c r="U206" s="16">
        <v>656126</v>
      </c>
      <c r="V206" s="16"/>
      <c r="W206" s="16">
        <f t="shared" si="71"/>
        <v>1211481</v>
      </c>
      <c r="X206" s="16"/>
      <c r="Y206" s="6" t="s">
        <v>225</v>
      </c>
      <c r="AA206" s="6" t="s">
        <v>15</v>
      </c>
      <c r="AB206" s="6"/>
      <c r="AC206" s="16">
        <v>1000141</v>
      </c>
      <c r="AD206" s="16"/>
      <c r="AE206" s="16">
        <f>816574-35334</f>
        <v>781240</v>
      </c>
      <c r="AF206" s="16"/>
      <c r="AG206" s="16">
        <v>35334</v>
      </c>
      <c r="AH206" s="16"/>
      <c r="AI206" s="8">
        <f t="shared" si="76"/>
        <v>183567</v>
      </c>
      <c r="AJ206" s="8"/>
      <c r="AK206" s="16">
        <v>0</v>
      </c>
      <c r="AL206" s="8"/>
      <c r="AM206" s="16">
        <v>0</v>
      </c>
      <c r="AN206" s="16"/>
      <c r="AO206" s="16">
        <v>0</v>
      </c>
      <c r="AP206" s="16"/>
      <c r="AQ206" s="16">
        <v>0</v>
      </c>
      <c r="AR206" s="16"/>
      <c r="AS206" s="8">
        <f t="shared" si="72"/>
        <v>183567</v>
      </c>
      <c r="AT206" s="8"/>
      <c r="AU206" s="16">
        <v>0</v>
      </c>
      <c r="AV206" s="16"/>
      <c r="AW206" s="16">
        <v>0</v>
      </c>
      <c r="AX206" s="16"/>
      <c r="AY206" s="16">
        <f t="shared" si="73"/>
        <v>695932</v>
      </c>
      <c r="AZ206" s="16"/>
      <c r="BA206" s="6" t="s">
        <v>225</v>
      </c>
      <c r="BC206" s="6" t="s">
        <v>15</v>
      </c>
      <c r="BD206" s="16"/>
      <c r="BE206" s="16">
        <v>0</v>
      </c>
      <c r="BF206" s="16"/>
      <c r="BG206" s="16">
        <v>0</v>
      </c>
      <c r="BH206" s="16"/>
      <c r="BI206" s="16">
        <v>0</v>
      </c>
      <c r="BJ206" s="16"/>
      <c r="BK206" s="16">
        <v>39806</v>
      </c>
      <c r="BL206" s="16"/>
      <c r="BM206" s="16">
        <f t="shared" si="77"/>
        <v>39806</v>
      </c>
      <c r="BN206" s="17" t="s">
        <v>345</v>
      </c>
      <c r="BP206" s="18"/>
      <c r="BQ206" s="18"/>
      <c r="BR206" s="20"/>
      <c r="BS206" s="16"/>
      <c r="BT206" s="16"/>
      <c r="BU206" s="16"/>
      <c r="BV206" s="16"/>
      <c r="BW206" s="16"/>
      <c r="BX206" s="8"/>
      <c r="BY206" s="8"/>
      <c r="BZ206" s="16"/>
      <c r="CA206" s="16"/>
      <c r="CB206" s="16"/>
      <c r="CC206" s="16"/>
      <c r="CD206" s="16"/>
      <c r="CE206" s="16"/>
      <c r="CF206" s="6"/>
      <c r="CG206" s="18"/>
      <c r="CH206" s="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7"/>
    </row>
    <row r="207" spans="1:108" ht="12.75" customHeight="1" x14ac:dyDescent="0.2">
      <c r="A207" s="6" t="s">
        <v>226</v>
      </c>
      <c r="C207" s="6" t="s">
        <v>151</v>
      </c>
      <c r="E207" s="16">
        <v>1092210</v>
      </c>
      <c r="F207" s="16"/>
      <c r="G207" s="16">
        <v>7273497</v>
      </c>
      <c r="H207" s="16"/>
      <c r="I207" s="16">
        <f t="shared" si="74"/>
        <v>8365707</v>
      </c>
      <c r="J207" s="16"/>
      <c r="K207" s="16">
        <v>270018</v>
      </c>
      <c r="L207" s="16"/>
      <c r="M207" s="16">
        <v>305163</v>
      </c>
      <c r="N207" s="16"/>
      <c r="O207" s="16">
        <f t="shared" si="75"/>
        <v>575181</v>
      </c>
      <c r="P207" s="16"/>
      <c r="Q207" s="16">
        <v>6800878</v>
      </c>
      <c r="R207" s="16"/>
      <c r="S207" s="16">
        <v>0</v>
      </c>
      <c r="T207" s="16"/>
      <c r="U207" s="16">
        <v>989648</v>
      </c>
      <c r="V207" s="16"/>
      <c r="W207" s="16">
        <f t="shared" si="71"/>
        <v>7790526</v>
      </c>
      <c r="X207" s="16"/>
      <c r="Y207" s="6" t="s">
        <v>226</v>
      </c>
      <c r="AA207" s="6" t="s">
        <v>151</v>
      </c>
      <c r="AB207" s="6"/>
      <c r="AC207" s="16">
        <v>1541580</v>
      </c>
      <c r="AD207" s="16"/>
      <c r="AE207" s="16">
        <f>1406941-339077</f>
        <v>1067864</v>
      </c>
      <c r="AF207" s="16"/>
      <c r="AG207" s="16">
        <v>339077</v>
      </c>
      <c r="AH207" s="16"/>
      <c r="AI207" s="8">
        <f t="shared" si="76"/>
        <v>134639</v>
      </c>
      <c r="AJ207" s="8"/>
      <c r="AK207" s="16">
        <v>2189</v>
      </c>
      <c r="AL207" s="8"/>
      <c r="AM207" s="16">
        <v>0</v>
      </c>
      <c r="AN207" s="16"/>
      <c r="AO207" s="16">
        <v>0</v>
      </c>
      <c r="AP207" s="16"/>
      <c r="AQ207" s="16">
        <v>0</v>
      </c>
      <c r="AR207" s="16"/>
      <c r="AS207" s="8">
        <f t="shared" si="72"/>
        <v>136828</v>
      </c>
      <c r="AT207" s="8"/>
      <c r="AU207" s="16">
        <v>0</v>
      </c>
      <c r="AV207" s="16"/>
      <c r="AW207" s="16">
        <v>0</v>
      </c>
      <c r="AX207" s="16"/>
      <c r="AY207" s="16">
        <f t="shared" si="73"/>
        <v>822192</v>
      </c>
      <c r="AZ207" s="16"/>
      <c r="BA207" s="6" t="s">
        <v>226</v>
      </c>
      <c r="BC207" s="6" t="s">
        <v>151</v>
      </c>
      <c r="BD207" s="16"/>
      <c r="BE207" s="16">
        <f>284985+187634</f>
        <v>472619</v>
      </c>
      <c r="BF207" s="16"/>
      <c r="BG207" s="16">
        <v>0</v>
      </c>
      <c r="BH207" s="16"/>
      <c r="BI207" s="16">
        <v>0</v>
      </c>
      <c r="BJ207" s="16"/>
      <c r="BK207" s="16">
        <f>20178+28473</f>
        <v>48651</v>
      </c>
      <c r="BL207" s="16"/>
      <c r="BM207" s="16">
        <f t="shared" si="77"/>
        <v>521270</v>
      </c>
      <c r="BN207" s="17" t="s">
        <v>345</v>
      </c>
      <c r="BO207" s="18" t="s">
        <v>402</v>
      </c>
      <c r="BP207" s="18"/>
      <c r="BQ207" s="18"/>
      <c r="BR207" s="14"/>
      <c r="BS207" s="16"/>
      <c r="BT207" s="16"/>
      <c r="BU207" s="16"/>
      <c r="BV207" s="16"/>
      <c r="BW207" s="16"/>
      <c r="BX207" s="8"/>
      <c r="BY207" s="8"/>
      <c r="BZ207" s="16"/>
      <c r="CA207" s="16"/>
      <c r="CB207" s="16"/>
      <c r="CC207" s="16"/>
      <c r="CD207" s="16"/>
      <c r="CE207" s="16"/>
      <c r="CF207" s="6"/>
      <c r="CG207" s="18"/>
      <c r="CH207" s="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7"/>
    </row>
    <row r="208" spans="1:108" ht="12.75" customHeight="1" x14ac:dyDescent="0.2">
      <c r="A208" s="6" t="s">
        <v>227</v>
      </c>
      <c r="C208" s="6" t="s">
        <v>226</v>
      </c>
      <c r="E208" s="16">
        <v>1805863</v>
      </c>
      <c r="F208" s="16"/>
      <c r="G208" s="16">
        <v>18668450</v>
      </c>
      <c r="H208" s="16"/>
      <c r="I208" s="16">
        <f t="shared" si="74"/>
        <v>20474313</v>
      </c>
      <c r="J208" s="16"/>
      <c r="K208" s="16">
        <v>798348</v>
      </c>
      <c r="L208" s="16"/>
      <c r="M208" s="16">
        <v>4735027</v>
      </c>
      <c r="N208" s="16"/>
      <c r="O208" s="16">
        <f t="shared" si="75"/>
        <v>5533375</v>
      </c>
      <c r="P208" s="16"/>
      <c r="Q208" s="16">
        <v>13597353</v>
      </c>
      <c r="R208" s="16"/>
      <c r="S208" s="16">
        <v>0</v>
      </c>
      <c r="T208" s="16"/>
      <c r="U208" s="16">
        <v>1343585</v>
      </c>
      <c r="V208" s="16"/>
      <c r="W208" s="16">
        <f t="shared" si="71"/>
        <v>14940938</v>
      </c>
      <c r="X208" s="16"/>
      <c r="Y208" s="6" t="s">
        <v>227</v>
      </c>
      <c r="AA208" s="6" t="s">
        <v>226</v>
      </c>
      <c r="AB208" s="6"/>
      <c r="AC208" s="16">
        <v>3291984</v>
      </c>
      <c r="AD208" s="16"/>
      <c r="AE208" s="16">
        <f>3352813-892179</f>
        <v>2460634</v>
      </c>
      <c r="AF208" s="16"/>
      <c r="AG208" s="16">
        <v>892179</v>
      </c>
      <c r="AH208" s="16"/>
      <c r="AI208" s="8">
        <f t="shared" si="76"/>
        <v>-60829</v>
      </c>
      <c r="AJ208" s="8"/>
      <c r="AK208" s="16">
        <v>-96805</v>
      </c>
      <c r="AL208" s="8"/>
      <c r="AM208" s="16">
        <v>0</v>
      </c>
      <c r="AN208" s="16"/>
      <c r="AO208" s="16">
        <v>5479</v>
      </c>
      <c r="AP208" s="16"/>
      <c r="AQ208" s="16">
        <f>69568+74500</f>
        <v>144068</v>
      </c>
      <c r="AR208" s="16"/>
      <c r="AS208" s="8">
        <f t="shared" si="72"/>
        <v>-19045</v>
      </c>
      <c r="AT208" s="8"/>
      <c r="AU208" s="16">
        <v>0</v>
      </c>
      <c r="AV208" s="16"/>
      <c r="AW208" s="16">
        <v>0</v>
      </c>
      <c r="AX208" s="16"/>
      <c r="AY208" s="16">
        <f t="shared" si="73"/>
        <v>1007515</v>
      </c>
      <c r="AZ208" s="16"/>
      <c r="BA208" s="6" t="s">
        <v>227</v>
      </c>
      <c r="BC208" s="6" t="s">
        <v>226</v>
      </c>
      <c r="BD208" s="16"/>
      <c r="BE208" s="16">
        <f>4601097+470000</f>
        <v>5071097</v>
      </c>
      <c r="BF208" s="16"/>
      <c r="BG208" s="16">
        <v>0</v>
      </c>
      <c r="BH208" s="16"/>
      <c r="BI208" s="16">
        <v>0</v>
      </c>
      <c r="BJ208" s="16"/>
      <c r="BK208" s="16">
        <f>133930+954</f>
        <v>134884</v>
      </c>
      <c r="BL208" s="16"/>
      <c r="BM208" s="16">
        <f t="shared" si="77"/>
        <v>5205981</v>
      </c>
      <c r="BN208" s="17" t="s">
        <v>345</v>
      </c>
      <c r="BO208" s="6" t="s">
        <v>402</v>
      </c>
      <c r="BP208" s="6"/>
      <c r="BQ208" s="6"/>
      <c r="BR208" s="14"/>
      <c r="BS208" s="16"/>
      <c r="BT208" s="16"/>
      <c r="BU208" s="16"/>
      <c r="BV208" s="16"/>
      <c r="BW208" s="16"/>
      <c r="BX208" s="8"/>
      <c r="BY208" s="8"/>
      <c r="BZ208" s="16"/>
      <c r="CA208" s="16"/>
      <c r="CB208" s="16"/>
      <c r="CC208" s="16"/>
      <c r="CD208" s="16"/>
      <c r="CE208" s="16"/>
      <c r="CF208" s="6"/>
      <c r="CG208" s="18"/>
      <c r="CH208" s="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7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</row>
    <row r="209" spans="1:97" ht="12.75" hidden="1" customHeight="1" x14ac:dyDescent="0.2">
      <c r="A209" s="6" t="s">
        <v>228</v>
      </c>
      <c r="C209" s="6" t="s">
        <v>43</v>
      </c>
      <c r="E209" s="16">
        <v>0</v>
      </c>
      <c r="F209" s="16"/>
      <c r="G209" s="16"/>
      <c r="H209" s="16"/>
      <c r="I209" s="16">
        <f t="shared" si="74"/>
        <v>0</v>
      </c>
      <c r="J209" s="16"/>
      <c r="K209" s="16">
        <v>0</v>
      </c>
      <c r="L209" s="16"/>
      <c r="M209" s="16"/>
      <c r="N209" s="16"/>
      <c r="O209" s="16">
        <f t="shared" si="75"/>
        <v>0</v>
      </c>
      <c r="P209" s="16"/>
      <c r="Q209" s="16"/>
      <c r="R209" s="16"/>
      <c r="S209" s="16"/>
      <c r="T209" s="16"/>
      <c r="U209" s="16"/>
      <c r="V209" s="16"/>
      <c r="W209" s="16">
        <f t="shared" si="71"/>
        <v>0</v>
      </c>
      <c r="X209" s="16"/>
      <c r="Y209" s="6" t="s">
        <v>228</v>
      </c>
      <c r="AA209" s="6" t="s">
        <v>43</v>
      </c>
      <c r="AB209" s="6"/>
      <c r="AC209" s="16"/>
      <c r="AD209" s="16"/>
      <c r="AE209" s="16"/>
      <c r="AF209" s="16"/>
      <c r="AG209" s="16"/>
      <c r="AH209" s="16"/>
      <c r="AI209" s="8">
        <f t="shared" si="76"/>
        <v>0</v>
      </c>
      <c r="AJ209" s="8"/>
      <c r="AK209" s="16"/>
      <c r="AL209" s="8"/>
      <c r="AM209" s="16"/>
      <c r="AN209" s="16"/>
      <c r="AO209" s="16"/>
      <c r="AP209" s="16"/>
      <c r="AQ209" s="16"/>
      <c r="AR209" s="16"/>
      <c r="AS209" s="8">
        <f t="shared" si="72"/>
        <v>0</v>
      </c>
      <c r="AT209" s="8"/>
      <c r="AU209" s="16">
        <v>0</v>
      </c>
      <c r="AV209" s="16"/>
      <c r="AW209" s="16">
        <v>0</v>
      </c>
      <c r="AX209" s="16"/>
      <c r="AY209" s="16">
        <f t="shared" si="73"/>
        <v>0</v>
      </c>
      <c r="AZ209" s="16"/>
      <c r="BA209" s="6" t="s">
        <v>228</v>
      </c>
      <c r="BC209" s="6" t="s">
        <v>43</v>
      </c>
      <c r="BD209" s="16"/>
      <c r="BE209" s="16"/>
      <c r="BF209" s="16"/>
      <c r="BG209" s="16"/>
      <c r="BH209" s="16"/>
      <c r="BI209" s="16"/>
      <c r="BJ209" s="16"/>
      <c r="BK209" s="16"/>
      <c r="BL209" s="16"/>
      <c r="BM209" s="16">
        <f t="shared" si="77"/>
        <v>0</v>
      </c>
      <c r="BN209" s="17" t="s">
        <v>345</v>
      </c>
      <c r="BP209" s="18"/>
      <c r="BQ209" s="18"/>
      <c r="BR209" s="14"/>
      <c r="BS209" s="7"/>
      <c r="BT209" s="16"/>
      <c r="BU209" s="16"/>
      <c r="BV209" s="16"/>
      <c r="BW209" s="16"/>
      <c r="BX209" s="8"/>
      <c r="BY209" s="8"/>
      <c r="BZ209" s="16"/>
      <c r="CA209" s="16"/>
      <c r="CB209" s="16"/>
      <c r="CC209" s="16"/>
      <c r="CD209" s="16"/>
      <c r="CE209" s="16"/>
      <c r="CF209" s="6"/>
      <c r="CG209" s="18"/>
      <c r="CH209" s="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7"/>
    </row>
    <row r="210" spans="1:97" ht="12.75" hidden="1" customHeight="1" x14ac:dyDescent="0.2">
      <c r="A210" s="6" t="s">
        <v>229</v>
      </c>
      <c r="C210" s="6" t="s">
        <v>25</v>
      </c>
      <c r="E210" s="16">
        <v>0</v>
      </c>
      <c r="F210" s="16"/>
      <c r="G210" s="16"/>
      <c r="H210" s="16"/>
      <c r="I210" s="16">
        <f t="shared" si="74"/>
        <v>0</v>
      </c>
      <c r="J210" s="16"/>
      <c r="K210" s="16">
        <v>0</v>
      </c>
      <c r="L210" s="16"/>
      <c r="M210" s="16"/>
      <c r="N210" s="16"/>
      <c r="O210" s="16">
        <f t="shared" si="75"/>
        <v>0</v>
      </c>
      <c r="P210" s="16"/>
      <c r="Q210" s="16"/>
      <c r="R210" s="16"/>
      <c r="S210" s="16"/>
      <c r="T210" s="16"/>
      <c r="U210" s="16"/>
      <c r="V210" s="16"/>
      <c r="W210" s="16">
        <f t="shared" si="71"/>
        <v>0</v>
      </c>
      <c r="X210" s="16"/>
      <c r="Y210" s="6" t="s">
        <v>229</v>
      </c>
      <c r="AA210" s="6" t="s">
        <v>25</v>
      </c>
      <c r="AB210" s="6"/>
      <c r="AC210" s="16"/>
      <c r="AD210" s="16"/>
      <c r="AE210" s="16"/>
      <c r="AF210" s="16"/>
      <c r="AG210" s="16"/>
      <c r="AH210" s="16"/>
      <c r="AI210" s="8">
        <f t="shared" si="76"/>
        <v>0</v>
      </c>
      <c r="AJ210" s="8"/>
      <c r="AK210" s="16"/>
      <c r="AL210" s="8"/>
      <c r="AM210" s="16"/>
      <c r="AN210" s="16"/>
      <c r="AO210" s="16"/>
      <c r="AP210" s="16"/>
      <c r="AQ210" s="16"/>
      <c r="AR210" s="16"/>
      <c r="AS210" s="8">
        <f t="shared" si="72"/>
        <v>0</v>
      </c>
      <c r="AT210" s="8"/>
      <c r="AU210" s="16">
        <v>0</v>
      </c>
      <c r="AV210" s="16"/>
      <c r="AW210" s="16">
        <v>0</v>
      </c>
      <c r="AX210" s="16"/>
      <c r="AY210" s="16">
        <f t="shared" si="73"/>
        <v>0</v>
      </c>
      <c r="AZ210" s="16"/>
      <c r="BA210" s="6" t="s">
        <v>229</v>
      </c>
      <c r="BC210" s="6" t="s">
        <v>25</v>
      </c>
      <c r="BD210" s="16"/>
      <c r="BE210" s="16"/>
      <c r="BF210" s="16"/>
      <c r="BG210" s="16"/>
      <c r="BH210" s="16"/>
      <c r="BI210" s="16"/>
      <c r="BJ210" s="16"/>
      <c r="BK210" s="16"/>
      <c r="BL210" s="16"/>
      <c r="BM210" s="16">
        <f t="shared" si="77"/>
        <v>0</v>
      </c>
      <c r="BN210" s="17" t="s">
        <v>345</v>
      </c>
      <c r="BP210" s="18"/>
      <c r="BQ210" s="18"/>
      <c r="BR210" s="14"/>
      <c r="BS210" s="16"/>
      <c r="BT210" s="16"/>
      <c r="BU210" s="16"/>
      <c r="BV210" s="16"/>
      <c r="BX210" s="8"/>
      <c r="BY210" s="16"/>
      <c r="BZ210" s="16"/>
      <c r="CA210" s="16"/>
      <c r="CB210" s="16"/>
      <c r="CC210" s="16"/>
      <c r="CD210" s="16"/>
      <c r="CE210" s="16"/>
      <c r="CF210" s="6"/>
      <c r="CG210" s="18"/>
      <c r="CH210" s="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7"/>
    </row>
    <row r="211" spans="1:97" ht="12.75" hidden="1" customHeight="1" x14ac:dyDescent="0.2">
      <c r="A211" s="6" t="s">
        <v>230</v>
      </c>
      <c r="C211" s="6" t="s">
        <v>25</v>
      </c>
      <c r="E211" s="16">
        <v>0</v>
      </c>
      <c r="F211" s="16"/>
      <c r="G211" s="16"/>
      <c r="H211" s="16"/>
      <c r="I211" s="16">
        <f t="shared" si="74"/>
        <v>0</v>
      </c>
      <c r="J211" s="16"/>
      <c r="K211" s="16">
        <v>0</v>
      </c>
      <c r="L211" s="16"/>
      <c r="M211" s="16"/>
      <c r="N211" s="16"/>
      <c r="O211" s="16">
        <f t="shared" si="75"/>
        <v>0</v>
      </c>
      <c r="P211" s="16"/>
      <c r="Q211" s="16"/>
      <c r="R211" s="16"/>
      <c r="S211" s="16"/>
      <c r="T211" s="16"/>
      <c r="U211" s="16"/>
      <c r="V211" s="16"/>
      <c r="W211" s="16">
        <f t="shared" si="71"/>
        <v>0</v>
      </c>
      <c r="X211" s="16"/>
      <c r="Y211" s="6" t="s">
        <v>230</v>
      </c>
      <c r="AA211" s="6" t="s">
        <v>25</v>
      </c>
      <c r="AB211" s="6"/>
      <c r="AC211" s="16"/>
      <c r="AD211" s="16"/>
      <c r="AE211" s="16"/>
      <c r="AF211" s="16"/>
      <c r="AG211" s="16"/>
      <c r="AH211" s="16"/>
      <c r="AI211" s="8">
        <f t="shared" si="76"/>
        <v>0</v>
      </c>
      <c r="AJ211" s="8"/>
      <c r="AK211" s="16"/>
      <c r="AL211" s="8"/>
      <c r="AM211" s="16"/>
      <c r="AN211" s="16"/>
      <c r="AO211" s="16"/>
      <c r="AP211" s="16"/>
      <c r="AQ211" s="16"/>
      <c r="AR211" s="16"/>
      <c r="AS211" s="8">
        <f t="shared" si="72"/>
        <v>0</v>
      </c>
      <c r="AT211" s="8"/>
      <c r="AU211" s="16">
        <v>0</v>
      </c>
      <c r="AV211" s="16"/>
      <c r="AW211" s="16">
        <v>0</v>
      </c>
      <c r="AX211" s="16"/>
      <c r="AY211" s="16">
        <f t="shared" si="73"/>
        <v>0</v>
      </c>
      <c r="AZ211" s="16"/>
      <c r="BA211" s="6" t="s">
        <v>230</v>
      </c>
      <c r="BC211" s="6" t="s">
        <v>25</v>
      </c>
      <c r="BD211" s="16"/>
      <c r="BE211" s="16"/>
      <c r="BF211" s="16"/>
      <c r="BG211" s="16"/>
      <c r="BH211" s="16"/>
      <c r="BI211" s="16"/>
      <c r="BJ211" s="16"/>
      <c r="BK211" s="16"/>
      <c r="BL211" s="16"/>
      <c r="BM211" s="16">
        <f t="shared" si="77"/>
        <v>0</v>
      </c>
      <c r="BN211" s="17" t="s">
        <v>345</v>
      </c>
      <c r="BP211" s="18"/>
      <c r="BQ211" s="18"/>
      <c r="BR211" s="14"/>
      <c r="BS211" s="16"/>
      <c r="BT211" s="16"/>
      <c r="BU211" s="16"/>
      <c r="BV211" s="16"/>
      <c r="BW211" s="16"/>
      <c r="BX211" s="8"/>
      <c r="BY211" s="8"/>
      <c r="BZ211" s="16"/>
      <c r="CA211" s="16"/>
      <c r="CB211" s="16"/>
      <c r="CC211" s="16"/>
      <c r="CD211" s="16"/>
      <c r="CE211" s="16"/>
      <c r="CF211" s="6"/>
      <c r="CG211" s="18"/>
      <c r="CH211" s="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7"/>
    </row>
    <row r="212" spans="1:97" ht="12.75" customHeight="1" x14ac:dyDescent="0.2">
      <c r="A212" s="6" t="s">
        <v>231</v>
      </c>
      <c r="C212" s="6" t="s">
        <v>109</v>
      </c>
      <c r="E212" s="16">
        <v>4639804</v>
      </c>
      <c r="F212" s="16"/>
      <c r="G212" s="16">
        <v>35180386</v>
      </c>
      <c r="H212" s="16"/>
      <c r="I212" s="16">
        <f t="shared" si="74"/>
        <v>39820190</v>
      </c>
      <c r="J212" s="16"/>
      <c r="K212" s="16">
        <v>1073914</v>
      </c>
      <c r="L212" s="16"/>
      <c r="M212" s="16">
        <v>16536904</v>
      </c>
      <c r="N212" s="16"/>
      <c r="O212" s="16">
        <f t="shared" si="75"/>
        <v>17610818</v>
      </c>
      <c r="P212" s="16"/>
      <c r="Q212" s="16">
        <v>16549484</v>
      </c>
      <c r="R212" s="16"/>
      <c r="S212" s="16">
        <v>2093743</v>
      </c>
      <c r="T212" s="16"/>
      <c r="U212" s="16">
        <v>4507409</v>
      </c>
      <c r="V212" s="16"/>
      <c r="W212" s="16">
        <f t="shared" si="71"/>
        <v>23150636</v>
      </c>
      <c r="X212" s="16"/>
      <c r="Y212" s="6" t="s">
        <v>231</v>
      </c>
      <c r="AA212" s="6" t="s">
        <v>109</v>
      </c>
      <c r="AB212" s="6"/>
      <c r="AC212" s="16">
        <v>3847960</v>
      </c>
      <c r="AD212" s="16"/>
      <c r="AE212" s="16">
        <f>2475518-626005</f>
        <v>1849513</v>
      </c>
      <c r="AF212" s="16"/>
      <c r="AG212" s="16">
        <v>626005</v>
      </c>
      <c r="AH212" s="16"/>
      <c r="AI212" s="8">
        <f t="shared" si="76"/>
        <v>1372442</v>
      </c>
      <c r="AJ212" s="8"/>
      <c r="AK212" s="16">
        <v>-428853</v>
      </c>
      <c r="AL212" s="8"/>
      <c r="AM212" s="16">
        <v>0</v>
      </c>
      <c r="AN212" s="16"/>
      <c r="AO212" s="16">
        <v>90545</v>
      </c>
      <c r="AP212" s="16"/>
      <c r="AQ212" s="16">
        <v>401405</v>
      </c>
      <c r="AR212" s="16"/>
      <c r="AS212" s="8">
        <f t="shared" si="72"/>
        <v>1254449</v>
      </c>
      <c r="AT212" s="8"/>
      <c r="AU212" s="16">
        <v>0</v>
      </c>
      <c r="AV212" s="16"/>
      <c r="AW212" s="16">
        <v>0</v>
      </c>
      <c r="AX212" s="16"/>
      <c r="AY212" s="16">
        <f t="shared" si="73"/>
        <v>3565890</v>
      </c>
      <c r="AZ212" s="16"/>
      <c r="BA212" s="6" t="s">
        <v>231</v>
      </c>
      <c r="BC212" s="6" t="s">
        <v>109</v>
      </c>
      <c r="BD212" s="16"/>
      <c r="BE212" s="16">
        <v>0</v>
      </c>
      <c r="BF212" s="16"/>
      <c r="BG212" s="16">
        <f>16505606+972817</f>
        <v>17478423</v>
      </c>
      <c r="BH212" s="16"/>
      <c r="BI212" s="16">
        <v>0</v>
      </c>
      <c r="BJ212" s="16"/>
      <c r="BK212" s="16">
        <f>31298+6384</f>
        <v>37682</v>
      </c>
      <c r="BL212" s="16"/>
      <c r="BM212" s="16">
        <f t="shared" si="77"/>
        <v>17516105</v>
      </c>
      <c r="BN212" s="17" t="s">
        <v>345</v>
      </c>
      <c r="BP212" s="18"/>
      <c r="BQ212" s="18"/>
      <c r="BR212" s="14"/>
      <c r="BS212" s="16"/>
      <c r="BT212" s="16"/>
      <c r="BU212" s="16"/>
      <c r="BV212" s="16"/>
      <c r="BW212" s="16"/>
      <c r="BX212" s="8"/>
      <c r="BY212" s="8"/>
      <c r="BZ212" s="16"/>
      <c r="CA212" s="16"/>
      <c r="CB212" s="16"/>
      <c r="CC212" s="16"/>
      <c r="CD212" s="16"/>
      <c r="CE212" s="16"/>
      <c r="CF212" s="6"/>
      <c r="CG212" s="18"/>
      <c r="CH212" s="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7"/>
    </row>
    <row r="213" spans="1:97" ht="12.75" hidden="1" customHeight="1" x14ac:dyDescent="0.2">
      <c r="A213" s="6" t="s">
        <v>232</v>
      </c>
      <c r="C213" s="6" t="s">
        <v>43</v>
      </c>
      <c r="E213" s="16">
        <v>0</v>
      </c>
      <c r="F213" s="16"/>
      <c r="G213" s="16"/>
      <c r="H213" s="16"/>
      <c r="I213" s="16">
        <f t="shared" si="74"/>
        <v>0</v>
      </c>
      <c r="J213" s="16"/>
      <c r="K213" s="16">
        <v>0</v>
      </c>
      <c r="L213" s="16"/>
      <c r="M213" s="16"/>
      <c r="N213" s="16"/>
      <c r="O213" s="16">
        <f t="shared" si="75"/>
        <v>0</v>
      </c>
      <c r="P213" s="16"/>
      <c r="Q213" s="16"/>
      <c r="R213" s="16"/>
      <c r="S213" s="16"/>
      <c r="T213" s="16"/>
      <c r="U213" s="16"/>
      <c r="V213" s="16"/>
      <c r="W213" s="16">
        <f t="shared" si="71"/>
        <v>0</v>
      </c>
      <c r="X213" s="16"/>
      <c r="Y213" s="6" t="s">
        <v>232</v>
      </c>
      <c r="AA213" s="6" t="s">
        <v>43</v>
      </c>
      <c r="AB213" s="6"/>
      <c r="AC213" s="16"/>
      <c r="AD213" s="16"/>
      <c r="AE213" s="16"/>
      <c r="AF213" s="16"/>
      <c r="AG213" s="16"/>
      <c r="AH213" s="16"/>
      <c r="AI213" s="8">
        <f t="shared" si="76"/>
        <v>0</v>
      </c>
      <c r="AJ213" s="8"/>
      <c r="AK213" s="16"/>
      <c r="AL213" s="8"/>
      <c r="AM213" s="16"/>
      <c r="AN213" s="16"/>
      <c r="AO213" s="16"/>
      <c r="AP213" s="16"/>
      <c r="AQ213" s="16"/>
      <c r="AR213" s="16"/>
      <c r="AS213" s="8">
        <f t="shared" si="72"/>
        <v>0</v>
      </c>
      <c r="AT213" s="8"/>
      <c r="AU213" s="16">
        <v>0</v>
      </c>
      <c r="AV213" s="16"/>
      <c r="AW213" s="16">
        <v>0</v>
      </c>
      <c r="AX213" s="16"/>
      <c r="AY213" s="16">
        <f t="shared" si="73"/>
        <v>0</v>
      </c>
      <c r="AZ213" s="16"/>
      <c r="BA213" s="6" t="s">
        <v>232</v>
      </c>
      <c r="BC213" s="6" t="s">
        <v>43</v>
      </c>
      <c r="BD213" s="16"/>
      <c r="BE213" s="16"/>
      <c r="BF213" s="16"/>
      <c r="BG213" s="16"/>
      <c r="BH213" s="16"/>
      <c r="BI213" s="16"/>
      <c r="BJ213" s="16"/>
      <c r="BK213" s="16"/>
      <c r="BL213" s="16"/>
      <c r="BM213" s="16">
        <f t="shared" si="77"/>
        <v>0</v>
      </c>
      <c r="BN213" s="17" t="s">
        <v>345</v>
      </c>
      <c r="BP213" s="18"/>
      <c r="BQ213" s="18"/>
      <c r="BR213" s="14"/>
      <c r="BS213" s="16"/>
      <c r="BT213" s="16"/>
      <c r="BU213" s="16"/>
      <c r="BV213" s="16"/>
      <c r="BX213" s="8"/>
      <c r="BY213" s="16"/>
      <c r="BZ213" s="16"/>
      <c r="CA213" s="16"/>
      <c r="CB213" s="16"/>
      <c r="CC213" s="16"/>
      <c r="CD213" s="16"/>
      <c r="CE213" s="16"/>
      <c r="CF213" s="6"/>
      <c r="CG213" s="18"/>
      <c r="CH213" s="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7"/>
    </row>
    <row r="214" spans="1:97" ht="12.75" customHeight="1" x14ac:dyDescent="0.2">
      <c r="A214" s="6" t="s">
        <v>233</v>
      </c>
      <c r="C214" s="6" t="s">
        <v>181</v>
      </c>
      <c r="E214" s="16">
        <v>16880458</v>
      </c>
      <c r="F214" s="16"/>
      <c r="G214" s="16">
        <v>48751704</v>
      </c>
      <c r="H214" s="16"/>
      <c r="I214" s="16">
        <f t="shared" si="74"/>
        <v>65632162</v>
      </c>
      <c r="J214" s="16"/>
      <c r="K214" s="16">
        <v>3036357</v>
      </c>
      <c r="L214" s="16"/>
      <c r="M214" s="16">
        <v>19177289</v>
      </c>
      <c r="N214" s="16"/>
      <c r="O214" s="16">
        <f t="shared" si="75"/>
        <v>22213646</v>
      </c>
      <c r="P214" s="16"/>
      <c r="Q214" s="16">
        <v>31431899</v>
      </c>
      <c r="R214" s="16"/>
      <c r="S214" s="16">
        <v>0</v>
      </c>
      <c r="T214" s="16"/>
      <c r="U214" s="16">
        <v>12414771</v>
      </c>
      <c r="V214" s="16"/>
      <c r="W214" s="16">
        <f t="shared" si="71"/>
        <v>43846670</v>
      </c>
      <c r="X214" s="16"/>
      <c r="Y214" s="6" t="s">
        <v>233</v>
      </c>
      <c r="AA214" s="6" t="s">
        <v>181</v>
      </c>
      <c r="AB214" s="6"/>
      <c r="AC214" s="16">
        <v>10233113</v>
      </c>
      <c r="AD214" s="16"/>
      <c r="AE214" s="16">
        <f>9230383-3161166</f>
        <v>6069217</v>
      </c>
      <c r="AF214" s="16"/>
      <c r="AG214" s="16">
        <v>3161166</v>
      </c>
      <c r="AH214" s="16"/>
      <c r="AI214" s="8">
        <f t="shared" si="76"/>
        <v>1002730</v>
      </c>
      <c r="AJ214" s="8"/>
      <c r="AK214" s="16">
        <v>-567814</v>
      </c>
      <c r="AL214" s="8"/>
      <c r="AM214" s="16">
        <v>0</v>
      </c>
      <c r="AN214" s="16"/>
      <c r="AO214" s="16">
        <v>0</v>
      </c>
      <c r="AP214" s="16"/>
      <c r="AQ214" s="16">
        <v>2762450</v>
      </c>
      <c r="AR214" s="16"/>
      <c r="AS214" s="8">
        <f t="shared" ref="AS214:AS221" si="78">+AI214+AK214+AM214-AO214+AQ214</f>
        <v>3197366</v>
      </c>
      <c r="AT214" s="8"/>
      <c r="AU214" s="16">
        <v>0</v>
      </c>
      <c r="AV214" s="16"/>
      <c r="AW214" s="16">
        <v>0</v>
      </c>
      <c r="AX214" s="16"/>
      <c r="AY214" s="16">
        <f t="shared" si="73"/>
        <v>13844101</v>
      </c>
      <c r="AZ214" s="16"/>
      <c r="BA214" s="6" t="s">
        <v>233</v>
      </c>
      <c r="BC214" s="6" t="s">
        <v>181</v>
      </c>
      <c r="BD214" s="16"/>
      <c r="BE214" s="16">
        <f>18915628+1496361</f>
        <v>20411989</v>
      </c>
      <c r="BF214" s="16"/>
      <c r="BG214" s="16">
        <v>0</v>
      </c>
      <c r="BH214" s="16"/>
      <c r="BI214" s="16">
        <v>0</v>
      </c>
      <c r="BJ214" s="16"/>
      <c r="BK214" s="16">
        <f>261661+35000</f>
        <v>296661</v>
      </c>
      <c r="BL214" s="16"/>
      <c r="BM214" s="16">
        <f t="shared" si="77"/>
        <v>20708650</v>
      </c>
      <c r="BN214" s="17" t="s">
        <v>345</v>
      </c>
      <c r="BO214" s="18" t="s">
        <v>402</v>
      </c>
      <c r="BP214" s="18"/>
      <c r="BQ214" s="18"/>
      <c r="BR214" s="14"/>
      <c r="BS214" s="16"/>
      <c r="BT214" s="16"/>
      <c r="BU214" s="16"/>
      <c r="BV214" s="16"/>
      <c r="BW214" s="16"/>
      <c r="BX214" s="8"/>
      <c r="BY214" s="8"/>
      <c r="BZ214" s="16"/>
      <c r="CA214" s="16"/>
      <c r="CB214" s="16"/>
      <c r="CC214" s="16"/>
      <c r="CD214" s="16"/>
      <c r="CE214" s="16"/>
      <c r="CF214" s="6"/>
      <c r="CG214" s="18"/>
      <c r="CH214" s="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7"/>
    </row>
    <row r="215" spans="1:97" ht="12.75" hidden="1" customHeight="1" x14ac:dyDescent="0.2">
      <c r="A215" s="6" t="s">
        <v>234</v>
      </c>
      <c r="C215" s="6" t="s">
        <v>43</v>
      </c>
      <c r="E215" s="16">
        <v>0</v>
      </c>
      <c r="F215" s="16"/>
      <c r="G215" s="16"/>
      <c r="H215" s="16"/>
      <c r="I215" s="16">
        <f t="shared" si="74"/>
        <v>0</v>
      </c>
      <c r="J215" s="16"/>
      <c r="K215" s="16">
        <v>0</v>
      </c>
      <c r="L215" s="16"/>
      <c r="M215" s="16"/>
      <c r="N215" s="16"/>
      <c r="O215" s="16">
        <f t="shared" si="75"/>
        <v>0</v>
      </c>
      <c r="P215" s="16"/>
      <c r="Q215" s="16"/>
      <c r="R215" s="16"/>
      <c r="S215" s="16"/>
      <c r="T215" s="16"/>
      <c r="U215" s="16"/>
      <c r="V215" s="16"/>
      <c r="W215" s="16">
        <f t="shared" si="71"/>
        <v>0</v>
      </c>
      <c r="X215" s="16"/>
      <c r="Y215" s="6" t="s">
        <v>234</v>
      </c>
      <c r="AA215" s="6" t="s">
        <v>43</v>
      </c>
      <c r="AB215" s="6"/>
      <c r="AC215" s="16"/>
      <c r="AD215" s="16"/>
      <c r="AE215" s="16"/>
      <c r="AF215" s="16"/>
      <c r="AG215" s="16"/>
      <c r="AH215" s="16"/>
      <c r="AI215" s="8">
        <f t="shared" si="76"/>
        <v>0</v>
      </c>
      <c r="AJ215" s="8"/>
      <c r="AK215" s="16"/>
      <c r="AL215" s="8"/>
      <c r="AM215" s="16"/>
      <c r="AN215" s="16"/>
      <c r="AO215" s="16"/>
      <c r="AP215" s="16"/>
      <c r="AQ215" s="16"/>
      <c r="AR215" s="16"/>
      <c r="AS215" s="8">
        <f t="shared" si="78"/>
        <v>0</v>
      </c>
      <c r="AT215" s="8"/>
      <c r="AU215" s="16">
        <v>0</v>
      </c>
      <c r="AV215" s="16"/>
      <c r="AW215" s="16">
        <v>0</v>
      </c>
      <c r="AX215" s="16"/>
      <c r="AY215" s="16">
        <f t="shared" si="73"/>
        <v>0</v>
      </c>
      <c r="AZ215" s="16"/>
      <c r="BA215" s="6" t="s">
        <v>234</v>
      </c>
      <c r="BC215" s="6" t="s">
        <v>43</v>
      </c>
      <c r="BD215" s="16"/>
      <c r="BE215" s="16"/>
      <c r="BF215" s="16"/>
      <c r="BG215" s="16"/>
      <c r="BH215" s="16"/>
      <c r="BI215" s="16"/>
      <c r="BJ215" s="16"/>
      <c r="BK215" s="16"/>
      <c r="BL215" s="16"/>
      <c r="BM215" s="16">
        <f t="shared" si="77"/>
        <v>0</v>
      </c>
      <c r="BN215" s="17" t="s">
        <v>345</v>
      </c>
      <c r="BP215" s="18"/>
      <c r="BQ215" s="18"/>
      <c r="BR215" s="14"/>
      <c r="BS215" s="16"/>
      <c r="BT215" s="16"/>
      <c r="BU215" s="16"/>
      <c r="BV215" s="16"/>
      <c r="BW215" s="16"/>
      <c r="BX215" s="8"/>
      <c r="BY215" s="8"/>
      <c r="BZ215" s="16"/>
      <c r="CA215" s="16"/>
      <c r="CB215" s="16"/>
      <c r="CC215" s="16"/>
      <c r="CD215" s="16"/>
      <c r="CE215" s="16"/>
      <c r="CF215" s="6"/>
      <c r="CG215" s="18"/>
      <c r="CH215" s="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7"/>
    </row>
    <row r="216" spans="1:97" ht="12.75" hidden="1" customHeight="1" x14ac:dyDescent="0.2">
      <c r="A216" s="6" t="s">
        <v>235</v>
      </c>
      <c r="C216" s="6" t="s">
        <v>31</v>
      </c>
      <c r="E216" s="16">
        <v>312989</v>
      </c>
      <c r="F216" s="16"/>
      <c r="G216" s="16">
        <v>1998682</v>
      </c>
      <c r="H216" s="16"/>
      <c r="I216" s="16">
        <f t="shared" si="74"/>
        <v>2311671</v>
      </c>
      <c r="J216" s="16"/>
      <c r="K216" s="16">
        <v>158560</v>
      </c>
      <c r="L216" s="16"/>
      <c r="M216" s="16">
        <v>664764</v>
      </c>
      <c r="N216" s="16"/>
      <c r="O216" s="16">
        <f t="shared" si="75"/>
        <v>823324</v>
      </c>
      <c r="P216" s="16"/>
      <c r="Q216" s="16">
        <v>1087230</v>
      </c>
      <c r="R216" s="16"/>
      <c r="S216" s="16">
        <v>0</v>
      </c>
      <c r="T216" s="16"/>
      <c r="U216" s="16">
        <v>401117</v>
      </c>
      <c r="V216" s="16"/>
      <c r="W216" s="16">
        <f t="shared" si="71"/>
        <v>1488347</v>
      </c>
      <c r="X216" s="16"/>
      <c r="Y216" s="6" t="s">
        <v>235</v>
      </c>
      <c r="AA216" s="6" t="s">
        <v>31</v>
      </c>
      <c r="AB216" s="6"/>
      <c r="AC216" s="16">
        <v>807764</v>
      </c>
      <c r="AD216" s="16"/>
      <c r="AE216" s="16">
        <f>1037070-373138</f>
        <v>663932</v>
      </c>
      <c r="AF216" s="16"/>
      <c r="AG216" s="16">
        <v>373138</v>
      </c>
      <c r="AH216" s="16"/>
      <c r="AI216" s="8">
        <f t="shared" si="76"/>
        <v>-229306</v>
      </c>
      <c r="AJ216" s="8"/>
      <c r="AK216" s="16">
        <v>-34416</v>
      </c>
      <c r="AL216" s="8"/>
      <c r="AM216" s="16">
        <v>0</v>
      </c>
      <c r="AN216" s="16"/>
      <c r="AO216" s="16">
        <v>0</v>
      </c>
      <c r="AP216" s="16"/>
      <c r="AQ216" s="16">
        <v>0</v>
      </c>
      <c r="AR216" s="16"/>
      <c r="AS216" s="8">
        <f t="shared" si="78"/>
        <v>-263722</v>
      </c>
      <c r="AT216" s="8"/>
      <c r="AU216" s="16">
        <v>0</v>
      </c>
      <c r="AV216" s="16"/>
      <c r="AW216" s="16">
        <v>0</v>
      </c>
      <c r="AX216" s="16"/>
      <c r="AY216" s="16">
        <f t="shared" si="73"/>
        <v>154429</v>
      </c>
      <c r="AZ216" s="16"/>
      <c r="BA216" s="6" t="s">
        <v>235</v>
      </c>
      <c r="BC216" s="6" t="s">
        <v>31</v>
      </c>
      <c r="BD216" s="16"/>
      <c r="BE216" s="16">
        <f>263504+20000</f>
        <v>283504</v>
      </c>
      <c r="BF216" s="16"/>
      <c r="BG216" s="16">
        <v>0</v>
      </c>
      <c r="BH216" s="16"/>
      <c r="BI216" s="16">
        <f>113101+276384+2859+19869</f>
        <v>412213</v>
      </c>
      <c r="BJ216" s="16"/>
      <c r="BK216" s="16">
        <f>11775+1383</f>
        <v>13158</v>
      </c>
      <c r="BL216" s="16"/>
      <c r="BM216" s="16">
        <f t="shared" si="77"/>
        <v>708875</v>
      </c>
      <c r="BN216" s="17" t="s">
        <v>345</v>
      </c>
      <c r="BP216" s="18"/>
      <c r="BQ216" s="18"/>
      <c r="BR216" s="14"/>
      <c r="BS216" s="16"/>
      <c r="BT216" s="16"/>
      <c r="BU216" s="16"/>
      <c r="BV216" s="16"/>
      <c r="BW216" s="16"/>
      <c r="BX216" s="8"/>
      <c r="BY216" s="8"/>
      <c r="BZ216" s="16"/>
      <c r="CA216" s="16"/>
      <c r="CB216" s="16"/>
      <c r="CC216" s="16"/>
      <c r="CD216" s="16"/>
      <c r="CE216" s="16"/>
      <c r="CF216" s="6"/>
      <c r="CG216" s="18"/>
      <c r="CH216" s="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7"/>
    </row>
    <row r="217" spans="1:97" ht="12.75" customHeight="1" x14ac:dyDescent="0.2">
      <c r="A217" s="6" t="s">
        <v>236</v>
      </c>
      <c r="B217" s="18"/>
      <c r="C217" s="6" t="s">
        <v>237</v>
      </c>
      <c r="E217" s="16">
        <v>1941466</v>
      </c>
      <c r="F217" s="16"/>
      <c r="G217" s="16">
        <v>16434116</v>
      </c>
      <c r="H217" s="16"/>
      <c r="I217" s="16">
        <f t="shared" si="74"/>
        <v>18375582</v>
      </c>
      <c r="J217" s="16"/>
      <c r="K217" s="16">
        <v>571608</v>
      </c>
      <c r="L217" s="16"/>
      <c r="M217" s="16">
        <v>10026181</v>
      </c>
      <c r="N217" s="16"/>
      <c r="O217" s="16">
        <f t="shared" si="75"/>
        <v>10597789</v>
      </c>
      <c r="P217" s="16"/>
      <c r="Q217" s="16">
        <v>6003632</v>
      </c>
      <c r="R217" s="16"/>
      <c r="S217" s="16">
        <v>0</v>
      </c>
      <c r="T217" s="16"/>
      <c r="U217" s="16">
        <v>1774161</v>
      </c>
      <c r="V217" s="16"/>
      <c r="W217" s="16">
        <f t="shared" si="71"/>
        <v>7777793</v>
      </c>
      <c r="X217" s="16"/>
      <c r="Y217" s="6" t="s">
        <v>236</v>
      </c>
      <c r="AA217" s="6" t="s">
        <v>237</v>
      </c>
      <c r="AB217" s="6"/>
      <c r="AC217" s="16">
        <v>1974064</v>
      </c>
      <c r="AD217" s="16"/>
      <c r="AE217" s="16">
        <f>1706803-732855</f>
        <v>973948</v>
      </c>
      <c r="AF217" s="16"/>
      <c r="AG217" s="16">
        <v>732855</v>
      </c>
      <c r="AH217" s="16"/>
      <c r="AI217" s="8">
        <f t="shared" si="76"/>
        <v>267261</v>
      </c>
      <c r="AJ217" s="8"/>
      <c r="AK217" s="16">
        <v>-347755</v>
      </c>
      <c r="AL217" s="8"/>
      <c r="AM217" s="16">
        <v>0</v>
      </c>
      <c r="AN217" s="16"/>
      <c r="AO217" s="16">
        <v>0</v>
      </c>
      <c r="AP217" s="16"/>
      <c r="AQ217" s="16">
        <v>330000</v>
      </c>
      <c r="AR217" s="16"/>
      <c r="AS217" s="8">
        <f t="shared" si="78"/>
        <v>249506</v>
      </c>
      <c r="AT217" s="8"/>
      <c r="AU217" s="16">
        <v>0</v>
      </c>
      <c r="AV217" s="16"/>
      <c r="AW217" s="16">
        <v>0</v>
      </c>
      <c r="AX217" s="16"/>
      <c r="AY217" s="16">
        <f t="shared" si="73"/>
        <v>1369858</v>
      </c>
      <c r="AZ217" s="16"/>
      <c r="BA217" s="6" t="s">
        <v>236</v>
      </c>
      <c r="BC217" s="6" t="s">
        <v>237</v>
      </c>
      <c r="BD217" s="16"/>
      <c r="BE217" s="16">
        <v>0</v>
      </c>
      <c r="BF217" s="16"/>
      <c r="BG217" s="16">
        <v>0</v>
      </c>
      <c r="BH217" s="16"/>
      <c r="BI217" s="16">
        <f>9687205+277500+450779+15000</f>
        <v>10430484</v>
      </c>
      <c r="BJ217" s="16"/>
      <c r="BK217" s="16">
        <f>61476+17424</f>
        <v>78900</v>
      </c>
      <c r="BL217" s="16"/>
      <c r="BM217" s="16">
        <f t="shared" si="77"/>
        <v>10509384</v>
      </c>
      <c r="BN217" s="17" t="s">
        <v>345</v>
      </c>
      <c r="BP217" s="18"/>
      <c r="BQ217" s="18"/>
      <c r="BR217" s="14"/>
      <c r="BS217" s="16"/>
      <c r="BT217" s="16"/>
      <c r="BU217" s="16"/>
      <c r="BV217" s="16"/>
      <c r="BW217" s="16"/>
      <c r="BX217" s="8"/>
      <c r="BY217" s="8"/>
      <c r="BZ217" s="16"/>
      <c r="CA217" s="16"/>
      <c r="CB217" s="16"/>
      <c r="CC217" s="16"/>
      <c r="CD217" s="16"/>
      <c r="CE217" s="16"/>
      <c r="CF217" s="6"/>
      <c r="CG217" s="18"/>
      <c r="CH217" s="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7"/>
    </row>
    <row r="218" spans="1:97" ht="12.75" customHeight="1" x14ac:dyDescent="0.2">
      <c r="A218" s="6" t="s">
        <v>480</v>
      </c>
      <c r="C218" s="6" t="s">
        <v>247</v>
      </c>
      <c r="E218" s="16">
        <v>5977838</v>
      </c>
      <c r="F218" s="16"/>
      <c r="G218" s="16">
        <v>15962367</v>
      </c>
      <c r="H218" s="16"/>
      <c r="I218" s="16">
        <f t="shared" si="74"/>
        <v>21940205</v>
      </c>
      <c r="J218" s="16"/>
      <c r="K218" s="16">
        <v>895138</v>
      </c>
      <c r="L218" s="16"/>
      <c r="M218" s="16">
        <v>11740881</v>
      </c>
      <c r="N218" s="16"/>
      <c r="O218" s="16">
        <f t="shared" si="75"/>
        <v>12636019</v>
      </c>
      <c r="P218" s="16"/>
      <c r="Q218" s="16">
        <v>3946552</v>
      </c>
      <c r="R218" s="16"/>
      <c r="S218" s="16">
        <v>0</v>
      </c>
      <c r="T218" s="16"/>
      <c r="U218" s="16">
        <v>5357634</v>
      </c>
      <c r="V218" s="16"/>
      <c r="W218" s="16">
        <f t="shared" si="71"/>
        <v>9304186</v>
      </c>
      <c r="X218" s="16"/>
      <c r="Y218" s="6" t="s">
        <v>480</v>
      </c>
      <c r="AA218" s="6" t="s">
        <v>247</v>
      </c>
      <c r="AB218" s="6"/>
      <c r="AC218" s="16">
        <v>4426856</v>
      </c>
      <c r="AD218" s="16"/>
      <c r="AE218" s="16">
        <f>3430785-376679</f>
        <v>3054106</v>
      </c>
      <c r="AF218" s="16"/>
      <c r="AG218" s="16">
        <v>376679</v>
      </c>
      <c r="AH218" s="16"/>
      <c r="AI218" s="8">
        <f t="shared" si="76"/>
        <v>996071</v>
      </c>
      <c r="AJ218" s="8"/>
      <c r="AK218" s="16">
        <v>-458881</v>
      </c>
      <c r="AL218" s="8"/>
      <c r="AM218" s="16">
        <v>0</v>
      </c>
      <c r="AN218" s="16"/>
      <c r="AO218" s="16">
        <v>0</v>
      </c>
      <c r="AP218" s="16"/>
      <c r="AQ218" s="16">
        <v>8998</v>
      </c>
      <c r="AR218" s="16"/>
      <c r="AS218" s="8">
        <f t="shared" si="78"/>
        <v>546188</v>
      </c>
      <c r="AT218" s="8"/>
      <c r="AU218" s="16">
        <v>0</v>
      </c>
      <c r="AV218" s="16"/>
      <c r="AW218" s="16">
        <v>0</v>
      </c>
      <c r="AX218" s="16"/>
      <c r="AY218" s="16">
        <f t="shared" si="73"/>
        <v>5082700</v>
      </c>
      <c r="AZ218" s="16"/>
      <c r="BA218" s="6" t="s">
        <v>480</v>
      </c>
      <c r="BC218" s="6" t="s">
        <v>247</v>
      </c>
      <c r="BD218" s="16"/>
      <c r="BE218" s="16">
        <f>937750+66000</f>
        <v>1003750</v>
      </c>
      <c r="BF218" s="16"/>
      <c r="BG218" s="16">
        <v>0</v>
      </c>
      <c r="BH218" s="16"/>
      <c r="BI218" s="16">
        <f>10664063+23015+35330+18642+23015+248000</f>
        <v>11012065</v>
      </c>
      <c r="BJ218" s="16"/>
      <c r="BK218" s="16">
        <f>8203+80723</f>
        <v>88926</v>
      </c>
      <c r="BL218" s="16"/>
      <c r="BM218" s="16">
        <f t="shared" si="77"/>
        <v>12104741</v>
      </c>
      <c r="BN218" s="17" t="s">
        <v>345</v>
      </c>
      <c r="BP218" s="18"/>
      <c r="BQ218" s="18"/>
      <c r="BR218" s="14"/>
      <c r="BS218" s="16"/>
      <c r="BT218" s="16"/>
      <c r="BU218" s="16"/>
      <c r="BV218" s="16"/>
      <c r="BW218" s="16"/>
      <c r="BX218" s="8"/>
      <c r="BY218" s="8"/>
      <c r="BZ218" s="16"/>
      <c r="CA218" s="16"/>
      <c r="CB218" s="16"/>
      <c r="CC218" s="16"/>
      <c r="CD218" s="16"/>
      <c r="CE218" s="16"/>
      <c r="CF218" s="7"/>
      <c r="CG218" s="18"/>
      <c r="CH218" s="7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7"/>
    </row>
    <row r="219" spans="1:97" ht="12.75" hidden="1" customHeight="1" x14ac:dyDescent="0.2">
      <c r="A219" s="6" t="s">
        <v>238</v>
      </c>
      <c r="C219" s="6" t="s">
        <v>11</v>
      </c>
      <c r="E219" s="16">
        <v>0</v>
      </c>
      <c r="F219" s="16"/>
      <c r="G219" s="16"/>
      <c r="H219" s="16"/>
      <c r="I219" s="16">
        <f t="shared" si="74"/>
        <v>0</v>
      </c>
      <c r="J219" s="16"/>
      <c r="K219" s="16">
        <v>0</v>
      </c>
      <c r="L219" s="16"/>
      <c r="M219" s="16"/>
      <c r="N219" s="16"/>
      <c r="O219" s="16">
        <f t="shared" si="75"/>
        <v>0</v>
      </c>
      <c r="P219" s="16"/>
      <c r="Q219" s="16"/>
      <c r="R219" s="16"/>
      <c r="S219" s="16"/>
      <c r="T219" s="16"/>
      <c r="U219" s="16"/>
      <c r="V219" s="16"/>
      <c r="W219" s="16">
        <f t="shared" si="71"/>
        <v>0</v>
      </c>
      <c r="X219" s="16"/>
      <c r="Y219" s="6" t="s">
        <v>238</v>
      </c>
      <c r="AA219" s="6" t="s">
        <v>11</v>
      </c>
      <c r="AB219" s="6"/>
      <c r="AC219" s="16"/>
      <c r="AD219" s="16"/>
      <c r="AE219" s="16"/>
      <c r="AF219" s="16"/>
      <c r="AG219" s="16"/>
      <c r="AH219" s="16"/>
      <c r="AI219" s="8">
        <f t="shared" si="76"/>
        <v>0</v>
      </c>
      <c r="AJ219" s="8"/>
      <c r="AK219" s="16"/>
      <c r="AL219" s="8"/>
      <c r="AM219" s="16"/>
      <c r="AN219" s="16"/>
      <c r="AO219" s="16"/>
      <c r="AP219" s="16"/>
      <c r="AQ219" s="16"/>
      <c r="AR219" s="16"/>
      <c r="AS219" s="8">
        <f t="shared" si="78"/>
        <v>0</v>
      </c>
      <c r="AT219" s="8"/>
      <c r="AU219" s="16">
        <v>0</v>
      </c>
      <c r="AV219" s="16"/>
      <c r="AW219" s="16">
        <v>0</v>
      </c>
      <c r="AX219" s="16"/>
      <c r="AY219" s="16">
        <f t="shared" si="73"/>
        <v>0</v>
      </c>
      <c r="AZ219" s="16"/>
      <c r="BA219" s="6" t="s">
        <v>238</v>
      </c>
      <c r="BC219" s="6" t="s">
        <v>11</v>
      </c>
      <c r="BD219" s="16"/>
      <c r="BE219" s="16"/>
      <c r="BF219" s="16"/>
      <c r="BG219" s="16"/>
      <c r="BH219" s="16"/>
      <c r="BI219" s="16"/>
      <c r="BJ219" s="16"/>
      <c r="BK219" s="16"/>
      <c r="BL219" s="16"/>
      <c r="BM219" s="16">
        <f t="shared" si="77"/>
        <v>0</v>
      </c>
      <c r="BN219" s="17" t="s">
        <v>345</v>
      </c>
      <c r="BP219" s="18"/>
      <c r="BQ219" s="18"/>
      <c r="BR219" s="14"/>
      <c r="BS219" s="16"/>
      <c r="BT219" s="16"/>
      <c r="BU219" s="16"/>
      <c r="BV219" s="16"/>
      <c r="BW219" s="16"/>
      <c r="BX219" s="8"/>
      <c r="BY219" s="8"/>
      <c r="BZ219" s="16"/>
      <c r="CA219" s="16"/>
      <c r="CB219" s="16"/>
      <c r="CC219" s="16"/>
      <c r="CD219" s="16"/>
      <c r="CE219" s="16"/>
      <c r="CF219" s="7"/>
      <c r="CG219" s="18"/>
      <c r="CH219" s="7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7"/>
    </row>
    <row r="220" spans="1:97" ht="12.75" hidden="1" customHeight="1" x14ac:dyDescent="0.2">
      <c r="A220" s="6" t="s">
        <v>239</v>
      </c>
      <c r="C220" s="6" t="s">
        <v>20</v>
      </c>
      <c r="E220" s="16">
        <v>0</v>
      </c>
      <c r="F220" s="16"/>
      <c r="G220" s="16"/>
      <c r="H220" s="16"/>
      <c r="I220" s="16">
        <f t="shared" si="74"/>
        <v>0</v>
      </c>
      <c r="J220" s="16"/>
      <c r="K220" s="16">
        <v>0</v>
      </c>
      <c r="L220" s="16"/>
      <c r="M220" s="16"/>
      <c r="N220" s="16"/>
      <c r="O220" s="16">
        <f t="shared" si="75"/>
        <v>0</v>
      </c>
      <c r="P220" s="16"/>
      <c r="Q220" s="16"/>
      <c r="R220" s="16"/>
      <c r="S220" s="16"/>
      <c r="T220" s="16"/>
      <c r="U220" s="16"/>
      <c r="V220" s="16"/>
      <c r="W220" s="16">
        <f t="shared" si="71"/>
        <v>0</v>
      </c>
      <c r="X220" s="16"/>
      <c r="Y220" s="6" t="s">
        <v>239</v>
      </c>
      <c r="AA220" s="6" t="s">
        <v>20</v>
      </c>
      <c r="AB220" s="6"/>
      <c r="AC220" s="16"/>
      <c r="AD220" s="16"/>
      <c r="AE220" s="16"/>
      <c r="AF220" s="16"/>
      <c r="AG220" s="16"/>
      <c r="AH220" s="16"/>
      <c r="AI220" s="8">
        <f t="shared" si="76"/>
        <v>0</v>
      </c>
      <c r="AJ220" s="8"/>
      <c r="AK220" s="16"/>
      <c r="AL220" s="8"/>
      <c r="AM220" s="16"/>
      <c r="AN220" s="16"/>
      <c r="AO220" s="16"/>
      <c r="AP220" s="16"/>
      <c r="AQ220" s="16"/>
      <c r="AR220" s="16"/>
      <c r="AS220" s="8">
        <f t="shared" si="78"/>
        <v>0</v>
      </c>
      <c r="AT220" s="8"/>
      <c r="AU220" s="16">
        <v>0</v>
      </c>
      <c r="AV220" s="16"/>
      <c r="AW220" s="16">
        <v>0</v>
      </c>
      <c r="AX220" s="16"/>
      <c r="AY220" s="16">
        <f t="shared" si="73"/>
        <v>0</v>
      </c>
      <c r="AZ220" s="16"/>
      <c r="BA220" s="6" t="s">
        <v>239</v>
      </c>
      <c r="BC220" s="6" t="s">
        <v>20</v>
      </c>
      <c r="BD220" s="16"/>
      <c r="BE220" s="16"/>
      <c r="BF220" s="16"/>
      <c r="BG220" s="16"/>
      <c r="BH220" s="16"/>
      <c r="BI220" s="16"/>
      <c r="BJ220" s="16"/>
      <c r="BK220" s="16"/>
      <c r="BL220" s="16"/>
      <c r="BM220" s="16">
        <f t="shared" si="77"/>
        <v>0</v>
      </c>
      <c r="BN220" s="17" t="s">
        <v>345</v>
      </c>
      <c r="BP220" s="18"/>
      <c r="BQ220" s="18"/>
      <c r="BR220" s="14"/>
      <c r="BS220" s="16"/>
      <c r="BT220" s="16"/>
      <c r="BU220" s="16"/>
      <c r="BV220" s="16"/>
      <c r="BW220" s="16"/>
      <c r="BX220" s="8"/>
      <c r="BY220" s="8"/>
      <c r="BZ220" s="16"/>
      <c r="CA220" s="16"/>
      <c r="CB220" s="16"/>
      <c r="CC220" s="16"/>
      <c r="CD220" s="16"/>
      <c r="CE220" s="16"/>
      <c r="CF220" s="6"/>
      <c r="CG220" s="18"/>
      <c r="CH220" s="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7"/>
    </row>
    <row r="221" spans="1:97" ht="12.75" customHeight="1" x14ac:dyDescent="0.2">
      <c r="A221" s="6" t="s">
        <v>240</v>
      </c>
      <c r="C221" s="6" t="s">
        <v>25</v>
      </c>
      <c r="E221" s="16">
        <v>7482993</v>
      </c>
      <c r="F221" s="16"/>
      <c r="G221" s="16">
        <v>47188109</v>
      </c>
      <c r="H221" s="16"/>
      <c r="I221" s="16">
        <f t="shared" si="74"/>
        <v>54671102</v>
      </c>
      <c r="J221" s="16"/>
      <c r="K221" s="16">
        <v>867335</v>
      </c>
      <c r="L221" s="16"/>
      <c r="M221" s="16">
        <v>3259938</v>
      </c>
      <c r="N221" s="16"/>
      <c r="O221" s="16">
        <f t="shared" si="75"/>
        <v>4127273</v>
      </c>
      <c r="P221" s="16"/>
      <c r="Q221" s="16">
        <v>43649981</v>
      </c>
      <c r="R221" s="16"/>
      <c r="S221" s="16">
        <v>0</v>
      </c>
      <c r="T221" s="16"/>
      <c r="U221" s="16">
        <v>6893848</v>
      </c>
      <c r="V221" s="16"/>
      <c r="W221" s="16">
        <f t="shared" si="71"/>
        <v>50543829</v>
      </c>
      <c r="X221" s="16"/>
      <c r="Y221" s="6" t="s">
        <v>240</v>
      </c>
      <c r="AA221" s="6" t="s">
        <v>25</v>
      </c>
      <c r="AB221" s="6"/>
      <c r="AC221" s="16">
        <v>5688046</v>
      </c>
      <c r="AD221" s="16"/>
      <c r="AE221" s="16">
        <f>6572115-2257474</f>
        <v>4314641</v>
      </c>
      <c r="AF221" s="16"/>
      <c r="AG221" s="16">
        <v>2257474</v>
      </c>
      <c r="AH221" s="16"/>
      <c r="AI221" s="8">
        <f t="shared" si="76"/>
        <v>-884069</v>
      </c>
      <c r="AJ221" s="8"/>
      <c r="AK221" s="16">
        <v>-116473</v>
      </c>
      <c r="AL221" s="8"/>
      <c r="AM221" s="16">
        <v>0</v>
      </c>
      <c r="AN221" s="16"/>
      <c r="AO221" s="16">
        <v>0</v>
      </c>
      <c r="AP221" s="16"/>
      <c r="AQ221" s="16">
        <f>902868+5235+193000</f>
        <v>1101103</v>
      </c>
      <c r="AR221" s="16"/>
      <c r="AS221" s="8">
        <f t="shared" si="78"/>
        <v>100561</v>
      </c>
      <c r="AT221" s="8"/>
      <c r="AU221" s="16">
        <v>0</v>
      </c>
      <c r="AV221" s="16"/>
      <c r="AW221" s="16">
        <v>0</v>
      </c>
      <c r="AX221" s="16"/>
      <c r="AY221" s="16">
        <f t="shared" si="73"/>
        <v>6615658</v>
      </c>
      <c r="AZ221" s="16"/>
      <c r="BA221" s="6" t="s">
        <v>240</v>
      </c>
      <c r="BC221" s="6" t="s">
        <v>25</v>
      </c>
      <c r="BD221" s="16"/>
      <c r="BE221" s="16">
        <f>210000+205000</f>
        <v>415000</v>
      </c>
      <c r="BF221" s="16"/>
      <c r="BG221" s="16">
        <v>0</v>
      </c>
      <c r="BH221" s="16"/>
      <c r="BI221" s="16">
        <f>2919553+203575</f>
        <v>3123128</v>
      </c>
      <c r="BJ221" s="16"/>
      <c r="BK221" s="16">
        <f>134795+130385</f>
        <v>265180</v>
      </c>
      <c r="BL221" s="16"/>
      <c r="BM221" s="16">
        <f t="shared" si="77"/>
        <v>3803308</v>
      </c>
      <c r="BN221" s="17" t="s">
        <v>345</v>
      </c>
      <c r="BP221" s="18"/>
      <c r="BQ221" s="18"/>
      <c r="BR221" s="14"/>
      <c r="BS221" s="16"/>
      <c r="BT221" s="16"/>
      <c r="BU221" s="16"/>
      <c r="BV221" s="16"/>
      <c r="BW221" s="16"/>
      <c r="BX221" s="8"/>
      <c r="BY221" s="8"/>
      <c r="BZ221" s="16"/>
      <c r="CA221" s="16"/>
      <c r="CB221" s="16"/>
      <c r="CC221" s="16"/>
      <c r="CD221" s="16"/>
      <c r="CE221" s="16"/>
      <c r="CF221" s="6"/>
      <c r="CG221" s="18"/>
      <c r="CH221" s="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7"/>
    </row>
    <row r="222" spans="1:97" ht="12.75" customHeight="1" x14ac:dyDescent="0.2">
      <c r="A222" s="6" t="s">
        <v>510</v>
      </c>
      <c r="B222" s="18"/>
      <c r="C222" s="6" t="s">
        <v>59</v>
      </c>
      <c r="E222" s="16">
        <v>291020</v>
      </c>
      <c r="F222" s="16"/>
      <c r="G222" s="16">
        <v>0</v>
      </c>
      <c r="H222" s="16"/>
      <c r="I222" s="16">
        <f t="shared" ref="I222" si="79">+E222+G222</f>
        <v>291020</v>
      </c>
      <c r="J222" s="16"/>
      <c r="K222" s="16">
        <v>0</v>
      </c>
      <c r="L222" s="16"/>
      <c r="M222" s="16">
        <v>0</v>
      </c>
      <c r="N222" s="16"/>
      <c r="O222" s="16">
        <f t="shared" ref="O222" si="80">+K222+M222</f>
        <v>0</v>
      </c>
      <c r="P222" s="16"/>
      <c r="Q222" s="16">
        <v>0</v>
      </c>
      <c r="R222" s="16"/>
      <c r="S222" s="16">
        <v>0</v>
      </c>
      <c r="T222" s="16"/>
      <c r="U222" s="16">
        <v>291020</v>
      </c>
      <c r="V222" s="16"/>
      <c r="W222" s="16">
        <f t="shared" ref="W222" si="81">SUM(Q222:U222)</f>
        <v>291020</v>
      </c>
      <c r="X222" s="16"/>
      <c r="Y222" s="6" t="s">
        <v>510</v>
      </c>
      <c r="AA222" s="6" t="s">
        <v>59</v>
      </c>
      <c r="AB222" s="6"/>
      <c r="AC222" s="16">
        <v>946647</v>
      </c>
      <c r="AD222" s="16"/>
      <c r="AE222" s="16">
        <v>2448277</v>
      </c>
      <c r="AF222" s="16"/>
      <c r="AG222" s="16">
        <v>0</v>
      </c>
      <c r="AH222" s="16"/>
      <c r="AI222" s="8">
        <f t="shared" ref="AI222" si="82">+AC222-AE222-AG222</f>
        <v>-1501630</v>
      </c>
      <c r="AJ222" s="8"/>
      <c r="AK222" s="16">
        <v>1395250</v>
      </c>
      <c r="AL222" s="8"/>
      <c r="AM222" s="16">
        <v>0</v>
      </c>
      <c r="AN222" s="16"/>
      <c r="AO222" s="16">
        <v>0</v>
      </c>
      <c r="AP222" s="16"/>
      <c r="AQ222" s="16">
        <v>0</v>
      </c>
      <c r="AR222" s="16"/>
      <c r="AS222" s="8">
        <f t="shared" ref="AS222" si="83">+AI222+AK222+AM222-AO222+AQ222</f>
        <v>-106380</v>
      </c>
      <c r="AT222" s="8"/>
      <c r="AU222" s="16">
        <v>0</v>
      </c>
      <c r="AV222" s="16"/>
      <c r="AW222" s="16">
        <v>0</v>
      </c>
      <c r="AX222" s="16"/>
      <c r="AY222" s="16">
        <f t="shared" si="73"/>
        <v>291020</v>
      </c>
      <c r="AZ222" s="16"/>
      <c r="BA222" s="6" t="s">
        <v>510</v>
      </c>
      <c r="BC222" s="6" t="s">
        <v>59</v>
      </c>
      <c r="BD222" s="16"/>
      <c r="BE222" s="16">
        <v>0</v>
      </c>
      <c r="BF222" s="16"/>
      <c r="BG222" s="16">
        <v>0</v>
      </c>
      <c r="BH222" s="16"/>
      <c r="BI222" s="16">
        <v>0</v>
      </c>
      <c r="BJ222" s="16"/>
      <c r="BK222" s="16">
        <v>0</v>
      </c>
      <c r="BL222" s="16"/>
      <c r="BM222" s="16">
        <f t="shared" ref="BM222" si="84">SUM(BE222:BK222)</f>
        <v>0</v>
      </c>
      <c r="BN222" s="17" t="s">
        <v>345</v>
      </c>
      <c r="BO222" s="18" t="s">
        <v>402</v>
      </c>
      <c r="BP222" s="18"/>
      <c r="BQ222" s="18"/>
      <c r="BR222" s="14"/>
      <c r="BS222" s="16"/>
      <c r="BT222" s="16"/>
      <c r="BU222" s="16"/>
      <c r="BV222" s="16"/>
      <c r="BW222" s="16"/>
      <c r="BX222" s="8"/>
      <c r="BY222" s="8"/>
      <c r="BZ222" s="16"/>
      <c r="CA222" s="16"/>
      <c r="CB222" s="16"/>
      <c r="CC222" s="16"/>
      <c r="CD222" s="16"/>
      <c r="CE222" s="16"/>
      <c r="CF222" s="6"/>
      <c r="CG222" s="18"/>
      <c r="CH222" s="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7"/>
    </row>
    <row r="223" spans="1:97" ht="12.75" customHeight="1" x14ac:dyDescent="0.2">
      <c r="A223" s="6" t="s">
        <v>241</v>
      </c>
      <c r="B223" s="18"/>
      <c r="C223" s="6" t="s">
        <v>161</v>
      </c>
      <c r="E223" s="16">
        <v>1681866</v>
      </c>
      <c r="F223" s="16"/>
      <c r="G223" s="16">
        <v>10398984</v>
      </c>
      <c r="H223" s="16"/>
      <c r="I223" s="16">
        <f>+E223+G223</f>
        <v>12080850</v>
      </c>
      <c r="J223" s="16"/>
      <c r="K223" s="16">
        <v>166789</v>
      </c>
      <c r="L223" s="16"/>
      <c r="M223" s="16">
        <v>87789</v>
      </c>
      <c r="N223" s="16"/>
      <c r="O223" s="16">
        <f>+K223+M223</f>
        <v>254578</v>
      </c>
      <c r="P223" s="16"/>
      <c r="Q223" s="16">
        <v>10398984</v>
      </c>
      <c r="R223" s="16"/>
      <c r="S223" s="16">
        <v>0</v>
      </c>
      <c r="T223" s="16"/>
      <c r="U223" s="16">
        <v>1427288</v>
      </c>
      <c r="V223" s="16"/>
      <c r="W223" s="16">
        <f t="shared" si="71"/>
        <v>11826272</v>
      </c>
      <c r="X223" s="16"/>
      <c r="Y223" s="6" t="s">
        <v>241</v>
      </c>
      <c r="AA223" s="6" t="s">
        <v>161</v>
      </c>
      <c r="AB223" s="6"/>
      <c r="AC223" s="16">
        <v>2236763</v>
      </c>
      <c r="AD223" s="16"/>
      <c r="AE223" s="16">
        <f>2201150-460724</f>
        <v>1740426</v>
      </c>
      <c r="AF223" s="16"/>
      <c r="AG223" s="16">
        <v>460724</v>
      </c>
      <c r="AH223" s="16"/>
      <c r="AI223" s="8">
        <f>+AC223-AE223-AG223</f>
        <v>35613</v>
      </c>
      <c r="AJ223" s="8"/>
      <c r="AK223" s="16">
        <v>12040</v>
      </c>
      <c r="AL223" s="8"/>
      <c r="AM223" s="16">
        <v>0</v>
      </c>
      <c r="AN223" s="16"/>
      <c r="AO223" s="16">
        <v>0</v>
      </c>
      <c r="AP223" s="16"/>
      <c r="AQ223" s="16">
        <v>0</v>
      </c>
      <c r="AR223" s="16"/>
      <c r="AS223" s="8">
        <f>+AI223+AK223+AM223-AO223+AQ223</f>
        <v>47653</v>
      </c>
      <c r="AT223" s="8"/>
      <c r="AU223" s="16">
        <v>0</v>
      </c>
      <c r="AV223" s="16"/>
      <c r="AW223" s="16">
        <v>0</v>
      </c>
      <c r="AX223" s="16"/>
      <c r="AY223" s="16">
        <f>+E223-K223</f>
        <v>1515077</v>
      </c>
      <c r="AZ223" s="16"/>
      <c r="BA223" s="6" t="s">
        <v>241</v>
      </c>
      <c r="BC223" s="6" t="s">
        <v>161</v>
      </c>
      <c r="BD223" s="16"/>
      <c r="BE223" s="16">
        <v>0</v>
      </c>
      <c r="BF223" s="16"/>
      <c r="BG223" s="16">
        <v>0</v>
      </c>
      <c r="BH223" s="16"/>
      <c r="BI223" s="16">
        <v>0</v>
      </c>
      <c r="BJ223" s="16"/>
      <c r="BK223" s="16">
        <v>87789</v>
      </c>
      <c r="BL223" s="16"/>
      <c r="BM223" s="16">
        <f t="shared" ref="BM223" si="85">SUM(BE223:BK223)</f>
        <v>87789</v>
      </c>
      <c r="BN223" s="17" t="s">
        <v>345</v>
      </c>
      <c r="BO223" s="18" t="s">
        <v>402</v>
      </c>
      <c r="BP223" s="18"/>
      <c r="BQ223" s="18"/>
      <c r="BR223" s="14"/>
      <c r="BS223" s="16"/>
      <c r="BT223" s="16"/>
      <c r="BU223" s="16"/>
      <c r="BV223" s="16"/>
      <c r="BW223" s="16"/>
      <c r="BX223" s="8"/>
      <c r="BY223" s="8"/>
      <c r="BZ223" s="16"/>
      <c r="CA223" s="16"/>
      <c r="CB223" s="16"/>
      <c r="CC223" s="16"/>
      <c r="CD223" s="16"/>
      <c r="CE223" s="16"/>
      <c r="CF223" s="6"/>
      <c r="CG223" s="18"/>
      <c r="CH223" s="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7"/>
    </row>
    <row r="224" spans="1:97" ht="12.75" customHeight="1" x14ac:dyDescent="0.2">
      <c r="A224" s="6" t="s">
        <v>242</v>
      </c>
      <c r="B224" s="20"/>
      <c r="C224" s="6" t="s">
        <v>11</v>
      </c>
      <c r="E224" s="16">
        <v>3740892</v>
      </c>
      <c r="F224" s="16"/>
      <c r="G224" s="16">
        <v>4718039</v>
      </c>
      <c r="H224" s="16"/>
      <c r="I224" s="16">
        <f>+E224+G224</f>
        <v>8458931</v>
      </c>
      <c r="J224" s="16"/>
      <c r="K224" s="16">
        <v>987933</v>
      </c>
      <c r="L224" s="16"/>
      <c r="M224" s="16">
        <v>134115</v>
      </c>
      <c r="N224" s="16"/>
      <c r="O224" s="16">
        <f>+K224+M224</f>
        <v>1122048</v>
      </c>
      <c r="P224" s="16"/>
      <c r="Q224" s="16">
        <v>4559000</v>
      </c>
      <c r="R224" s="16"/>
      <c r="S224" s="16">
        <v>0</v>
      </c>
      <c r="T224" s="16"/>
      <c r="U224" s="16">
        <v>2777883</v>
      </c>
      <c r="V224" s="16"/>
      <c r="W224" s="16">
        <f t="shared" si="71"/>
        <v>7336883</v>
      </c>
      <c r="X224" s="16"/>
      <c r="Y224" s="6" t="s">
        <v>242</v>
      </c>
      <c r="AA224" s="6" t="s">
        <v>11</v>
      </c>
      <c r="AB224" s="6"/>
      <c r="AC224" s="16">
        <v>2924921</v>
      </c>
      <c r="AD224" s="16"/>
      <c r="AE224" s="16">
        <f>4097204-220438</f>
        <v>3876766</v>
      </c>
      <c r="AF224" s="16"/>
      <c r="AG224" s="16">
        <v>220438</v>
      </c>
      <c r="AH224" s="16"/>
      <c r="AI224" s="8">
        <f>+AC224-AE224-AG224</f>
        <v>-1172283</v>
      </c>
      <c r="AJ224" s="8"/>
      <c r="AK224" s="16">
        <v>-13495</v>
      </c>
      <c r="AL224" s="8"/>
      <c r="AM224" s="16">
        <v>0</v>
      </c>
      <c r="AN224" s="16"/>
      <c r="AO224" s="16">
        <v>0</v>
      </c>
      <c r="AP224" s="16"/>
      <c r="AQ224" s="16">
        <v>0</v>
      </c>
      <c r="AR224" s="16"/>
      <c r="AS224" s="8">
        <f>+AI224+AK224+AM224-AO224+AQ224</f>
        <v>-1185778</v>
      </c>
      <c r="AT224" s="8"/>
      <c r="AU224" s="16">
        <v>0</v>
      </c>
      <c r="AV224" s="16"/>
      <c r="AW224" s="16">
        <v>0</v>
      </c>
      <c r="AX224" s="16"/>
      <c r="AY224" s="16">
        <f>+E224-K224</f>
        <v>2752959</v>
      </c>
      <c r="AZ224" s="16"/>
      <c r="BA224" s="6" t="s">
        <v>242</v>
      </c>
      <c r="BC224" s="6" t="s">
        <v>11</v>
      </c>
      <c r="BD224" s="16"/>
      <c r="BE224" s="16">
        <v>0</v>
      </c>
      <c r="BF224" s="16"/>
      <c r="BG224" s="16">
        <v>0</v>
      </c>
      <c r="BH224" s="16"/>
      <c r="BI224" s="16">
        <v>0</v>
      </c>
      <c r="BJ224" s="16"/>
      <c r="BK224" s="16">
        <f>10952+105000+18163+30000+5876+1771</f>
        <v>171762</v>
      </c>
      <c r="BL224" s="16"/>
      <c r="BM224" s="16">
        <f>SUM(BE224:BK224)</f>
        <v>171762</v>
      </c>
      <c r="BN224" s="17" t="s">
        <v>345</v>
      </c>
      <c r="BP224" s="18"/>
      <c r="BQ224" s="18"/>
      <c r="BR224" s="20"/>
      <c r="BS224" s="16"/>
      <c r="BT224" s="16"/>
      <c r="BU224" s="16"/>
      <c r="BV224" s="16"/>
      <c r="BW224" s="16"/>
      <c r="BX224" s="8"/>
      <c r="BY224" s="8"/>
      <c r="BZ224" s="16"/>
      <c r="CA224" s="16"/>
      <c r="CB224" s="16"/>
      <c r="CC224" s="16"/>
      <c r="CD224" s="16"/>
      <c r="CE224" s="16"/>
      <c r="CF224" s="6"/>
      <c r="CG224" s="18"/>
      <c r="CH224" s="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7"/>
    </row>
    <row r="225" spans="1:105" ht="12.75" customHeight="1" x14ac:dyDescent="0.2">
      <c r="A225" s="6" t="s">
        <v>243</v>
      </c>
      <c r="C225" s="6" t="s">
        <v>108</v>
      </c>
      <c r="E225" s="16">
        <v>6399618</v>
      </c>
      <c r="F225" s="16"/>
      <c r="G225" s="16">
        <v>23065479</v>
      </c>
      <c r="H225" s="16"/>
      <c r="I225" s="16">
        <f>+E225+G225</f>
        <v>29465097</v>
      </c>
      <c r="J225" s="16"/>
      <c r="K225" s="16">
        <v>687141</v>
      </c>
      <c r="L225" s="16"/>
      <c r="M225" s="16">
        <v>10587894</v>
      </c>
      <c r="N225" s="16"/>
      <c r="O225" s="16">
        <f>+K225+M225</f>
        <v>11275035</v>
      </c>
      <c r="P225" s="16"/>
      <c r="Q225" s="16">
        <v>12233240</v>
      </c>
      <c r="R225" s="16"/>
      <c r="S225" s="16">
        <v>0</v>
      </c>
      <c r="T225" s="16"/>
      <c r="U225" s="16">
        <v>5956822</v>
      </c>
      <c r="V225" s="16"/>
      <c r="W225" s="16">
        <f t="shared" si="71"/>
        <v>18190062</v>
      </c>
      <c r="X225" s="16"/>
      <c r="Y225" s="6" t="s">
        <v>243</v>
      </c>
      <c r="AA225" s="6" t="s">
        <v>108</v>
      </c>
      <c r="AB225" s="6"/>
      <c r="AC225" s="16">
        <v>4800033</v>
      </c>
      <c r="AD225" s="16"/>
      <c r="AE225" s="16">
        <f>2628210-718965</f>
        <v>1909245</v>
      </c>
      <c r="AF225" s="16"/>
      <c r="AG225" s="16">
        <v>718965</v>
      </c>
      <c r="AH225" s="16"/>
      <c r="AI225" s="8">
        <f>+AC225-AE225-AG225</f>
        <v>2171823</v>
      </c>
      <c r="AJ225" s="8"/>
      <c r="AK225" s="16">
        <v>-382075</v>
      </c>
      <c r="AL225" s="8"/>
      <c r="AM225" s="16">
        <v>0</v>
      </c>
      <c r="AN225" s="16"/>
      <c r="AO225" s="16">
        <v>0</v>
      </c>
      <c r="AP225" s="16"/>
      <c r="AQ225" s="16">
        <v>0</v>
      </c>
      <c r="AR225" s="16"/>
      <c r="AS225" s="8">
        <f>+AI225+AK225+AM225-AO225+AQ225</f>
        <v>1789748</v>
      </c>
      <c r="AT225" s="8"/>
      <c r="AU225" s="16">
        <v>0</v>
      </c>
      <c r="AV225" s="16"/>
      <c r="AW225" s="16">
        <v>0</v>
      </c>
      <c r="AX225" s="16"/>
      <c r="AY225" s="16">
        <f>+E225-K225</f>
        <v>5712477</v>
      </c>
      <c r="AZ225" s="16"/>
      <c r="BA225" s="6" t="s">
        <v>243</v>
      </c>
      <c r="BC225" s="6" t="s">
        <v>108</v>
      </c>
      <c r="BD225" s="16"/>
      <c r="BE225" s="16">
        <f>8850000+450000</f>
        <v>9300000</v>
      </c>
      <c r="BF225" s="16"/>
      <c r="BG225" s="16">
        <v>0</v>
      </c>
      <c r="BH225" s="16"/>
      <c r="BI225" s="16">
        <v>1421404</v>
      </c>
      <c r="BJ225" s="16"/>
      <c r="BK225" s="16">
        <f>205655+110835+104226</f>
        <v>420716</v>
      </c>
      <c r="BL225" s="16"/>
      <c r="BM225" s="16">
        <f>SUM(BE225:BK225)</f>
        <v>11142120</v>
      </c>
      <c r="BN225" s="17" t="s">
        <v>345</v>
      </c>
      <c r="BP225" s="18"/>
      <c r="BQ225" s="18"/>
      <c r="BR225" s="14"/>
      <c r="BS225" s="16"/>
      <c r="BT225" s="16"/>
      <c r="BU225" s="16"/>
      <c r="BV225" s="16"/>
      <c r="BW225" s="16"/>
      <c r="BX225" s="8"/>
      <c r="BY225" s="8"/>
      <c r="BZ225" s="16"/>
      <c r="CA225" s="16"/>
      <c r="CB225" s="16"/>
      <c r="CC225" s="16"/>
      <c r="CD225" s="16"/>
      <c r="CE225" s="16"/>
      <c r="CF225" s="7"/>
      <c r="CG225" s="18"/>
      <c r="CH225" s="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7"/>
    </row>
    <row r="226" spans="1:105" ht="12.75" customHeight="1" x14ac:dyDescent="0.2">
      <c r="A226" s="6" t="s">
        <v>244</v>
      </c>
      <c r="C226" s="6" t="s">
        <v>207</v>
      </c>
      <c r="E226" s="16">
        <v>2102955</v>
      </c>
      <c r="F226" s="16"/>
      <c r="G226" s="16">
        <v>10907668</v>
      </c>
      <c r="H226" s="16"/>
      <c r="I226" s="16">
        <f>+E226+G226</f>
        <v>13010623</v>
      </c>
      <c r="J226" s="16"/>
      <c r="K226" s="16">
        <v>441060</v>
      </c>
      <c r="L226" s="16"/>
      <c r="M226" s="16">
        <v>482343</v>
      </c>
      <c r="N226" s="16"/>
      <c r="O226" s="16">
        <f>+K226+M226</f>
        <v>923403</v>
      </c>
      <c r="P226" s="16"/>
      <c r="Q226" s="16">
        <v>4178334</v>
      </c>
      <c r="R226" s="16"/>
      <c r="S226" s="16">
        <v>0</v>
      </c>
      <c r="T226" s="16"/>
      <c r="U226" s="16">
        <v>7908886</v>
      </c>
      <c r="V226" s="16"/>
      <c r="W226" s="16">
        <f t="shared" si="71"/>
        <v>12087220</v>
      </c>
      <c r="X226" s="16"/>
      <c r="Y226" s="6" t="s">
        <v>244</v>
      </c>
      <c r="AA226" s="6" t="s">
        <v>207</v>
      </c>
      <c r="AB226" s="6"/>
      <c r="AC226" s="16">
        <v>1364647</v>
      </c>
      <c r="AD226" s="16"/>
      <c r="AE226" s="16">
        <f>1271273-254757</f>
        <v>1016516</v>
      </c>
      <c r="AF226" s="16"/>
      <c r="AG226" s="16">
        <v>254757</v>
      </c>
      <c r="AH226" s="16"/>
      <c r="AI226" s="8">
        <f>+AC226-AE226-AG226</f>
        <v>93374</v>
      </c>
      <c r="AJ226" s="8"/>
      <c r="AK226" s="16">
        <v>-249612</v>
      </c>
      <c r="AL226" s="8"/>
      <c r="AM226" s="16">
        <v>0</v>
      </c>
      <c r="AN226" s="16"/>
      <c r="AO226" s="16">
        <v>0</v>
      </c>
      <c r="AP226" s="16"/>
      <c r="AQ226" s="16">
        <v>0</v>
      </c>
      <c r="AR226" s="16"/>
      <c r="AS226" s="8">
        <f>+AI226+AK226+AM226-AO226+AQ226</f>
        <v>-156238</v>
      </c>
      <c r="AT226" s="8"/>
      <c r="AU226" s="16">
        <v>0</v>
      </c>
      <c r="AV226" s="16"/>
      <c r="AW226" s="16">
        <v>0</v>
      </c>
      <c r="AX226" s="16"/>
      <c r="AY226" s="16">
        <f>+E226-K226</f>
        <v>1661895</v>
      </c>
      <c r="AZ226" s="16"/>
      <c r="BA226" s="6" t="s">
        <v>244</v>
      </c>
      <c r="BC226" s="6" t="s">
        <v>207</v>
      </c>
      <c r="BD226" s="16"/>
      <c r="BE226" s="16">
        <f>75000+350000</f>
        <v>425000</v>
      </c>
      <c r="BF226" s="16"/>
      <c r="BG226" s="16">
        <v>0</v>
      </c>
      <c r="BH226" s="16"/>
      <c r="BI226" s="16">
        <v>397680</v>
      </c>
      <c r="BJ226" s="16"/>
      <c r="BK226" s="16">
        <f>9663+7543</f>
        <v>17206</v>
      </c>
      <c r="BL226" s="16"/>
      <c r="BM226" s="16">
        <f>SUM(BE226:BK226)</f>
        <v>839886</v>
      </c>
      <c r="BN226" s="17" t="s">
        <v>345</v>
      </c>
      <c r="BP226" s="18"/>
      <c r="BQ226" s="18"/>
      <c r="BR226" s="14"/>
      <c r="BS226" s="16"/>
      <c r="BT226" s="16"/>
      <c r="BU226" s="16"/>
      <c r="BV226" s="16"/>
      <c r="BW226" s="16"/>
      <c r="BX226" s="8"/>
      <c r="BY226" s="8"/>
      <c r="BZ226" s="16"/>
      <c r="CA226" s="16"/>
      <c r="CB226" s="16"/>
      <c r="CC226" s="16"/>
      <c r="CD226" s="16"/>
      <c r="CE226" s="16"/>
      <c r="CF226" s="6"/>
      <c r="CG226" s="18"/>
      <c r="CH226" s="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7"/>
    </row>
    <row r="227" spans="1:105" ht="12.75" hidden="1" customHeight="1" x14ac:dyDescent="0.2">
      <c r="A227" s="6" t="s">
        <v>245</v>
      </c>
      <c r="B227" s="18"/>
      <c r="C227" s="6" t="s">
        <v>161</v>
      </c>
      <c r="E227" s="16">
        <v>46622000</v>
      </c>
      <c r="F227" s="16"/>
      <c r="G227" s="16">
        <v>505767000</v>
      </c>
      <c r="H227" s="16"/>
      <c r="I227" s="16">
        <f>+E227+G227</f>
        <v>552389000</v>
      </c>
      <c r="J227" s="16"/>
      <c r="K227" s="16">
        <v>10193000</v>
      </c>
      <c r="L227" s="16"/>
      <c r="M227" s="16">
        <v>301479000</v>
      </c>
      <c r="N227" s="16"/>
      <c r="O227" s="16">
        <f>+K227+M227</f>
        <v>311672000</v>
      </c>
      <c r="P227" s="16"/>
      <c r="Q227" s="16">
        <v>205773000</v>
      </c>
      <c r="R227" s="16"/>
      <c r="S227" s="16">
        <v>0</v>
      </c>
      <c r="T227" s="16"/>
      <c r="U227" s="16">
        <v>34944000</v>
      </c>
      <c r="V227" s="16"/>
      <c r="W227" s="16">
        <f t="shared" si="71"/>
        <v>240717000</v>
      </c>
      <c r="X227" s="16"/>
      <c r="Y227" s="6" t="s">
        <v>245</v>
      </c>
      <c r="AA227" s="6" t="s">
        <v>161</v>
      </c>
      <c r="AB227" s="6"/>
      <c r="AC227" s="16">
        <v>66608000</v>
      </c>
      <c r="AD227" s="16"/>
      <c r="AE227" s="16">
        <f>57737000-17796000</f>
        <v>39941000</v>
      </c>
      <c r="AF227" s="16"/>
      <c r="AG227" s="16">
        <v>17796000</v>
      </c>
      <c r="AH227" s="16"/>
      <c r="AI227" s="8">
        <f>+AC227-AE227-AG227</f>
        <v>8871000</v>
      </c>
      <c r="AJ227" s="8"/>
      <c r="AK227" s="16">
        <v>-8453000</v>
      </c>
      <c r="AL227" s="8"/>
      <c r="AM227" s="16">
        <v>0</v>
      </c>
      <c r="AN227" s="16"/>
      <c r="AO227" s="16">
        <v>0</v>
      </c>
      <c r="AP227" s="16"/>
      <c r="AQ227" s="16">
        <v>0</v>
      </c>
      <c r="AR227" s="16"/>
      <c r="AS227" s="8">
        <f>+AI227+AK227+AM227-AO227+AQ227</f>
        <v>418000</v>
      </c>
      <c r="AT227" s="8"/>
      <c r="AU227" s="16">
        <v>0</v>
      </c>
      <c r="AV227" s="16"/>
      <c r="AW227" s="16">
        <v>0</v>
      </c>
      <c r="AX227" s="16"/>
      <c r="AY227" s="16">
        <f>+E227-K227</f>
        <v>36429000</v>
      </c>
      <c r="AZ227" s="16"/>
      <c r="BA227" s="6" t="s">
        <v>245</v>
      </c>
      <c r="BC227" s="6" t="s">
        <v>161</v>
      </c>
      <c r="BD227" s="16"/>
      <c r="BE227" s="16">
        <v>299507000</v>
      </c>
      <c r="BF227" s="16"/>
      <c r="BG227" s="16">
        <v>0</v>
      </c>
      <c r="BH227" s="16"/>
      <c r="BI227" s="16">
        <v>0</v>
      </c>
      <c r="BJ227" s="16"/>
      <c r="BK227" s="16">
        <f>1972000+4000</f>
        <v>1976000</v>
      </c>
      <c r="BL227" s="16"/>
      <c r="BM227" s="16">
        <f>SUM(BE227:BK227)</f>
        <v>301483000</v>
      </c>
      <c r="BN227" s="17" t="s">
        <v>345</v>
      </c>
      <c r="BP227" s="18"/>
      <c r="BQ227" s="18"/>
      <c r="BR227" s="14"/>
      <c r="BS227" s="10"/>
      <c r="BT227" s="16"/>
      <c r="BU227" s="16"/>
      <c r="BV227" s="16"/>
      <c r="BW227" s="16"/>
      <c r="BX227" s="8"/>
      <c r="BY227" s="8"/>
      <c r="BZ227" s="16"/>
      <c r="CA227" s="16"/>
      <c r="CB227" s="16"/>
      <c r="CC227" s="16"/>
      <c r="CD227" s="16"/>
      <c r="CE227" s="16"/>
      <c r="CF227" s="6"/>
      <c r="CG227" s="18"/>
      <c r="CH227" s="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7"/>
    </row>
    <row r="228" spans="1:105" ht="12.75" customHeight="1" x14ac:dyDescent="0.2">
      <c r="A228" s="6"/>
      <c r="B228" s="18"/>
      <c r="C228" s="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 t="s">
        <v>478</v>
      </c>
      <c r="X228" s="16"/>
      <c r="Y228" s="6"/>
      <c r="AA228" s="6"/>
      <c r="AB228" s="6"/>
      <c r="AC228" s="16"/>
      <c r="AD228" s="16"/>
      <c r="AE228" s="16"/>
      <c r="AF228" s="16"/>
      <c r="AG228" s="16"/>
      <c r="AH228" s="16"/>
      <c r="AI228" s="8"/>
      <c r="AJ228" s="8"/>
      <c r="AK228" s="16"/>
      <c r="AL228" s="8"/>
      <c r="AM228" s="16"/>
      <c r="AN228" s="16"/>
      <c r="AO228" s="16"/>
      <c r="AP228" s="16"/>
      <c r="AQ228" s="16"/>
      <c r="AR228" s="16"/>
      <c r="AS228" s="8"/>
      <c r="AT228" s="8"/>
      <c r="AU228" s="16"/>
      <c r="AV228" s="16"/>
      <c r="AW228" s="16"/>
      <c r="AX228" s="16"/>
      <c r="AY228" s="16" t="s">
        <v>478</v>
      </c>
      <c r="AZ228" s="16"/>
      <c r="BA228" s="6"/>
      <c r="BC228" s="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 t="s">
        <v>478</v>
      </c>
      <c r="BN228" s="17"/>
      <c r="BP228" s="18"/>
      <c r="BQ228" s="18"/>
      <c r="BR228" s="14"/>
      <c r="BS228" s="16"/>
      <c r="BT228" s="16"/>
      <c r="BU228" s="16"/>
      <c r="BV228" s="16"/>
      <c r="BW228" s="16"/>
      <c r="BX228" s="8"/>
      <c r="BY228" s="8"/>
      <c r="BZ228" s="16"/>
      <c r="CA228" s="16"/>
      <c r="CB228" s="16"/>
      <c r="CC228" s="16"/>
      <c r="CD228" s="16"/>
      <c r="CE228" s="16"/>
      <c r="CF228" s="6"/>
      <c r="CG228" s="18"/>
      <c r="CH228" s="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7"/>
    </row>
    <row r="229" spans="1:105" ht="12.75" customHeight="1" x14ac:dyDescent="0.2">
      <c r="A229" s="6" t="s">
        <v>246</v>
      </c>
      <c r="B229" s="18"/>
      <c r="C229" s="6" t="s">
        <v>247</v>
      </c>
      <c r="E229" s="28">
        <v>634598</v>
      </c>
      <c r="F229" s="28"/>
      <c r="G229" s="28">
        <v>1926841</v>
      </c>
      <c r="H229" s="28"/>
      <c r="I229" s="28">
        <f>+E229+G229</f>
        <v>2561439</v>
      </c>
      <c r="J229" s="28"/>
      <c r="K229" s="28">
        <v>13811</v>
      </c>
      <c r="L229" s="28"/>
      <c r="M229" s="28">
        <v>228261</v>
      </c>
      <c r="N229" s="28"/>
      <c r="O229" s="28">
        <f>+K229+M229</f>
        <v>242072</v>
      </c>
      <c r="P229" s="28"/>
      <c r="Q229" s="28">
        <v>1692250</v>
      </c>
      <c r="R229" s="28"/>
      <c r="S229" s="28">
        <v>0</v>
      </c>
      <c r="T229" s="28"/>
      <c r="U229" s="28">
        <v>627117</v>
      </c>
      <c r="V229" s="28"/>
      <c r="W229" s="28">
        <f>SUM(Q229:U229)</f>
        <v>2319367</v>
      </c>
      <c r="X229" s="16"/>
      <c r="Y229" s="6" t="s">
        <v>246</v>
      </c>
      <c r="AA229" s="6" t="s">
        <v>247</v>
      </c>
      <c r="AB229" s="6"/>
      <c r="AC229" s="28">
        <v>575982</v>
      </c>
      <c r="AD229" s="28"/>
      <c r="AE229" s="28">
        <f>523568-61723</f>
        <v>461845</v>
      </c>
      <c r="AF229" s="28"/>
      <c r="AG229" s="28">
        <v>61723</v>
      </c>
      <c r="AH229" s="28"/>
      <c r="AI229" s="40">
        <f>+AC229-AE229-AG229</f>
        <v>52414</v>
      </c>
      <c r="AJ229" s="40"/>
      <c r="AK229" s="28">
        <v>-2438</v>
      </c>
      <c r="AL229" s="40"/>
      <c r="AM229" s="28">
        <v>30000</v>
      </c>
      <c r="AN229" s="28"/>
      <c r="AO229" s="28">
        <v>0</v>
      </c>
      <c r="AP229" s="28"/>
      <c r="AQ229" s="28">
        <v>0</v>
      </c>
      <c r="AR229" s="28"/>
      <c r="AS229" s="40">
        <f>+AI229+AK229+AM229-AO229+AQ229</f>
        <v>79976</v>
      </c>
      <c r="AT229" s="40"/>
      <c r="AU229" s="28">
        <v>0</v>
      </c>
      <c r="AV229" s="28"/>
      <c r="AW229" s="28">
        <v>0</v>
      </c>
      <c r="AX229" s="28"/>
      <c r="AY229" s="28">
        <f>+E229-K229</f>
        <v>620787</v>
      </c>
      <c r="AZ229" s="16"/>
      <c r="BA229" s="6" t="s">
        <v>246</v>
      </c>
      <c r="BC229" s="6" t="s">
        <v>247</v>
      </c>
      <c r="BD229" s="16"/>
      <c r="BE229" s="28">
        <v>0</v>
      </c>
      <c r="BF229" s="28"/>
      <c r="BG229" s="28">
        <v>0</v>
      </c>
      <c r="BH229" s="28"/>
      <c r="BI229" s="28">
        <f>222323+12269</f>
        <v>234592</v>
      </c>
      <c r="BJ229" s="28"/>
      <c r="BK229" s="28">
        <v>5938</v>
      </c>
      <c r="BL229" s="28"/>
      <c r="BM229" s="28">
        <f>SUM(BE229:BK229)</f>
        <v>240530</v>
      </c>
      <c r="BN229" s="17" t="s">
        <v>345</v>
      </c>
      <c r="BP229" s="18"/>
      <c r="BQ229" s="18"/>
      <c r="BR229" s="14"/>
      <c r="BS229" s="16"/>
      <c r="BT229" s="16"/>
      <c r="BU229" s="16"/>
      <c r="BV229" s="16"/>
      <c r="BW229" s="16"/>
      <c r="BX229" s="8"/>
      <c r="BY229" s="8"/>
      <c r="BZ229" s="16"/>
      <c r="CA229" s="16"/>
      <c r="CB229" s="16"/>
      <c r="CC229" s="16"/>
      <c r="CD229" s="16"/>
      <c r="CE229" s="16"/>
      <c r="CF229" s="6"/>
      <c r="CG229" s="18"/>
      <c r="CH229" s="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7"/>
    </row>
    <row r="230" spans="1:105" ht="12.75" customHeight="1" x14ac:dyDescent="0.2">
      <c r="A230" s="6" t="s">
        <v>248</v>
      </c>
      <c r="C230" s="6" t="s">
        <v>101</v>
      </c>
      <c r="E230" s="16">
        <v>1948055</v>
      </c>
      <c r="F230" s="16"/>
      <c r="G230" s="16">
        <v>817628</v>
      </c>
      <c r="H230" s="16"/>
      <c r="I230" s="16">
        <f>+E230+G230</f>
        <v>2765683</v>
      </c>
      <c r="J230" s="16"/>
      <c r="K230" s="16">
        <v>188742</v>
      </c>
      <c r="L230" s="16"/>
      <c r="M230" s="16">
        <v>700264</v>
      </c>
      <c r="N230" s="16"/>
      <c r="O230" s="16">
        <f>+K230+M230</f>
        <v>889006</v>
      </c>
      <c r="P230" s="16"/>
      <c r="Q230" s="16">
        <v>92578</v>
      </c>
      <c r="R230" s="16"/>
      <c r="S230" s="16">
        <v>0</v>
      </c>
      <c r="T230" s="16"/>
      <c r="U230" s="16">
        <v>1784099</v>
      </c>
      <c r="V230" s="16"/>
      <c r="W230" s="16">
        <f>SUM(Q230:U230)</f>
        <v>1876677</v>
      </c>
      <c r="X230" s="16"/>
      <c r="Y230" s="6" t="s">
        <v>248</v>
      </c>
      <c r="AA230" s="6" t="s">
        <v>101</v>
      </c>
      <c r="AB230" s="6"/>
      <c r="AC230" s="16">
        <v>1439572</v>
      </c>
      <c r="AD230" s="16"/>
      <c r="AE230" s="16">
        <f>1214266-48648</f>
        <v>1165618</v>
      </c>
      <c r="AF230" s="16"/>
      <c r="AG230" s="16">
        <v>48648</v>
      </c>
      <c r="AH230" s="16"/>
      <c r="AI230" s="8">
        <f>+AC230-AE230-AG230</f>
        <v>225306</v>
      </c>
      <c r="AJ230" s="8"/>
      <c r="AK230" s="16">
        <v>0</v>
      </c>
      <c r="AL230" s="8"/>
      <c r="AM230" s="16">
        <v>0</v>
      </c>
      <c r="AN230" s="16"/>
      <c r="AO230" s="16">
        <v>0</v>
      </c>
      <c r="AP230" s="16"/>
      <c r="AQ230" s="16">
        <v>0</v>
      </c>
      <c r="AR230" s="16"/>
      <c r="AS230" s="8">
        <f>+AI230+AK230+AM230-AO230+AQ230</f>
        <v>225306</v>
      </c>
      <c r="AT230" s="8"/>
      <c r="AU230" s="16">
        <v>0</v>
      </c>
      <c r="AV230" s="16"/>
      <c r="AW230" s="16">
        <v>0</v>
      </c>
      <c r="AX230" s="16"/>
      <c r="AY230" s="16">
        <f>+E230-K230</f>
        <v>1759313</v>
      </c>
      <c r="AZ230" s="16"/>
      <c r="BA230" s="6" t="s">
        <v>248</v>
      </c>
      <c r="BC230" s="6" t="s">
        <v>101</v>
      </c>
      <c r="BD230" s="16"/>
      <c r="BE230" s="16">
        <v>0</v>
      </c>
      <c r="BF230" s="16"/>
      <c r="BG230" s="16">
        <v>0</v>
      </c>
      <c r="BH230" s="16"/>
      <c r="BI230" s="16">
        <f>682400+42650</f>
        <v>725050</v>
      </c>
      <c r="BJ230" s="16"/>
      <c r="BK230" s="16">
        <f>17864+13354</f>
        <v>31218</v>
      </c>
      <c r="BL230" s="16"/>
      <c r="BM230" s="16">
        <f>SUM(BE230:BK230)</f>
        <v>756268</v>
      </c>
      <c r="BN230" s="17" t="s">
        <v>345</v>
      </c>
      <c r="BP230" s="18"/>
      <c r="BQ230" s="18"/>
      <c r="BR230" s="14"/>
      <c r="BS230" s="16"/>
      <c r="BT230" s="16"/>
      <c r="BU230" s="16"/>
      <c r="BV230" s="16"/>
      <c r="BW230" s="16"/>
      <c r="BX230" s="8"/>
      <c r="BY230" s="8"/>
      <c r="BZ230" s="16"/>
      <c r="CA230" s="16"/>
      <c r="CB230" s="16"/>
      <c r="CC230" s="16"/>
      <c r="CD230" s="16"/>
      <c r="CE230" s="16"/>
      <c r="CF230" s="6"/>
      <c r="CG230" s="18"/>
      <c r="CH230" s="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7"/>
    </row>
    <row r="231" spans="1:105" ht="12.75" customHeight="1" x14ac:dyDescent="0.2">
      <c r="A231" s="6" t="s">
        <v>249</v>
      </c>
      <c r="C231" s="6" t="s">
        <v>64</v>
      </c>
      <c r="E231" s="16">
        <v>670403</v>
      </c>
      <c r="F231" s="16"/>
      <c r="G231" s="16">
        <f>12026+353940</f>
        <v>365966</v>
      </c>
      <c r="H231" s="16"/>
      <c r="I231" s="16">
        <f t="shared" ref="I231:I266" si="86">+E231+G231</f>
        <v>1036369</v>
      </c>
      <c r="J231" s="16"/>
      <c r="K231" s="16">
        <v>305184</v>
      </c>
      <c r="L231" s="16"/>
      <c r="M231" s="16">
        <v>1883</v>
      </c>
      <c r="N231" s="16"/>
      <c r="O231" s="16">
        <f t="shared" ref="O231:O266" si="87">+K231+M231</f>
        <v>307067</v>
      </c>
      <c r="P231" s="16"/>
      <c r="Q231" s="16">
        <v>365966</v>
      </c>
      <c r="R231" s="16"/>
      <c r="S231" s="16">
        <v>0</v>
      </c>
      <c r="T231" s="16"/>
      <c r="U231" s="16">
        <v>363336</v>
      </c>
      <c r="V231" s="16"/>
      <c r="W231" s="16">
        <f t="shared" ref="W231:W245" si="88">SUM(Q231:U231)</f>
        <v>729302</v>
      </c>
      <c r="X231" s="16"/>
      <c r="Y231" s="6" t="s">
        <v>249</v>
      </c>
      <c r="AA231" s="6" t="s">
        <v>64</v>
      </c>
      <c r="AB231" s="6"/>
      <c r="AC231" s="16">
        <v>843051</v>
      </c>
      <c r="AD231" s="16"/>
      <c r="AE231" s="16">
        <f>913746-15349</f>
        <v>898397</v>
      </c>
      <c r="AF231" s="16"/>
      <c r="AG231" s="16">
        <v>15349</v>
      </c>
      <c r="AH231" s="16"/>
      <c r="AI231" s="8">
        <f t="shared" ref="AI231:AI249" si="89">+AC231-AE231-AG231</f>
        <v>-70695</v>
      </c>
      <c r="AJ231" s="8"/>
      <c r="AK231" s="16">
        <v>-25386</v>
      </c>
      <c r="AL231" s="8"/>
      <c r="AM231" s="16">
        <v>0</v>
      </c>
      <c r="AN231" s="16"/>
      <c r="AO231" s="16">
        <v>12500</v>
      </c>
      <c r="AP231" s="16"/>
      <c r="AQ231" s="16">
        <v>0</v>
      </c>
      <c r="AR231" s="16"/>
      <c r="AS231" s="8">
        <f t="shared" ref="AS231:AS249" si="90">+AI231+AK231+AM231-AO231+AQ231</f>
        <v>-108581</v>
      </c>
      <c r="AT231" s="8"/>
      <c r="AU231" s="16">
        <v>0</v>
      </c>
      <c r="AV231" s="16"/>
      <c r="AW231" s="16">
        <v>0</v>
      </c>
      <c r="AX231" s="16"/>
      <c r="AY231" s="16">
        <f t="shared" ref="AY231:AY249" si="91">+E231-K231</f>
        <v>365219</v>
      </c>
      <c r="AZ231" s="16"/>
      <c r="BA231" s="6" t="s">
        <v>249</v>
      </c>
      <c r="BC231" s="6" t="s">
        <v>64</v>
      </c>
      <c r="BD231" s="16"/>
      <c r="BE231" s="16">
        <v>0</v>
      </c>
      <c r="BF231" s="16"/>
      <c r="BG231" s="16">
        <v>0</v>
      </c>
      <c r="BH231" s="16"/>
      <c r="BI231" s="16">
        <v>0</v>
      </c>
      <c r="BJ231" s="16"/>
      <c r="BK231" s="16">
        <f>1883+2714</f>
        <v>4597</v>
      </c>
      <c r="BL231" s="16"/>
      <c r="BM231" s="16">
        <f t="shared" ref="BM231:BM245" si="92">SUM(BE231:BK231)</f>
        <v>4597</v>
      </c>
      <c r="BN231" s="17" t="s">
        <v>345</v>
      </c>
      <c r="BP231" s="18"/>
      <c r="BQ231" s="18"/>
      <c r="BR231" s="14"/>
      <c r="BS231" s="16"/>
      <c r="BT231" s="16"/>
      <c r="BU231" s="16"/>
      <c r="BV231" s="16"/>
      <c r="BW231" s="16"/>
      <c r="BX231" s="8"/>
      <c r="BY231" s="8"/>
      <c r="BZ231" s="16"/>
      <c r="CA231" s="16"/>
      <c r="CB231" s="16"/>
      <c r="CC231" s="16"/>
      <c r="CD231" s="16"/>
      <c r="CE231" s="16"/>
      <c r="CF231" s="6"/>
      <c r="CG231" s="18"/>
      <c r="CH231" s="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7"/>
    </row>
    <row r="232" spans="1:105" ht="12.75" customHeight="1" x14ac:dyDescent="0.2">
      <c r="A232" s="6" t="s">
        <v>250</v>
      </c>
      <c r="C232" s="6" t="s">
        <v>207</v>
      </c>
      <c r="E232" s="16">
        <v>6239688</v>
      </c>
      <c r="F232" s="16"/>
      <c r="G232" s="16">
        <v>19206897</v>
      </c>
      <c r="H232" s="16"/>
      <c r="I232" s="16">
        <f t="shared" si="86"/>
        <v>25446585</v>
      </c>
      <c r="J232" s="16"/>
      <c r="K232" s="16">
        <v>1051358</v>
      </c>
      <c r="L232" s="16"/>
      <c r="M232" s="16">
        <v>4330645</v>
      </c>
      <c r="N232" s="16"/>
      <c r="O232" s="16">
        <f t="shared" si="87"/>
        <v>5382003</v>
      </c>
      <c r="P232" s="16"/>
      <c r="Q232" s="16">
        <v>14313845</v>
      </c>
      <c r="R232" s="16"/>
      <c r="S232" s="16">
        <v>0</v>
      </c>
      <c r="T232" s="16"/>
      <c r="U232" s="16">
        <v>5750737</v>
      </c>
      <c r="V232" s="16"/>
      <c r="W232" s="16">
        <f t="shared" si="88"/>
        <v>20064582</v>
      </c>
      <c r="X232" s="16"/>
      <c r="Y232" s="6" t="s">
        <v>250</v>
      </c>
      <c r="AA232" s="6" t="s">
        <v>207</v>
      </c>
      <c r="AB232" s="6"/>
      <c r="AC232" s="16">
        <v>3648102</v>
      </c>
      <c r="AD232" s="16"/>
      <c r="AE232" s="16">
        <f>3985025-1052800</f>
        <v>2932225</v>
      </c>
      <c r="AF232" s="16"/>
      <c r="AG232" s="16">
        <v>1052800</v>
      </c>
      <c r="AH232" s="16"/>
      <c r="AI232" s="8">
        <f t="shared" si="89"/>
        <v>-336923</v>
      </c>
      <c r="AJ232" s="8"/>
      <c r="AK232" s="16">
        <v>-92155</v>
      </c>
      <c r="AL232" s="8"/>
      <c r="AM232" s="16">
        <v>0</v>
      </c>
      <c r="AN232" s="16"/>
      <c r="AO232" s="16">
        <v>0</v>
      </c>
      <c r="AP232" s="16"/>
      <c r="AQ232" s="16">
        <v>144499</v>
      </c>
      <c r="AR232" s="16"/>
      <c r="AS232" s="8">
        <f t="shared" si="90"/>
        <v>-284579</v>
      </c>
      <c r="AT232" s="8"/>
      <c r="AU232" s="16">
        <v>0</v>
      </c>
      <c r="AV232" s="16"/>
      <c r="AW232" s="16">
        <v>0</v>
      </c>
      <c r="AX232" s="16"/>
      <c r="AY232" s="16">
        <f t="shared" si="91"/>
        <v>5188330</v>
      </c>
      <c r="AZ232" s="16"/>
      <c r="BA232" s="6" t="s">
        <v>250</v>
      </c>
      <c r="BC232" s="6" t="s">
        <v>207</v>
      </c>
      <c r="BD232" s="16"/>
      <c r="BE232" s="16">
        <f>4144152+697345</f>
        <v>4841497</v>
      </c>
      <c r="BF232" s="16"/>
      <c r="BG232" s="16">
        <v>0</v>
      </c>
      <c r="BH232" s="16"/>
      <c r="BI232" s="16">
        <v>0</v>
      </c>
      <c r="BJ232" s="16"/>
      <c r="BK232" s="16">
        <f>186493+116861</f>
        <v>303354</v>
      </c>
      <c r="BL232" s="16"/>
      <c r="BM232" s="16">
        <f t="shared" si="92"/>
        <v>5144851</v>
      </c>
      <c r="BN232" s="17" t="s">
        <v>345</v>
      </c>
      <c r="BO232" s="18" t="s">
        <v>403</v>
      </c>
      <c r="BP232" s="18"/>
      <c r="BQ232" s="18"/>
      <c r="BR232" s="14"/>
      <c r="BS232" s="16"/>
      <c r="BT232" s="16"/>
      <c r="BU232" s="16"/>
      <c r="BV232" s="16"/>
      <c r="BW232" s="16"/>
      <c r="BX232" s="8"/>
      <c r="BY232" s="8"/>
      <c r="BZ232" s="16"/>
      <c r="CA232" s="16"/>
      <c r="CB232" s="16"/>
      <c r="CC232" s="16"/>
      <c r="CD232" s="16"/>
      <c r="CE232" s="16"/>
      <c r="CF232" s="6"/>
      <c r="CG232" s="18"/>
      <c r="CH232" s="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7"/>
    </row>
    <row r="233" spans="1:105" ht="12.75" hidden="1" customHeight="1" x14ac:dyDescent="0.2">
      <c r="A233" s="6" t="s">
        <v>251</v>
      </c>
      <c r="C233" s="6" t="s">
        <v>11</v>
      </c>
      <c r="E233" s="16">
        <v>3676500</v>
      </c>
      <c r="F233" s="16"/>
      <c r="G233" s="16">
        <v>32243150</v>
      </c>
      <c r="H233" s="16"/>
      <c r="I233" s="16">
        <f t="shared" si="86"/>
        <v>35919650</v>
      </c>
      <c r="J233" s="16"/>
      <c r="K233" s="16">
        <v>233037</v>
      </c>
      <c r="L233" s="16"/>
      <c r="M233" s="16">
        <v>168810</v>
      </c>
      <c r="N233" s="16"/>
      <c r="O233" s="16">
        <f t="shared" si="87"/>
        <v>401847</v>
      </c>
      <c r="P233" s="16"/>
      <c r="Q233" s="16">
        <v>32243150</v>
      </c>
      <c r="R233" s="16"/>
      <c r="S233" s="16">
        <v>0</v>
      </c>
      <c r="T233" s="16"/>
      <c r="U233" s="16">
        <v>3274653</v>
      </c>
      <c r="V233" s="16"/>
      <c r="W233" s="16">
        <f t="shared" si="88"/>
        <v>35517803</v>
      </c>
      <c r="X233" s="16"/>
      <c r="Y233" s="6" t="s">
        <v>251</v>
      </c>
      <c r="AA233" s="6" t="s">
        <v>11</v>
      </c>
      <c r="AB233" s="6"/>
      <c r="AC233" s="16">
        <v>2963496</v>
      </c>
      <c r="AD233" s="16"/>
      <c r="AE233" s="16">
        <f>3323475-738508</f>
        <v>2584967</v>
      </c>
      <c r="AF233" s="16"/>
      <c r="AG233" s="16">
        <v>738508</v>
      </c>
      <c r="AH233" s="16"/>
      <c r="AI233" s="8">
        <f t="shared" si="89"/>
        <v>-359979</v>
      </c>
      <c r="AJ233" s="8"/>
      <c r="AK233" s="16">
        <v>-519</v>
      </c>
      <c r="AL233" s="8"/>
      <c r="AM233" s="16">
        <v>0</v>
      </c>
      <c r="AN233" s="16"/>
      <c r="AO233" s="16">
        <v>0</v>
      </c>
      <c r="AP233" s="16"/>
      <c r="AQ233" s="16">
        <v>0</v>
      </c>
      <c r="AR233" s="16"/>
      <c r="AS233" s="8">
        <f t="shared" si="90"/>
        <v>-360498</v>
      </c>
      <c r="AT233" s="8"/>
      <c r="AU233" s="16">
        <v>0</v>
      </c>
      <c r="AV233" s="16"/>
      <c r="AW233" s="16">
        <v>0</v>
      </c>
      <c r="AX233" s="16"/>
      <c r="AY233" s="16">
        <f t="shared" si="91"/>
        <v>3443463</v>
      </c>
      <c r="AZ233" s="16"/>
      <c r="BA233" s="6" t="s">
        <v>251</v>
      </c>
      <c r="BC233" s="6" t="s">
        <v>11</v>
      </c>
      <c r="BD233" s="16"/>
      <c r="BE233" s="16">
        <v>0</v>
      </c>
      <c r="BF233" s="16"/>
      <c r="BG233" s="16">
        <v>0</v>
      </c>
      <c r="BH233" s="16"/>
      <c r="BI233" s="16">
        <v>0</v>
      </c>
      <c r="BJ233" s="16"/>
      <c r="BK233" s="16">
        <v>168810</v>
      </c>
      <c r="BL233" s="16"/>
      <c r="BM233" s="16">
        <f>SUM(BE233:BK233)</f>
        <v>168810</v>
      </c>
      <c r="BN233" s="17" t="s">
        <v>345</v>
      </c>
      <c r="BO233" s="6"/>
      <c r="BP233" s="6"/>
      <c r="BQ233" s="6"/>
      <c r="BR233" s="14"/>
      <c r="BS233" s="16"/>
      <c r="BT233" s="16"/>
      <c r="BU233" s="16"/>
      <c r="BV233" s="16"/>
      <c r="BX233" s="8"/>
      <c r="BY233" s="16"/>
      <c r="BZ233" s="16"/>
      <c r="CA233" s="16"/>
      <c r="CB233" s="16"/>
      <c r="CC233" s="16"/>
      <c r="CD233" s="16"/>
      <c r="CE233" s="16"/>
      <c r="CF233" s="6"/>
      <c r="CG233" s="18"/>
      <c r="CH233" s="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7"/>
      <c r="CT233" s="6"/>
      <c r="CU233" s="6"/>
      <c r="CV233" s="6"/>
      <c r="CW233" s="6"/>
      <c r="CX233" s="6"/>
      <c r="CY233" s="6"/>
      <c r="CZ233" s="6"/>
      <c r="DA233" s="6"/>
    </row>
    <row r="234" spans="1:105" ht="12.75" hidden="1" customHeight="1" x14ac:dyDescent="0.2">
      <c r="A234" s="6" t="s">
        <v>252</v>
      </c>
      <c r="C234" s="6" t="s">
        <v>87</v>
      </c>
      <c r="E234" s="16">
        <v>0</v>
      </c>
      <c r="F234" s="16"/>
      <c r="G234" s="16"/>
      <c r="H234" s="16"/>
      <c r="I234" s="16">
        <f t="shared" si="86"/>
        <v>0</v>
      </c>
      <c r="J234" s="16"/>
      <c r="K234" s="16">
        <v>0</v>
      </c>
      <c r="L234" s="16"/>
      <c r="M234" s="16"/>
      <c r="N234" s="16"/>
      <c r="O234" s="16">
        <f t="shared" si="87"/>
        <v>0</v>
      </c>
      <c r="P234" s="16"/>
      <c r="Q234" s="16"/>
      <c r="R234" s="16"/>
      <c r="S234" s="16"/>
      <c r="T234" s="16"/>
      <c r="U234" s="16"/>
      <c r="V234" s="16"/>
      <c r="W234" s="16">
        <f t="shared" si="88"/>
        <v>0</v>
      </c>
      <c r="X234" s="16"/>
      <c r="Y234" s="6" t="s">
        <v>252</v>
      </c>
      <c r="AA234" s="6" t="s">
        <v>87</v>
      </c>
      <c r="AB234" s="6"/>
      <c r="AC234" s="16"/>
      <c r="AD234" s="16"/>
      <c r="AE234" s="16"/>
      <c r="AF234" s="16"/>
      <c r="AG234" s="16"/>
      <c r="AH234" s="16"/>
      <c r="AI234" s="8">
        <f t="shared" si="89"/>
        <v>0</v>
      </c>
      <c r="AJ234" s="8"/>
      <c r="AK234" s="16"/>
      <c r="AL234" s="8"/>
      <c r="AM234" s="16"/>
      <c r="AN234" s="16"/>
      <c r="AO234" s="16"/>
      <c r="AP234" s="16"/>
      <c r="AQ234" s="16"/>
      <c r="AR234" s="16"/>
      <c r="AS234" s="8">
        <f t="shared" si="90"/>
        <v>0</v>
      </c>
      <c r="AT234" s="8"/>
      <c r="AU234" s="16">
        <v>0</v>
      </c>
      <c r="AV234" s="16"/>
      <c r="AW234" s="16">
        <v>0</v>
      </c>
      <c r="AX234" s="16"/>
      <c r="AY234" s="16">
        <f t="shared" si="91"/>
        <v>0</v>
      </c>
      <c r="AZ234" s="16"/>
      <c r="BA234" s="6" t="s">
        <v>252</v>
      </c>
      <c r="BC234" s="6" t="s">
        <v>87</v>
      </c>
      <c r="BD234" s="16"/>
      <c r="BE234" s="16"/>
      <c r="BF234" s="16"/>
      <c r="BG234" s="16"/>
      <c r="BH234" s="16"/>
      <c r="BI234" s="16"/>
      <c r="BJ234" s="16"/>
      <c r="BK234" s="16"/>
      <c r="BL234" s="16"/>
      <c r="BM234" s="16">
        <f t="shared" si="92"/>
        <v>0</v>
      </c>
      <c r="BN234" s="17" t="s">
        <v>345</v>
      </c>
      <c r="BO234" s="6"/>
      <c r="BP234" s="18"/>
      <c r="BQ234" s="18"/>
      <c r="BR234" s="14"/>
      <c r="BS234" s="16"/>
      <c r="BT234" s="16"/>
      <c r="BU234" s="16"/>
      <c r="BV234" s="16"/>
      <c r="BX234" s="8"/>
      <c r="BY234" s="16"/>
      <c r="BZ234" s="16"/>
      <c r="CA234" s="16"/>
      <c r="CB234" s="16"/>
      <c r="CC234" s="16"/>
      <c r="CD234" s="16"/>
      <c r="CE234" s="16"/>
      <c r="CF234" s="6"/>
      <c r="CG234" s="18"/>
      <c r="CH234" s="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7"/>
      <c r="CT234" s="6"/>
    </row>
    <row r="235" spans="1:105" ht="12.75" customHeight="1" x14ac:dyDescent="0.2">
      <c r="A235" s="6" t="s">
        <v>157</v>
      </c>
      <c r="B235" s="18"/>
      <c r="C235" s="6" t="s">
        <v>64</v>
      </c>
      <c r="E235" s="16">
        <v>358366</v>
      </c>
      <c r="F235" s="16"/>
      <c r="G235" s="16">
        <v>5116899</v>
      </c>
      <c r="H235" s="16"/>
      <c r="I235" s="16">
        <f t="shared" si="86"/>
        <v>5475265</v>
      </c>
      <c r="J235" s="16"/>
      <c r="K235" s="16">
        <v>666324</v>
      </c>
      <c r="L235" s="16"/>
      <c r="M235" s="16">
        <v>635849</v>
      </c>
      <c r="N235" s="16"/>
      <c r="O235" s="16">
        <f t="shared" si="87"/>
        <v>1302173</v>
      </c>
      <c r="P235" s="16"/>
      <c r="Q235" s="16">
        <v>3868389</v>
      </c>
      <c r="R235" s="16"/>
      <c r="S235" s="16">
        <v>0</v>
      </c>
      <c r="T235" s="16"/>
      <c r="U235" s="16">
        <v>304703</v>
      </c>
      <c r="V235" s="16"/>
      <c r="W235" s="16">
        <f t="shared" si="88"/>
        <v>4173092</v>
      </c>
      <c r="X235" s="16"/>
      <c r="Y235" s="6" t="s">
        <v>157</v>
      </c>
      <c r="AA235" s="6" t="s">
        <v>64</v>
      </c>
      <c r="AB235" s="6"/>
      <c r="AC235" s="16">
        <v>699157</v>
      </c>
      <c r="AD235" s="16"/>
      <c r="AE235" s="16">
        <f>655417-214883</f>
        <v>440534</v>
      </c>
      <c r="AF235" s="16"/>
      <c r="AG235" s="16">
        <v>214883</v>
      </c>
      <c r="AH235" s="16"/>
      <c r="AI235" s="8">
        <f t="shared" si="89"/>
        <v>43740</v>
      </c>
      <c r="AJ235" s="8"/>
      <c r="AK235" s="16">
        <v>-10417</v>
      </c>
      <c r="AL235" s="8"/>
      <c r="AM235" s="16">
        <v>0</v>
      </c>
      <c r="AN235" s="16"/>
      <c r="AO235" s="16">
        <v>0</v>
      </c>
      <c r="AP235" s="16"/>
      <c r="AQ235" s="16">
        <v>0</v>
      </c>
      <c r="AR235" s="16"/>
      <c r="AS235" s="8">
        <f t="shared" si="90"/>
        <v>33323</v>
      </c>
      <c r="AT235" s="8"/>
      <c r="AU235" s="16">
        <v>0</v>
      </c>
      <c r="AV235" s="16"/>
      <c r="AW235" s="16">
        <v>0</v>
      </c>
      <c r="AX235" s="16"/>
      <c r="AY235" s="16">
        <f t="shared" si="91"/>
        <v>-307958</v>
      </c>
      <c r="AZ235" s="16"/>
      <c r="BA235" s="6" t="s">
        <v>157</v>
      </c>
      <c r="BC235" s="6" t="s">
        <v>64</v>
      </c>
      <c r="BD235" s="16"/>
      <c r="BE235" s="16">
        <v>0</v>
      </c>
      <c r="BF235" s="16"/>
      <c r="BG235" s="16">
        <v>0</v>
      </c>
      <c r="BH235" s="16"/>
      <c r="BI235" s="16">
        <f>579445+23311</f>
        <v>602756</v>
      </c>
      <c r="BJ235" s="16"/>
      <c r="BK235" s="16">
        <f>5099+949+38879+17525</f>
        <v>62452</v>
      </c>
      <c r="BL235" s="16"/>
      <c r="BM235" s="16">
        <f>SUM(BE235:BK235)</f>
        <v>665208</v>
      </c>
      <c r="BN235" s="17" t="s">
        <v>345</v>
      </c>
      <c r="BP235" s="18"/>
      <c r="BQ235" s="18"/>
      <c r="BR235" s="14"/>
      <c r="BS235" s="16"/>
      <c r="BT235" s="16"/>
      <c r="BU235" s="16"/>
      <c r="BV235" s="16"/>
      <c r="BW235" s="16"/>
      <c r="BX235" s="8"/>
      <c r="BY235" s="8"/>
      <c r="BZ235" s="16"/>
      <c r="CA235" s="16"/>
      <c r="CB235" s="16"/>
      <c r="CC235" s="16"/>
      <c r="CD235" s="16"/>
      <c r="CE235" s="16"/>
      <c r="CF235" s="6"/>
      <c r="CG235" s="18"/>
      <c r="CH235" s="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7"/>
    </row>
    <row r="236" spans="1:105" ht="12.75" hidden="1" customHeight="1" x14ac:dyDescent="0.2">
      <c r="A236" s="6" t="s">
        <v>253</v>
      </c>
      <c r="C236" s="6" t="s">
        <v>25</v>
      </c>
      <c r="E236" s="16">
        <v>0</v>
      </c>
      <c r="F236" s="16"/>
      <c r="G236" s="16"/>
      <c r="H236" s="16"/>
      <c r="I236" s="16">
        <f t="shared" si="86"/>
        <v>0</v>
      </c>
      <c r="J236" s="16"/>
      <c r="K236" s="16">
        <v>0</v>
      </c>
      <c r="L236" s="16"/>
      <c r="M236" s="16"/>
      <c r="N236" s="16"/>
      <c r="O236" s="16">
        <f t="shared" si="87"/>
        <v>0</v>
      </c>
      <c r="P236" s="16"/>
      <c r="Q236" s="16"/>
      <c r="R236" s="16"/>
      <c r="S236" s="16"/>
      <c r="T236" s="16"/>
      <c r="U236" s="16"/>
      <c r="V236" s="16"/>
      <c r="W236" s="16">
        <f t="shared" si="88"/>
        <v>0</v>
      </c>
      <c r="X236" s="16"/>
      <c r="Y236" s="6" t="s">
        <v>253</v>
      </c>
      <c r="AA236" s="6" t="s">
        <v>25</v>
      </c>
      <c r="AB236" s="6"/>
      <c r="AC236" s="16"/>
      <c r="AD236" s="16"/>
      <c r="AE236" s="16"/>
      <c r="AF236" s="16"/>
      <c r="AG236" s="16"/>
      <c r="AH236" s="16"/>
      <c r="AI236" s="8">
        <f t="shared" si="89"/>
        <v>0</v>
      </c>
      <c r="AJ236" s="8"/>
      <c r="AK236" s="16"/>
      <c r="AL236" s="8"/>
      <c r="AM236" s="16"/>
      <c r="AN236" s="16"/>
      <c r="AO236" s="16"/>
      <c r="AP236" s="16"/>
      <c r="AQ236" s="16"/>
      <c r="AR236" s="16"/>
      <c r="AS236" s="8">
        <f t="shared" si="90"/>
        <v>0</v>
      </c>
      <c r="AT236" s="8"/>
      <c r="AU236" s="16">
        <v>0</v>
      </c>
      <c r="AV236" s="16"/>
      <c r="AW236" s="16">
        <v>0</v>
      </c>
      <c r="AX236" s="16"/>
      <c r="AY236" s="16">
        <f t="shared" si="91"/>
        <v>0</v>
      </c>
      <c r="AZ236" s="16"/>
      <c r="BA236" s="6" t="s">
        <v>253</v>
      </c>
      <c r="BC236" s="6" t="s">
        <v>25</v>
      </c>
      <c r="BD236" s="16"/>
      <c r="BE236" s="16"/>
      <c r="BF236" s="16"/>
      <c r="BG236" s="16"/>
      <c r="BH236" s="16"/>
      <c r="BI236" s="16"/>
      <c r="BJ236" s="16"/>
      <c r="BK236" s="16"/>
      <c r="BL236" s="16"/>
      <c r="BM236" s="16">
        <f t="shared" si="92"/>
        <v>0</v>
      </c>
      <c r="BN236" s="17" t="s">
        <v>345</v>
      </c>
      <c r="BP236" s="18"/>
      <c r="BQ236" s="18"/>
      <c r="BR236" s="14"/>
      <c r="BS236" s="16"/>
      <c r="BT236" s="16"/>
      <c r="BU236" s="16"/>
      <c r="BV236" s="16"/>
      <c r="BW236" s="16"/>
      <c r="BX236" s="8"/>
      <c r="BY236" s="8"/>
      <c r="BZ236" s="16"/>
      <c r="CA236" s="16"/>
      <c r="CB236" s="16"/>
      <c r="CC236" s="16"/>
      <c r="CD236" s="16"/>
      <c r="CE236" s="16"/>
      <c r="CF236" s="6"/>
      <c r="CG236" s="18"/>
      <c r="CH236" s="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7"/>
    </row>
    <row r="237" spans="1:105" ht="12.75" customHeight="1" x14ac:dyDescent="0.2">
      <c r="A237" s="6" t="s">
        <v>254</v>
      </c>
      <c r="B237" s="18"/>
      <c r="C237" s="6" t="s">
        <v>41</v>
      </c>
      <c r="E237" s="16">
        <v>706133</v>
      </c>
      <c r="F237" s="16"/>
      <c r="G237" s="16">
        <v>5176390</v>
      </c>
      <c r="H237" s="16"/>
      <c r="I237" s="16">
        <f t="shared" si="86"/>
        <v>5882523</v>
      </c>
      <c r="J237" s="16"/>
      <c r="K237" s="16">
        <v>466575</v>
      </c>
      <c r="L237" s="16"/>
      <c r="M237" s="16">
        <v>223985</v>
      </c>
      <c r="N237" s="16"/>
      <c r="O237" s="16">
        <f t="shared" si="87"/>
        <v>690560</v>
      </c>
      <c r="P237" s="16"/>
      <c r="Q237" s="16">
        <v>4798751</v>
      </c>
      <c r="R237" s="16"/>
      <c r="S237" s="16">
        <v>0</v>
      </c>
      <c r="T237" s="16"/>
      <c r="U237" s="16">
        <v>393212</v>
      </c>
      <c r="V237" s="16"/>
      <c r="W237" s="16">
        <f t="shared" si="88"/>
        <v>5191963</v>
      </c>
      <c r="X237" s="16"/>
      <c r="Y237" s="6" t="s">
        <v>254</v>
      </c>
      <c r="AA237" s="6" t="s">
        <v>41</v>
      </c>
      <c r="AB237" s="6"/>
      <c r="AC237" s="16">
        <v>849869</v>
      </c>
      <c r="AD237" s="16"/>
      <c r="AE237" s="16">
        <f>686420-229692</f>
        <v>456728</v>
      </c>
      <c r="AF237" s="16"/>
      <c r="AG237" s="16">
        <v>229692</v>
      </c>
      <c r="AH237" s="16"/>
      <c r="AI237" s="8">
        <f t="shared" si="89"/>
        <v>163449</v>
      </c>
      <c r="AJ237" s="8"/>
      <c r="AK237" s="16">
        <v>-16007</v>
      </c>
      <c r="AL237" s="8"/>
      <c r="AM237" s="16">
        <v>0</v>
      </c>
      <c r="AN237" s="16"/>
      <c r="AO237" s="16">
        <v>0</v>
      </c>
      <c r="AP237" s="16"/>
      <c r="AQ237" s="16">
        <v>241515</v>
      </c>
      <c r="AR237" s="16"/>
      <c r="AS237" s="8">
        <f t="shared" si="90"/>
        <v>388957</v>
      </c>
      <c r="AT237" s="8"/>
      <c r="AU237" s="16">
        <v>0</v>
      </c>
      <c r="AV237" s="16"/>
      <c r="AW237" s="16">
        <v>0</v>
      </c>
      <c r="AX237" s="16"/>
      <c r="AY237" s="16">
        <f t="shared" si="91"/>
        <v>239558</v>
      </c>
      <c r="AZ237" s="16"/>
      <c r="BA237" s="6" t="s">
        <v>254</v>
      </c>
      <c r="BC237" s="6" t="s">
        <v>41</v>
      </c>
      <c r="BD237" s="16"/>
      <c r="BE237" s="16">
        <v>0</v>
      </c>
      <c r="BF237" s="16"/>
      <c r="BG237" s="16">
        <v>0</v>
      </c>
      <c r="BH237" s="16"/>
      <c r="BI237" s="16">
        <f>216268+161371</f>
        <v>377639</v>
      </c>
      <c r="BJ237" s="16"/>
      <c r="BK237" s="16">
        <f>7717+32435</f>
        <v>40152</v>
      </c>
      <c r="BL237" s="16"/>
      <c r="BM237" s="16">
        <f>SUM(BE237:BK237)</f>
        <v>417791</v>
      </c>
      <c r="BN237" s="17" t="s">
        <v>345</v>
      </c>
      <c r="BP237" s="18"/>
      <c r="BQ237" s="18"/>
      <c r="BR237" s="14"/>
      <c r="BS237" s="16"/>
      <c r="BT237" s="16"/>
      <c r="BU237" s="16"/>
      <c r="BV237" s="16"/>
      <c r="BW237" s="16"/>
      <c r="BX237" s="8"/>
      <c r="BY237" s="8"/>
      <c r="BZ237" s="16"/>
      <c r="CA237" s="16"/>
      <c r="CB237" s="16"/>
      <c r="CC237" s="16"/>
      <c r="CD237" s="16"/>
      <c r="CE237" s="16"/>
      <c r="CF237" s="6"/>
      <c r="CG237" s="18"/>
      <c r="CH237" s="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7"/>
    </row>
    <row r="238" spans="1:105" ht="12.75" customHeight="1" x14ac:dyDescent="0.2">
      <c r="A238" s="6" t="s">
        <v>255</v>
      </c>
      <c r="C238" s="6" t="s">
        <v>256</v>
      </c>
      <c r="E238" s="16">
        <v>656366</v>
      </c>
      <c r="F238" s="16"/>
      <c r="G238" s="16">
        <v>9097648</v>
      </c>
      <c r="H238" s="16"/>
      <c r="I238" s="16">
        <f t="shared" si="86"/>
        <v>9754014</v>
      </c>
      <c r="J238" s="16"/>
      <c r="K238" s="16">
        <v>116110</v>
      </c>
      <c r="L238" s="16"/>
      <c r="M238" s="16">
        <v>249671</v>
      </c>
      <c r="N238" s="16"/>
      <c r="O238" s="16">
        <f t="shared" si="87"/>
        <v>365781</v>
      </c>
      <c r="P238" s="16"/>
      <c r="Q238" s="16">
        <v>8792436</v>
      </c>
      <c r="R238" s="16"/>
      <c r="S238" s="16">
        <v>0</v>
      </c>
      <c r="T238" s="16"/>
      <c r="U238" s="16">
        <v>595797</v>
      </c>
      <c r="V238" s="16"/>
      <c r="W238" s="16">
        <f t="shared" si="88"/>
        <v>9388233</v>
      </c>
      <c r="X238" s="16"/>
      <c r="Y238" s="6" t="s">
        <v>255</v>
      </c>
      <c r="AA238" s="6" t="s">
        <v>256</v>
      </c>
      <c r="AB238" s="6"/>
      <c r="AC238" s="16">
        <v>1343349</v>
      </c>
      <c r="AD238" s="16"/>
      <c r="AE238" s="16">
        <f>1010350-100902</f>
        <v>909448</v>
      </c>
      <c r="AF238" s="16"/>
      <c r="AG238" s="16">
        <v>100902</v>
      </c>
      <c r="AH238" s="16"/>
      <c r="AI238" s="8">
        <f t="shared" si="89"/>
        <v>332999</v>
      </c>
      <c r="AJ238" s="8"/>
      <c r="AK238" s="16">
        <v>-6177</v>
      </c>
      <c r="AL238" s="8"/>
      <c r="AM238" s="16">
        <v>0</v>
      </c>
      <c r="AN238" s="16"/>
      <c r="AO238" s="16">
        <v>185450</v>
      </c>
      <c r="AP238" s="16"/>
      <c r="AQ238" s="16">
        <v>0</v>
      </c>
      <c r="AR238" s="16"/>
      <c r="AS238" s="8">
        <f t="shared" si="90"/>
        <v>141372</v>
      </c>
      <c r="AT238" s="8"/>
      <c r="AU238" s="16">
        <v>0</v>
      </c>
      <c r="AV238" s="16"/>
      <c r="AW238" s="16">
        <v>0</v>
      </c>
      <c r="AX238" s="16"/>
      <c r="AY238" s="16">
        <f t="shared" si="91"/>
        <v>540256</v>
      </c>
      <c r="AZ238" s="16"/>
      <c r="BA238" s="6" t="s">
        <v>255</v>
      </c>
      <c r="BC238" s="6" t="s">
        <v>256</v>
      </c>
      <c r="BD238" s="16"/>
      <c r="BE238" s="16">
        <v>0</v>
      </c>
      <c r="BF238" s="16"/>
      <c r="BG238" s="16">
        <v>0</v>
      </c>
      <c r="BH238" s="16"/>
      <c r="BI238" s="16">
        <f>211588+26420</f>
        <v>238008</v>
      </c>
      <c r="BJ238" s="16"/>
      <c r="BK238" s="16">
        <f>32982+12292+3861+34222</f>
        <v>83357</v>
      </c>
      <c r="BL238" s="16"/>
      <c r="BM238" s="16">
        <f t="shared" si="92"/>
        <v>321365</v>
      </c>
      <c r="BN238" s="17" t="s">
        <v>345</v>
      </c>
      <c r="BP238" s="18"/>
      <c r="BQ238" s="18"/>
      <c r="BR238" s="14"/>
      <c r="BS238" s="16"/>
      <c r="BT238" s="16"/>
      <c r="BU238" s="16"/>
      <c r="BV238" s="16"/>
      <c r="BW238" s="16"/>
      <c r="BX238" s="8"/>
      <c r="BY238" s="8"/>
      <c r="BZ238" s="16"/>
      <c r="CA238" s="16"/>
      <c r="CB238" s="16"/>
      <c r="CC238" s="16"/>
      <c r="CD238" s="16"/>
      <c r="CE238" s="16"/>
      <c r="CF238" s="6"/>
      <c r="CG238" s="18"/>
      <c r="CH238" s="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7"/>
    </row>
    <row r="239" spans="1:105" ht="12.75" customHeight="1" x14ac:dyDescent="0.2">
      <c r="A239" s="6" t="s">
        <v>257</v>
      </c>
      <c r="C239" s="6" t="s">
        <v>367</v>
      </c>
      <c r="E239" s="16">
        <v>1181498</v>
      </c>
      <c r="F239" s="16"/>
      <c r="G239" s="16">
        <v>6596427</v>
      </c>
      <c r="H239" s="16"/>
      <c r="I239" s="16">
        <f t="shared" si="86"/>
        <v>7777925</v>
      </c>
      <c r="J239" s="16"/>
      <c r="K239" s="16">
        <v>941349</v>
      </c>
      <c r="L239" s="16"/>
      <c r="M239" s="16">
        <v>3647863</v>
      </c>
      <c r="N239" s="16"/>
      <c r="O239" s="16">
        <f t="shared" si="87"/>
        <v>4589212</v>
      </c>
      <c r="P239" s="16"/>
      <c r="Q239" s="16">
        <v>2491174</v>
      </c>
      <c r="R239" s="16"/>
      <c r="S239" s="16">
        <v>0</v>
      </c>
      <c r="T239" s="16"/>
      <c r="U239" s="16">
        <v>697539</v>
      </c>
      <c r="V239" s="16"/>
      <c r="W239" s="16">
        <f t="shared" si="88"/>
        <v>3188713</v>
      </c>
      <c r="X239" s="16"/>
      <c r="Y239" s="6" t="s">
        <v>257</v>
      </c>
      <c r="AA239" s="6" t="s">
        <v>367</v>
      </c>
      <c r="AB239" s="6"/>
      <c r="AC239" s="16">
        <v>2822591</v>
      </c>
      <c r="AD239" s="16"/>
      <c r="AE239" s="16">
        <f>1629529-154366</f>
        <v>1475163</v>
      </c>
      <c r="AF239" s="16"/>
      <c r="AG239" s="16">
        <v>154366</v>
      </c>
      <c r="AH239" s="16"/>
      <c r="AI239" s="8">
        <f t="shared" si="89"/>
        <v>1193062</v>
      </c>
      <c r="AJ239" s="8"/>
      <c r="AK239" s="16">
        <v>-142034</v>
      </c>
      <c r="AL239" s="8"/>
      <c r="AM239" s="16">
        <v>0</v>
      </c>
      <c r="AN239" s="16"/>
      <c r="AO239" s="16">
        <v>0</v>
      </c>
      <c r="AP239" s="16"/>
      <c r="AQ239" s="16">
        <v>0</v>
      </c>
      <c r="AR239" s="16"/>
      <c r="AS239" s="8">
        <f t="shared" si="90"/>
        <v>1051028</v>
      </c>
      <c r="AT239" s="8"/>
      <c r="AU239" s="16">
        <v>0</v>
      </c>
      <c r="AV239" s="16"/>
      <c r="AW239" s="16">
        <v>0</v>
      </c>
      <c r="AX239" s="16"/>
      <c r="AY239" s="16">
        <f t="shared" si="91"/>
        <v>240149</v>
      </c>
      <c r="AZ239" s="16"/>
      <c r="BA239" s="6" t="s">
        <v>257</v>
      </c>
      <c r="BC239" s="6" t="s">
        <v>367</v>
      </c>
      <c r="BD239" s="16"/>
      <c r="BE239" s="16">
        <f>455206+19105</f>
        <v>474311</v>
      </c>
      <c r="BF239" s="16"/>
      <c r="BG239" s="16">
        <v>0</v>
      </c>
      <c r="BH239" s="16"/>
      <c r="BI239" s="16">
        <f>3155487+475455</f>
        <v>3630942</v>
      </c>
      <c r="BJ239" s="16"/>
      <c r="BK239" s="16">
        <f>37170+51478</f>
        <v>88648</v>
      </c>
      <c r="BL239" s="16"/>
      <c r="BM239" s="16">
        <f t="shared" si="92"/>
        <v>4193901</v>
      </c>
      <c r="BN239" s="17" t="s">
        <v>345</v>
      </c>
      <c r="BO239" s="18" t="s">
        <v>403</v>
      </c>
      <c r="BP239" s="18"/>
      <c r="BQ239" s="18"/>
      <c r="BR239" s="14"/>
      <c r="BS239" s="16"/>
      <c r="BT239" s="16"/>
      <c r="BU239" s="16"/>
      <c r="BV239" s="16"/>
      <c r="BX239" s="8"/>
      <c r="BY239" s="16"/>
      <c r="BZ239" s="16"/>
      <c r="CA239" s="16"/>
      <c r="CB239" s="16"/>
      <c r="CC239" s="16"/>
      <c r="CD239" s="16"/>
      <c r="CE239" s="16"/>
      <c r="CF239" s="6"/>
      <c r="CG239" s="18"/>
      <c r="CH239" s="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7"/>
    </row>
    <row r="240" spans="1:105" ht="12.75" customHeight="1" x14ac:dyDescent="0.2">
      <c r="A240" s="6" t="s">
        <v>259</v>
      </c>
      <c r="C240" s="6" t="s">
        <v>64</v>
      </c>
      <c r="E240" s="16">
        <v>1187405</v>
      </c>
      <c r="F240" s="16"/>
      <c r="G240" s="16">
        <v>17613251</v>
      </c>
      <c r="H240" s="16"/>
      <c r="I240" s="16">
        <f t="shared" si="86"/>
        <v>18800656</v>
      </c>
      <c r="J240" s="16"/>
      <c r="K240" s="16">
        <v>149065</v>
      </c>
      <c r="L240" s="16"/>
      <c r="M240" s="16">
        <v>28748</v>
      </c>
      <c r="N240" s="16"/>
      <c r="O240" s="16">
        <f t="shared" si="87"/>
        <v>177813</v>
      </c>
      <c r="P240" s="16"/>
      <c r="Q240" s="16">
        <v>9267912</v>
      </c>
      <c r="R240" s="16"/>
      <c r="S240" s="16">
        <v>0</v>
      </c>
      <c r="T240" s="16"/>
      <c r="U240" s="16">
        <v>9354931</v>
      </c>
      <c r="V240" s="16"/>
      <c r="W240" s="16">
        <f t="shared" si="88"/>
        <v>18622843</v>
      </c>
      <c r="X240" s="16"/>
      <c r="Y240" s="6" t="s">
        <v>259</v>
      </c>
      <c r="AA240" s="6" t="s">
        <v>64</v>
      </c>
      <c r="AB240" s="6"/>
      <c r="AC240" s="16">
        <v>1745002</v>
      </c>
      <c r="AD240" s="16"/>
      <c r="AE240" s="16">
        <f>1528396-243040</f>
        <v>1285356</v>
      </c>
      <c r="AF240" s="16"/>
      <c r="AG240" s="16">
        <v>243040</v>
      </c>
      <c r="AH240" s="16"/>
      <c r="AI240" s="8">
        <f t="shared" si="89"/>
        <v>216606</v>
      </c>
      <c r="AJ240" s="8"/>
      <c r="AK240" s="16">
        <v>155631</v>
      </c>
      <c r="AL240" s="8"/>
      <c r="AM240" s="16">
        <v>0</v>
      </c>
      <c r="AN240" s="16"/>
      <c r="AO240" s="16">
        <v>0</v>
      </c>
      <c r="AP240" s="16"/>
      <c r="AQ240" s="16">
        <v>23858</v>
      </c>
      <c r="AR240" s="16"/>
      <c r="AS240" s="8">
        <f t="shared" si="90"/>
        <v>396095</v>
      </c>
      <c r="AT240" s="8"/>
      <c r="AU240" s="16">
        <v>0</v>
      </c>
      <c r="AV240" s="16"/>
      <c r="AW240" s="16">
        <v>0</v>
      </c>
      <c r="AX240" s="16"/>
      <c r="AY240" s="16">
        <f t="shared" si="91"/>
        <v>1038340</v>
      </c>
      <c r="AZ240" s="16"/>
      <c r="BA240" s="6" t="s">
        <v>259</v>
      </c>
      <c r="BC240" s="6" t="s">
        <v>64</v>
      </c>
      <c r="BD240" s="16"/>
      <c r="BE240" s="16">
        <v>0</v>
      </c>
      <c r="BF240" s="16"/>
      <c r="BG240" s="16">
        <v>0</v>
      </c>
      <c r="BH240" s="16"/>
      <c r="BI240" s="16">
        <v>0</v>
      </c>
      <c r="BJ240" s="16"/>
      <c r="BK240" s="16">
        <f>28748+32478</f>
        <v>61226</v>
      </c>
      <c r="BL240" s="16"/>
      <c r="BM240" s="16">
        <f t="shared" si="92"/>
        <v>61226</v>
      </c>
      <c r="BN240" s="17" t="s">
        <v>345</v>
      </c>
      <c r="BP240" s="18"/>
      <c r="BQ240" s="18"/>
      <c r="BR240" s="14"/>
      <c r="BS240" s="16"/>
      <c r="BT240" s="16"/>
      <c r="BU240" s="16"/>
      <c r="BV240" s="16"/>
      <c r="BW240" s="16"/>
      <c r="BX240" s="8"/>
      <c r="BY240" s="8"/>
      <c r="BZ240" s="16"/>
      <c r="CA240" s="16"/>
      <c r="CB240" s="16"/>
      <c r="CC240" s="16"/>
      <c r="CD240" s="16"/>
      <c r="CE240" s="16"/>
      <c r="CF240" s="6"/>
      <c r="CG240" s="18"/>
      <c r="CH240" s="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7"/>
    </row>
    <row r="241" spans="1:97" ht="12.75" customHeight="1" x14ac:dyDescent="0.2">
      <c r="A241" s="6" t="s">
        <v>260</v>
      </c>
      <c r="B241" s="18"/>
      <c r="C241" s="6" t="s">
        <v>130</v>
      </c>
      <c r="E241" s="16">
        <v>4011256</v>
      </c>
      <c r="F241" s="16"/>
      <c r="G241" s="16">
        <v>5636504</v>
      </c>
      <c r="H241" s="16"/>
      <c r="I241" s="16">
        <f t="shared" si="86"/>
        <v>9647760</v>
      </c>
      <c r="J241" s="16"/>
      <c r="K241" s="16">
        <v>843745</v>
      </c>
      <c r="L241" s="16"/>
      <c r="M241" s="16">
        <v>7725530</v>
      </c>
      <c r="N241" s="16"/>
      <c r="O241" s="16">
        <f t="shared" si="87"/>
        <v>8569275</v>
      </c>
      <c r="P241" s="16"/>
      <c r="Q241" s="16">
        <v>-1721322</v>
      </c>
      <c r="R241" s="16"/>
      <c r="S241" s="16">
        <v>0</v>
      </c>
      <c r="T241" s="16"/>
      <c r="U241" s="16">
        <v>2799807</v>
      </c>
      <c r="V241" s="16"/>
      <c r="W241" s="16">
        <f t="shared" ref="W241:W243" si="93">SUM(Q241:U241)</f>
        <v>1078485</v>
      </c>
      <c r="X241" s="16"/>
      <c r="Y241" s="6" t="s">
        <v>260</v>
      </c>
      <c r="AA241" s="6" t="s">
        <v>130</v>
      </c>
      <c r="AB241" s="6"/>
      <c r="AC241" s="16">
        <v>2407140</v>
      </c>
      <c r="AD241" s="16"/>
      <c r="AE241" s="16">
        <v>2331495</v>
      </c>
      <c r="AF241" s="16"/>
      <c r="AG241" s="16">
        <v>0</v>
      </c>
      <c r="AH241" s="16"/>
      <c r="AI241" s="8">
        <f t="shared" si="89"/>
        <v>75645</v>
      </c>
      <c r="AJ241" s="8"/>
      <c r="AK241" s="16">
        <v>-229606</v>
      </c>
      <c r="AL241" s="8"/>
      <c r="AM241" s="16">
        <v>0</v>
      </c>
      <c r="AN241" s="16"/>
      <c r="AO241" s="16">
        <v>0</v>
      </c>
      <c r="AP241" s="16"/>
      <c r="AQ241" s="16">
        <v>0</v>
      </c>
      <c r="AR241" s="16"/>
      <c r="AS241" s="8">
        <f t="shared" ref="AS241:AS243" si="94">+AI241+AK241+AM241-AO241+AQ241</f>
        <v>-153961</v>
      </c>
      <c r="AT241" s="8"/>
      <c r="AU241" s="16">
        <v>0</v>
      </c>
      <c r="AV241" s="16"/>
      <c r="AW241" s="16">
        <v>0</v>
      </c>
      <c r="AX241" s="16"/>
      <c r="AY241" s="16">
        <f>+E241-K241</f>
        <v>3167511</v>
      </c>
      <c r="AZ241" s="16"/>
      <c r="BA241" s="6" t="s">
        <v>260</v>
      </c>
      <c r="BC241" s="6" t="s">
        <v>130</v>
      </c>
      <c r="BD241" s="16"/>
      <c r="BE241" s="16">
        <f>2760630+175390</f>
        <v>2936020</v>
      </c>
      <c r="BF241" s="16"/>
      <c r="BG241" s="16">
        <v>0</v>
      </c>
      <c r="BH241" s="16"/>
      <c r="BI241" s="16">
        <f>953306+1366889+126900+69280</f>
        <v>2516375</v>
      </c>
      <c r="BJ241" s="16"/>
      <c r="BK241" s="16">
        <f>58983+2585722+22491+115360</f>
        <v>2782556</v>
      </c>
      <c r="BL241" s="16"/>
      <c r="BM241" s="16">
        <f t="shared" ref="BM241:BM243" si="95">SUM(BE241:BK241)</f>
        <v>8234951</v>
      </c>
      <c r="BN241" s="17" t="s">
        <v>345</v>
      </c>
      <c r="BO241" s="18" t="s">
        <v>408</v>
      </c>
      <c r="BP241" s="18"/>
      <c r="BQ241" s="18"/>
      <c r="BR241" s="14"/>
      <c r="BS241" s="16"/>
      <c r="BT241" s="16"/>
      <c r="BU241" s="16"/>
      <c r="BV241" s="16"/>
      <c r="BW241" s="16"/>
      <c r="BX241" s="8"/>
      <c r="BY241" s="8"/>
      <c r="BZ241" s="16"/>
      <c r="CA241" s="16"/>
      <c r="CB241" s="16"/>
      <c r="CC241" s="16"/>
      <c r="CD241" s="16"/>
      <c r="CE241" s="16"/>
      <c r="CF241" s="6"/>
      <c r="CG241" s="18"/>
      <c r="CH241" s="6"/>
      <c r="CI241" s="16"/>
      <c r="CJ241" s="16"/>
      <c r="CK241" s="16"/>
      <c r="CL241" s="16"/>
      <c r="CM241" s="16"/>
      <c r="CN241" s="16"/>
      <c r="CO241" s="16"/>
      <c r="CP241" s="16"/>
      <c r="CQ241" s="16"/>
      <c r="CR241" s="16"/>
      <c r="CS241" s="17"/>
    </row>
    <row r="242" spans="1:97" ht="12.75" hidden="1" customHeight="1" x14ac:dyDescent="0.2">
      <c r="A242" s="7" t="s">
        <v>496</v>
      </c>
      <c r="B242" s="10"/>
      <c r="C242" s="7" t="s">
        <v>43</v>
      </c>
      <c r="E242" s="16">
        <v>0</v>
      </c>
      <c r="F242" s="16"/>
      <c r="G242" s="16"/>
      <c r="H242" s="16"/>
      <c r="I242" s="16">
        <f t="shared" si="86"/>
        <v>0</v>
      </c>
      <c r="J242" s="16"/>
      <c r="K242" s="16">
        <v>0</v>
      </c>
      <c r="L242" s="16"/>
      <c r="M242" s="16"/>
      <c r="N242" s="16"/>
      <c r="O242" s="16">
        <f t="shared" si="87"/>
        <v>0</v>
      </c>
      <c r="P242" s="16"/>
      <c r="Q242" s="16"/>
      <c r="R242" s="16"/>
      <c r="S242" s="16"/>
      <c r="T242" s="16"/>
      <c r="U242" s="16"/>
      <c r="V242" s="16"/>
      <c r="W242" s="16">
        <f t="shared" si="93"/>
        <v>0</v>
      </c>
      <c r="X242" s="16"/>
      <c r="Y242" s="7" t="s">
        <v>497</v>
      </c>
      <c r="Z242" s="10"/>
      <c r="AA242" s="7" t="s">
        <v>43</v>
      </c>
      <c r="AB242" s="6"/>
      <c r="AC242" s="16"/>
      <c r="AD242" s="16"/>
      <c r="AE242" s="16"/>
      <c r="AF242" s="16"/>
      <c r="AG242" s="16"/>
      <c r="AH242" s="16"/>
      <c r="AI242" s="8">
        <f t="shared" si="89"/>
        <v>0</v>
      </c>
      <c r="AJ242" s="8"/>
      <c r="AK242" s="16"/>
      <c r="AL242" s="8"/>
      <c r="AM242" s="16"/>
      <c r="AN242" s="16"/>
      <c r="AO242" s="16"/>
      <c r="AP242" s="16"/>
      <c r="AQ242" s="16"/>
      <c r="AR242" s="16"/>
      <c r="AS242" s="8">
        <f t="shared" si="94"/>
        <v>0</v>
      </c>
      <c r="AT242" s="8"/>
      <c r="AU242" s="16"/>
      <c r="AV242" s="16"/>
      <c r="AW242" s="16"/>
      <c r="AX242" s="16"/>
      <c r="AY242" s="16">
        <f>+E242-K242</f>
        <v>0</v>
      </c>
      <c r="AZ242" s="16"/>
      <c r="BA242" s="7" t="s">
        <v>497</v>
      </c>
      <c r="BB242" s="10"/>
      <c r="BC242" s="7" t="s">
        <v>43</v>
      </c>
      <c r="BD242" s="16"/>
      <c r="BE242" s="16"/>
      <c r="BF242" s="16"/>
      <c r="BG242" s="16"/>
      <c r="BH242" s="16"/>
      <c r="BI242" s="16"/>
      <c r="BJ242" s="16"/>
      <c r="BK242" s="16"/>
      <c r="BL242" s="16"/>
      <c r="BM242" s="16">
        <f t="shared" si="95"/>
        <v>0</v>
      </c>
      <c r="BN242" s="17"/>
      <c r="BP242" s="18"/>
      <c r="BQ242" s="18"/>
      <c r="BR242" s="14"/>
      <c r="BS242" s="16"/>
      <c r="BT242" s="16"/>
      <c r="BU242" s="16"/>
      <c r="BV242" s="16"/>
      <c r="BW242" s="16"/>
      <c r="BX242" s="8"/>
      <c r="BY242" s="8"/>
      <c r="BZ242" s="16"/>
      <c r="CA242" s="16"/>
      <c r="CB242" s="16"/>
      <c r="CC242" s="16"/>
      <c r="CD242" s="16"/>
      <c r="CE242" s="16"/>
      <c r="CF242" s="6"/>
      <c r="CG242" s="18"/>
      <c r="CH242" s="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7"/>
    </row>
    <row r="243" spans="1:97" ht="12.75" customHeight="1" x14ac:dyDescent="0.2">
      <c r="A243" s="6" t="s">
        <v>261</v>
      </c>
      <c r="C243" s="6" t="s">
        <v>51</v>
      </c>
      <c r="E243" s="16">
        <v>4027647</v>
      </c>
      <c r="F243" s="16"/>
      <c r="G243" s="16">
        <v>27718428</v>
      </c>
      <c r="H243" s="16"/>
      <c r="I243" s="16">
        <f t="shared" si="86"/>
        <v>31746075</v>
      </c>
      <c r="J243" s="16"/>
      <c r="K243" s="16">
        <v>1856586</v>
      </c>
      <c r="L243" s="16"/>
      <c r="M243" s="16">
        <v>17724997</v>
      </c>
      <c r="N243" s="16"/>
      <c r="O243" s="16">
        <f t="shared" si="87"/>
        <v>19581583</v>
      </c>
      <c r="P243" s="16"/>
      <c r="Q243" s="16">
        <v>9168364</v>
      </c>
      <c r="R243" s="16"/>
      <c r="S243" s="16">
        <v>0</v>
      </c>
      <c r="T243" s="16"/>
      <c r="U243" s="16">
        <v>2996128</v>
      </c>
      <c r="V243" s="16"/>
      <c r="W243" s="16">
        <f t="shared" si="93"/>
        <v>12164492</v>
      </c>
      <c r="X243" s="16"/>
      <c r="Y243" s="6" t="s">
        <v>261</v>
      </c>
      <c r="AA243" s="6" t="s">
        <v>51</v>
      </c>
      <c r="AB243" s="6"/>
      <c r="AC243" s="16">
        <v>3531295</v>
      </c>
      <c r="AD243" s="16"/>
      <c r="AE243" s="16">
        <f>3017986-756596</f>
        <v>2261390</v>
      </c>
      <c r="AF243" s="16"/>
      <c r="AG243" s="16">
        <v>756596</v>
      </c>
      <c r="AH243" s="16"/>
      <c r="AI243" s="8">
        <f t="shared" si="89"/>
        <v>513309</v>
      </c>
      <c r="AJ243" s="8"/>
      <c r="AK243" s="16">
        <v>-601653</v>
      </c>
      <c r="AL243" s="8"/>
      <c r="AM243" s="16">
        <v>0</v>
      </c>
      <c r="AN243" s="16"/>
      <c r="AO243" s="16">
        <v>0</v>
      </c>
      <c r="AP243" s="16"/>
      <c r="AQ243" s="16">
        <v>0</v>
      </c>
      <c r="AR243" s="16"/>
      <c r="AS243" s="8">
        <f t="shared" si="94"/>
        <v>-88344</v>
      </c>
      <c r="AT243" s="8"/>
      <c r="AU243" s="16">
        <v>0</v>
      </c>
      <c r="AV243" s="16"/>
      <c r="AW243" s="16">
        <v>0</v>
      </c>
      <c r="AX243" s="16"/>
      <c r="AY243" s="16">
        <f t="shared" ref="AY243" si="96">+E243-K243</f>
        <v>2171061</v>
      </c>
      <c r="AZ243" s="16"/>
      <c r="BA243" s="6" t="s">
        <v>261</v>
      </c>
      <c r="BC243" s="6" t="s">
        <v>51</v>
      </c>
      <c r="BD243" s="16"/>
      <c r="BE243" s="16">
        <v>0</v>
      </c>
      <c r="BF243" s="16"/>
      <c r="BG243" s="16">
        <v>0</v>
      </c>
      <c r="BH243" s="16"/>
      <c r="BI243" s="16">
        <f>17565266+984798</f>
        <v>18550064</v>
      </c>
      <c r="BJ243" s="16"/>
      <c r="BK243" s="16">
        <f>159731+24839</f>
        <v>184570</v>
      </c>
      <c r="BL243" s="16"/>
      <c r="BM243" s="16">
        <f t="shared" si="95"/>
        <v>18734634</v>
      </c>
      <c r="BN243" s="17" t="s">
        <v>345</v>
      </c>
      <c r="BP243" s="18"/>
      <c r="BQ243" s="18"/>
      <c r="BR243" s="14"/>
      <c r="BS243" s="16"/>
      <c r="BT243" s="16"/>
      <c r="BU243" s="16"/>
      <c r="BV243" s="16"/>
      <c r="BW243" s="16"/>
      <c r="BX243" s="8"/>
      <c r="BY243" s="8"/>
      <c r="BZ243" s="16"/>
      <c r="CA243" s="16"/>
      <c r="CB243" s="16"/>
      <c r="CC243" s="16"/>
      <c r="CD243" s="16"/>
      <c r="CE243" s="16"/>
      <c r="CF243" s="6"/>
      <c r="CG243" s="18"/>
      <c r="CH243" s="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7"/>
    </row>
    <row r="244" spans="1:97" ht="12.75" customHeight="1" x14ac:dyDescent="0.2">
      <c r="A244" s="6" t="s">
        <v>262</v>
      </c>
      <c r="C244" s="6" t="s">
        <v>237</v>
      </c>
      <c r="E244" s="16">
        <v>784035</v>
      </c>
      <c r="F244" s="16"/>
      <c r="G244" s="16">
        <v>15392499</v>
      </c>
      <c r="H244" s="16"/>
      <c r="I244" s="16">
        <f t="shared" si="86"/>
        <v>16176534</v>
      </c>
      <c r="J244" s="16"/>
      <c r="K244" s="16">
        <v>669619</v>
      </c>
      <c r="L244" s="16"/>
      <c r="M244" s="16">
        <v>8773991</v>
      </c>
      <c r="N244" s="16"/>
      <c r="O244" s="16">
        <f t="shared" si="87"/>
        <v>9443610</v>
      </c>
      <c r="P244" s="16"/>
      <c r="Q244" s="16">
        <v>5530529</v>
      </c>
      <c r="R244" s="16"/>
      <c r="S244" s="16">
        <f>100000+1159685</f>
        <v>1259685</v>
      </c>
      <c r="T244" s="16"/>
      <c r="U244" s="16">
        <v>-57290</v>
      </c>
      <c r="V244" s="16"/>
      <c r="W244" s="16">
        <f t="shared" si="88"/>
        <v>6732924</v>
      </c>
      <c r="X244" s="16"/>
      <c r="Y244" s="6" t="s">
        <v>262</v>
      </c>
      <c r="AA244" s="6" t="s">
        <v>237</v>
      </c>
      <c r="AB244" s="6"/>
      <c r="AC244" s="16">
        <v>2718393</v>
      </c>
      <c r="AD244" s="16"/>
      <c r="AE244" s="16">
        <f>1570553-396322</f>
        <v>1174231</v>
      </c>
      <c r="AF244" s="16"/>
      <c r="AG244" s="16">
        <v>396322</v>
      </c>
      <c r="AH244" s="16"/>
      <c r="AI244" s="8">
        <f t="shared" si="89"/>
        <v>1147840</v>
      </c>
      <c r="AJ244" s="8"/>
      <c r="AK244" s="16">
        <v>-670987</v>
      </c>
      <c r="AL244" s="8"/>
      <c r="AM244" s="16">
        <v>0</v>
      </c>
      <c r="AN244" s="16"/>
      <c r="AO244" s="16">
        <v>32789</v>
      </c>
      <c r="AP244" s="16"/>
      <c r="AQ244" s="16">
        <v>162122</v>
      </c>
      <c r="AR244" s="16"/>
      <c r="AS244" s="8">
        <f t="shared" si="90"/>
        <v>606186</v>
      </c>
      <c r="AT244" s="8"/>
      <c r="AU244" s="16">
        <v>0</v>
      </c>
      <c r="AV244" s="16"/>
      <c r="AW244" s="16">
        <v>0</v>
      </c>
      <c r="AX244" s="16"/>
      <c r="AY244" s="16">
        <f t="shared" si="91"/>
        <v>114416</v>
      </c>
      <c r="AZ244" s="16"/>
      <c r="BA244" s="6" t="s">
        <v>262</v>
      </c>
      <c r="BC244" s="6" t="s">
        <v>237</v>
      </c>
      <c r="BD244" s="16"/>
      <c r="BE244" s="16">
        <v>0</v>
      </c>
      <c r="BF244" s="16"/>
      <c r="BG244" s="16">
        <f>7705000+425000</f>
        <v>8130000</v>
      </c>
      <c r="BH244" s="16"/>
      <c r="BI244" s="16">
        <f>433209+17390+528711+16763+93919</f>
        <v>1089992</v>
      </c>
      <c r="BJ244" s="16"/>
      <c r="BK244" s="16">
        <f>89681+24210</f>
        <v>113891</v>
      </c>
      <c r="BL244" s="16"/>
      <c r="BM244" s="16">
        <f t="shared" si="92"/>
        <v>9333883</v>
      </c>
      <c r="BN244" s="17" t="s">
        <v>345</v>
      </c>
      <c r="BP244" s="18"/>
      <c r="BQ244" s="18"/>
      <c r="BR244" s="14"/>
      <c r="BS244" s="16"/>
      <c r="BT244" s="16"/>
      <c r="BU244" s="16"/>
      <c r="BV244" s="16"/>
      <c r="BW244" s="16"/>
      <c r="BX244" s="8"/>
      <c r="BY244" s="8"/>
      <c r="BZ244" s="16"/>
      <c r="CA244" s="16"/>
      <c r="CB244" s="16"/>
      <c r="CC244" s="16"/>
      <c r="CD244" s="16"/>
      <c r="CE244" s="16"/>
      <c r="CF244" s="6"/>
      <c r="CG244" s="18"/>
      <c r="CH244" s="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7"/>
    </row>
    <row r="245" spans="1:97" ht="12.75" customHeight="1" x14ac:dyDescent="0.2">
      <c r="A245" s="6" t="s">
        <v>109</v>
      </c>
      <c r="C245" s="7" t="s">
        <v>78</v>
      </c>
      <c r="E245" s="16">
        <v>3363161</v>
      </c>
      <c r="F245" s="16"/>
      <c r="G245" s="16">
        <v>15686822</v>
      </c>
      <c r="H245" s="16"/>
      <c r="I245" s="16">
        <f t="shared" si="86"/>
        <v>19049983</v>
      </c>
      <c r="J245" s="16"/>
      <c r="K245" s="16">
        <v>2000473</v>
      </c>
      <c r="L245" s="16"/>
      <c r="M245" s="16">
        <v>6950451</v>
      </c>
      <c r="N245" s="16"/>
      <c r="O245" s="16">
        <f t="shared" si="87"/>
        <v>8950924</v>
      </c>
      <c r="P245" s="16"/>
      <c r="Q245" s="16">
        <v>7502526</v>
      </c>
      <c r="R245" s="16"/>
      <c r="S245" s="16">
        <v>0</v>
      </c>
      <c r="T245" s="16"/>
      <c r="U245" s="16">
        <v>2618624</v>
      </c>
      <c r="V245" s="16"/>
      <c r="W245" s="16">
        <f t="shared" si="88"/>
        <v>10121150</v>
      </c>
      <c r="X245" s="16"/>
      <c r="Y245" s="6" t="s">
        <v>109</v>
      </c>
      <c r="AA245" s="7" t="s">
        <v>78</v>
      </c>
      <c r="AB245" s="7"/>
      <c r="AC245" s="16">
        <v>8429690</v>
      </c>
      <c r="AD245" s="16"/>
      <c r="AE245" s="16">
        <f>6435320-856436</f>
        <v>5578884</v>
      </c>
      <c r="AF245" s="16"/>
      <c r="AG245" s="16">
        <v>856436</v>
      </c>
      <c r="AH245" s="16"/>
      <c r="AI245" s="8">
        <f t="shared" si="89"/>
        <v>1994370</v>
      </c>
      <c r="AJ245" s="8"/>
      <c r="AK245" s="16">
        <v>-312272</v>
      </c>
      <c r="AL245" s="8"/>
      <c r="AM245" s="16">
        <v>0</v>
      </c>
      <c r="AN245" s="16"/>
      <c r="AO245" s="16">
        <v>0</v>
      </c>
      <c r="AP245" s="16"/>
      <c r="AQ245" s="16">
        <v>0</v>
      </c>
      <c r="AR245" s="16"/>
      <c r="AS245" s="8">
        <f t="shared" si="90"/>
        <v>1682098</v>
      </c>
      <c r="AT245" s="8"/>
      <c r="AU245" s="16">
        <v>0</v>
      </c>
      <c r="AV245" s="16"/>
      <c r="AW245" s="16">
        <v>0</v>
      </c>
      <c r="AX245" s="16"/>
      <c r="AY245" s="16">
        <f t="shared" si="91"/>
        <v>1362688</v>
      </c>
      <c r="AZ245" s="16"/>
      <c r="BA245" s="6" t="s">
        <v>109</v>
      </c>
      <c r="BC245" s="7" t="s">
        <v>78</v>
      </c>
      <c r="BD245" s="16"/>
      <c r="BE245" s="16">
        <f>2888+573000</f>
        <v>575888</v>
      </c>
      <c r="BF245" s="16"/>
      <c r="BG245" s="16">
        <v>0</v>
      </c>
      <c r="BH245" s="16"/>
      <c r="BI245" s="16">
        <f>6696298+934201</f>
        <v>7630499</v>
      </c>
      <c r="BJ245" s="16"/>
      <c r="BK245" s="16">
        <f>155409+251265</f>
        <v>406674</v>
      </c>
      <c r="BL245" s="16"/>
      <c r="BM245" s="16">
        <f t="shared" si="92"/>
        <v>8613061</v>
      </c>
      <c r="BN245" s="17" t="s">
        <v>345</v>
      </c>
      <c r="BP245" s="18"/>
      <c r="BQ245" s="18"/>
      <c r="BR245" s="14"/>
      <c r="BS245" s="16"/>
      <c r="BT245" s="16"/>
      <c r="BU245" s="16"/>
      <c r="BV245" s="16"/>
      <c r="BW245" s="16"/>
      <c r="BX245" s="8"/>
      <c r="BY245" s="8"/>
      <c r="BZ245" s="16"/>
      <c r="CA245" s="16"/>
      <c r="CB245" s="16"/>
      <c r="CC245" s="16"/>
      <c r="CD245" s="16"/>
      <c r="CE245" s="16"/>
      <c r="CF245" s="6"/>
      <c r="CG245" s="18"/>
      <c r="CH245" s="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7"/>
    </row>
    <row r="246" spans="1:97" ht="12.75" hidden="1" customHeight="1" x14ac:dyDescent="0.2">
      <c r="A246" s="6" t="s">
        <v>263</v>
      </c>
      <c r="C246" s="7" t="s">
        <v>25</v>
      </c>
      <c r="E246" s="16">
        <v>0</v>
      </c>
      <c r="F246" s="16"/>
      <c r="G246" s="16"/>
      <c r="H246" s="16"/>
      <c r="I246" s="16">
        <f t="shared" si="86"/>
        <v>0</v>
      </c>
      <c r="J246" s="16"/>
      <c r="K246" s="16">
        <v>0</v>
      </c>
      <c r="L246" s="16"/>
      <c r="M246" s="16"/>
      <c r="N246" s="16"/>
      <c r="O246" s="16">
        <f t="shared" si="87"/>
        <v>0</v>
      </c>
      <c r="P246" s="16"/>
      <c r="Q246" s="16"/>
      <c r="R246" s="16"/>
      <c r="S246" s="16"/>
      <c r="T246" s="16"/>
      <c r="U246" s="16"/>
      <c r="V246" s="16"/>
      <c r="W246" s="16">
        <f t="shared" ref="W246:W249" si="97">SUM(Q246:U246)</f>
        <v>0</v>
      </c>
      <c r="X246" s="16"/>
      <c r="Y246" s="6" t="s">
        <v>263</v>
      </c>
      <c r="AA246" s="7" t="s">
        <v>25</v>
      </c>
      <c r="AB246" s="7"/>
      <c r="AC246" s="16"/>
      <c r="AD246" s="16"/>
      <c r="AE246" s="16"/>
      <c r="AF246" s="16"/>
      <c r="AG246" s="16"/>
      <c r="AH246" s="16"/>
      <c r="AI246" s="8">
        <f t="shared" si="89"/>
        <v>0</v>
      </c>
      <c r="AJ246" s="8"/>
      <c r="AK246" s="16"/>
      <c r="AL246" s="8"/>
      <c r="AM246" s="16"/>
      <c r="AN246" s="16"/>
      <c r="AO246" s="16"/>
      <c r="AP246" s="16"/>
      <c r="AQ246" s="16"/>
      <c r="AR246" s="16"/>
      <c r="AS246" s="8">
        <f t="shared" si="90"/>
        <v>0</v>
      </c>
      <c r="AT246" s="8"/>
      <c r="AU246" s="16">
        <v>0</v>
      </c>
      <c r="AV246" s="16"/>
      <c r="AW246" s="16">
        <v>0</v>
      </c>
      <c r="AX246" s="16"/>
      <c r="AY246" s="16">
        <f t="shared" si="91"/>
        <v>0</v>
      </c>
      <c r="AZ246" s="16"/>
      <c r="BA246" s="6" t="s">
        <v>263</v>
      </c>
      <c r="BC246" s="7" t="s">
        <v>25</v>
      </c>
      <c r="BD246" s="16"/>
      <c r="BE246" s="16"/>
      <c r="BF246" s="16"/>
      <c r="BG246" s="16"/>
      <c r="BH246" s="16"/>
      <c r="BI246" s="16"/>
      <c r="BJ246" s="16"/>
      <c r="BK246" s="16"/>
      <c r="BL246" s="16"/>
      <c r="BM246" s="16">
        <f t="shared" ref="BM246:BM249" si="98">SUM(BE246:BK246)</f>
        <v>0</v>
      </c>
      <c r="BN246" s="17" t="s">
        <v>345</v>
      </c>
      <c r="BP246" s="18"/>
      <c r="BQ246" s="18"/>
      <c r="BR246" s="14"/>
      <c r="BS246" s="16"/>
      <c r="BT246" s="16"/>
      <c r="BU246" s="16"/>
      <c r="BV246" s="16"/>
      <c r="BW246" s="16"/>
      <c r="BX246" s="8"/>
      <c r="BY246" s="8"/>
      <c r="BZ246" s="16"/>
      <c r="CA246" s="16"/>
      <c r="CB246" s="16"/>
      <c r="CC246" s="16"/>
      <c r="CD246" s="16"/>
      <c r="CE246" s="16"/>
      <c r="CF246" s="6"/>
      <c r="CG246" s="18"/>
      <c r="CH246" s="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7"/>
    </row>
    <row r="247" spans="1:97" ht="12.75" customHeight="1" x14ac:dyDescent="0.2">
      <c r="A247" s="6" t="s">
        <v>498</v>
      </c>
      <c r="C247" s="10" t="s">
        <v>448</v>
      </c>
      <c r="E247" s="16">
        <v>845452</v>
      </c>
      <c r="F247" s="16"/>
      <c r="G247" s="16">
        <v>19805903</v>
      </c>
      <c r="H247" s="16"/>
      <c r="I247" s="16">
        <f t="shared" si="86"/>
        <v>20651355</v>
      </c>
      <c r="J247" s="16"/>
      <c r="K247" s="16">
        <v>921565</v>
      </c>
      <c r="L247" s="16"/>
      <c r="M247" s="16">
        <v>3352366</v>
      </c>
      <c r="N247" s="16"/>
      <c r="O247" s="16">
        <f t="shared" si="87"/>
        <v>4273931</v>
      </c>
      <c r="P247" s="16"/>
      <c r="Q247" s="16">
        <v>15795222</v>
      </c>
      <c r="R247" s="16"/>
      <c r="S247" s="16">
        <v>0</v>
      </c>
      <c r="T247" s="16"/>
      <c r="U247" s="16">
        <v>582202</v>
      </c>
      <c r="V247" s="16"/>
      <c r="W247" s="16">
        <f t="shared" si="97"/>
        <v>16377424</v>
      </c>
      <c r="X247" s="16"/>
      <c r="Y247" s="6" t="s">
        <v>498</v>
      </c>
      <c r="AA247" s="10" t="s">
        <v>448</v>
      </c>
      <c r="AB247" s="6"/>
      <c r="AC247" s="16">
        <v>2593282</v>
      </c>
      <c r="AD247" s="16"/>
      <c r="AE247" s="16">
        <f>2573237-522977</f>
        <v>2050260</v>
      </c>
      <c r="AF247" s="16"/>
      <c r="AG247" s="16">
        <v>522977</v>
      </c>
      <c r="AH247" s="16"/>
      <c r="AI247" s="8">
        <f t="shared" si="89"/>
        <v>20045</v>
      </c>
      <c r="AJ247" s="8"/>
      <c r="AK247" s="16">
        <v>-128466</v>
      </c>
      <c r="AL247" s="8"/>
      <c r="AM247" s="16">
        <v>32750</v>
      </c>
      <c r="AN247" s="16"/>
      <c r="AO247" s="16">
        <v>0</v>
      </c>
      <c r="AP247" s="16"/>
      <c r="AQ247" s="16">
        <v>85196</v>
      </c>
      <c r="AR247" s="16"/>
      <c r="AS247" s="8">
        <f t="shared" si="90"/>
        <v>9525</v>
      </c>
      <c r="AT247" s="8"/>
      <c r="AU247" s="16">
        <v>0</v>
      </c>
      <c r="AV247" s="16"/>
      <c r="AW247" s="16">
        <v>0</v>
      </c>
      <c r="AX247" s="16"/>
      <c r="AY247" s="16">
        <f t="shared" si="91"/>
        <v>-76113</v>
      </c>
      <c r="AZ247" s="16"/>
      <c r="BA247" s="6" t="s">
        <v>498</v>
      </c>
      <c r="BC247" s="10" t="s">
        <v>448</v>
      </c>
      <c r="BD247" s="16"/>
      <c r="BE247" s="16">
        <v>0</v>
      </c>
      <c r="BF247" s="16"/>
      <c r="BG247" s="16">
        <v>0</v>
      </c>
      <c r="BH247" s="16"/>
      <c r="BI247" s="16">
        <f>3300723+359958</f>
        <v>3660681</v>
      </c>
      <c r="BJ247" s="16"/>
      <c r="BK247" s="16">
        <f>51643+28551</f>
        <v>80194</v>
      </c>
      <c r="BL247" s="16"/>
      <c r="BM247" s="16">
        <f t="shared" si="98"/>
        <v>3740875</v>
      </c>
      <c r="BN247" s="17" t="s">
        <v>345</v>
      </c>
      <c r="BP247" s="18"/>
      <c r="BQ247" s="18"/>
      <c r="BR247" s="14"/>
      <c r="BS247" s="16"/>
      <c r="BT247" s="16"/>
      <c r="BU247" s="16"/>
      <c r="BV247" s="16"/>
      <c r="BW247" s="16"/>
      <c r="BX247" s="8"/>
      <c r="BY247" s="8"/>
      <c r="BZ247" s="16"/>
      <c r="CA247" s="16"/>
      <c r="CB247" s="16"/>
      <c r="CC247" s="16"/>
      <c r="CD247" s="16"/>
      <c r="CE247" s="16"/>
      <c r="CF247" s="6"/>
      <c r="CG247" s="18"/>
      <c r="CH247" s="7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7"/>
    </row>
    <row r="248" spans="1:97" ht="12.75" customHeight="1" x14ac:dyDescent="0.2">
      <c r="A248" s="7" t="s">
        <v>499</v>
      </c>
      <c r="B248" s="10"/>
      <c r="C248" s="7" t="s">
        <v>161</v>
      </c>
      <c r="E248" s="16">
        <v>1576444</v>
      </c>
      <c r="F248" s="16"/>
      <c r="G248" s="16">
        <v>6641419</v>
      </c>
      <c r="H248" s="16"/>
      <c r="I248" s="16">
        <f t="shared" si="86"/>
        <v>8217863</v>
      </c>
      <c r="J248" s="16"/>
      <c r="K248" s="16">
        <v>1163104</v>
      </c>
      <c r="L248" s="16"/>
      <c r="M248" s="16">
        <v>2102664</v>
      </c>
      <c r="N248" s="16"/>
      <c r="O248" s="16">
        <f t="shared" si="87"/>
        <v>3265768</v>
      </c>
      <c r="P248" s="16"/>
      <c r="Q248" s="16">
        <v>5792107</v>
      </c>
      <c r="R248" s="16"/>
      <c r="S248" s="16">
        <v>0</v>
      </c>
      <c r="T248" s="16"/>
      <c r="U248" s="16">
        <v>-840012</v>
      </c>
      <c r="V248" s="16"/>
      <c r="W248" s="16">
        <f t="shared" ref="W248" si="99">SUM(Q248:U248)</f>
        <v>4952095</v>
      </c>
      <c r="X248" s="16"/>
      <c r="Y248" s="7" t="s">
        <v>499</v>
      </c>
      <c r="Z248" s="10"/>
      <c r="AA248" s="7" t="s">
        <v>161</v>
      </c>
      <c r="AB248" s="6"/>
      <c r="AC248" s="16">
        <v>1014338</v>
      </c>
      <c r="AD248" s="16"/>
      <c r="AE248" s="16">
        <f>732475-239991</f>
        <v>492484</v>
      </c>
      <c r="AF248" s="16"/>
      <c r="AG248" s="16">
        <v>239991</v>
      </c>
      <c r="AH248" s="16"/>
      <c r="AI248" s="8">
        <f t="shared" si="89"/>
        <v>281863</v>
      </c>
      <c r="AJ248" s="8"/>
      <c r="AK248" s="16">
        <v>-121346</v>
      </c>
      <c r="AL248" s="8"/>
      <c r="AM248" s="16">
        <v>13557</v>
      </c>
      <c r="AN248" s="16"/>
      <c r="AO248" s="16">
        <v>0</v>
      </c>
      <c r="AP248" s="16"/>
      <c r="AQ248" s="16">
        <v>0</v>
      </c>
      <c r="AR248" s="16"/>
      <c r="AS248" s="8">
        <f t="shared" si="90"/>
        <v>174074</v>
      </c>
      <c r="AT248" s="8"/>
      <c r="AU248" s="16">
        <v>0</v>
      </c>
      <c r="AV248" s="16"/>
      <c r="AW248" s="16">
        <v>0</v>
      </c>
      <c r="AX248" s="16"/>
      <c r="AY248" s="16">
        <f t="shared" si="91"/>
        <v>413340</v>
      </c>
      <c r="AZ248" s="16"/>
      <c r="BA248" s="7" t="s">
        <v>499</v>
      </c>
      <c r="BB248" s="10"/>
      <c r="BC248" s="7" t="s">
        <v>161</v>
      </c>
      <c r="BD248" s="16"/>
      <c r="BE248" s="16">
        <v>0</v>
      </c>
      <c r="BF248" s="16"/>
      <c r="BG248" s="16">
        <v>0</v>
      </c>
      <c r="BH248" s="16"/>
      <c r="BI248" s="16">
        <f>286679+41255+23128+1881</f>
        <v>352943</v>
      </c>
      <c r="BJ248" s="16"/>
      <c r="BK248" s="16">
        <f>127838+45287+1774620+110</f>
        <v>1947855</v>
      </c>
      <c r="BL248" s="16"/>
      <c r="BM248" s="16">
        <f t="shared" si="98"/>
        <v>2300798</v>
      </c>
      <c r="BN248" s="17"/>
      <c r="BP248" s="18"/>
      <c r="BQ248" s="18"/>
      <c r="BR248" s="14"/>
      <c r="BS248" s="16"/>
      <c r="BT248" s="16"/>
      <c r="BU248" s="16"/>
      <c r="BV248" s="16"/>
      <c r="BW248" s="16"/>
      <c r="BX248" s="8"/>
      <c r="BY248" s="8"/>
      <c r="BZ248" s="16"/>
      <c r="CA248" s="16"/>
      <c r="CB248" s="16"/>
      <c r="CC248" s="16"/>
      <c r="CD248" s="16"/>
      <c r="CE248" s="16"/>
      <c r="CF248" s="6"/>
      <c r="CG248" s="18"/>
      <c r="CH248" s="7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7"/>
    </row>
    <row r="249" spans="1:97" s="36" customFormat="1" ht="12.75" customHeight="1" x14ac:dyDescent="0.2">
      <c r="A249" s="19" t="s">
        <v>264</v>
      </c>
      <c r="B249" s="21"/>
      <c r="C249" s="19" t="s">
        <v>265</v>
      </c>
      <c r="D249" s="9"/>
      <c r="E249" s="16">
        <v>2928159</v>
      </c>
      <c r="F249" s="16"/>
      <c r="G249" s="16">
        <v>8193049</v>
      </c>
      <c r="H249" s="16"/>
      <c r="I249" s="16">
        <f t="shared" si="86"/>
        <v>11121208</v>
      </c>
      <c r="J249" s="16"/>
      <c r="K249" s="16">
        <v>51556</v>
      </c>
      <c r="L249" s="16"/>
      <c r="M249" s="16">
        <v>2855160</v>
      </c>
      <c r="N249" s="16"/>
      <c r="O249" s="16">
        <f t="shared" si="87"/>
        <v>2906716</v>
      </c>
      <c r="P249" s="16"/>
      <c r="Q249" s="16">
        <v>5354641</v>
      </c>
      <c r="R249" s="16"/>
      <c r="S249" s="16">
        <v>0</v>
      </c>
      <c r="T249" s="16"/>
      <c r="U249" s="16">
        <v>2859851</v>
      </c>
      <c r="V249" s="16"/>
      <c r="W249" s="16">
        <f t="shared" si="97"/>
        <v>8214492</v>
      </c>
      <c r="X249" s="28"/>
      <c r="Y249" s="19" t="s">
        <v>264</v>
      </c>
      <c r="AA249" s="19" t="s">
        <v>265</v>
      </c>
      <c r="AB249" s="19"/>
      <c r="AC249" s="16">
        <v>1329261</v>
      </c>
      <c r="AD249" s="16"/>
      <c r="AE249" s="16">
        <f>1034431-241712</f>
        <v>792719</v>
      </c>
      <c r="AF249" s="16"/>
      <c r="AG249" s="16">
        <v>241712</v>
      </c>
      <c r="AH249" s="16"/>
      <c r="AI249" s="8">
        <f t="shared" si="89"/>
        <v>294830</v>
      </c>
      <c r="AJ249" s="8"/>
      <c r="AK249" s="16">
        <v>-1114</v>
      </c>
      <c r="AL249" s="40"/>
      <c r="AM249" s="16">
        <v>0</v>
      </c>
      <c r="AN249" s="16"/>
      <c r="AO249" s="16">
        <v>0</v>
      </c>
      <c r="AP249" s="16"/>
      <c r="AQ249" s="16">
        <v>0</v>
      </c>
      <c r="AR249" s="16"/>
      <c r="AS249" s="8">
        <f t="shared" si="90"/>
        <v>293716</v>
      </c>
      <c r="AT249" s="8"/>
      <c r="AU249" s="16">
        <v>0</v>
      </c>
      <c r="AV249" s="16"/>
      <c r="AW249" s="16">
        <v>0</v>
      </c>
      <c r="AX249" s="16"/>
      <c r="AY249" s="16">
        <f t="shared" si="91"/>
        <v>2876603</v>
      </c>
      <c r="AZ249" s="28"/>
      <c r="BA249" s="19" t="s">
        <v>264</v>
      </c>
      <c r="BC249" s="19" t="s">
        <v>265</v>
      </c>
      <c r="BD249" s="28"/>
      <c r="BE249" s="16">
        <v>0</v>
      </c>
      <c r="BF249" s="16"/>
      <c r="BG249" s="16">
        <v>0</v>
      </c>
      <c r="BH249" s="16"/>
      <c r="BI249" s="16">
        <v>2838408</v>
      </c>
      <c r="BJ249" s="16"/>
      <c r="BK249" s="16">
        <f>16752+9915</f>
        <v>26667</v>
      </c>
      <c r="BL249" s="16"/>
      <c r="BM249" s="16">
        <f t="shared" si="98"/>
        <v>2865075</v>
      </c>
      <c r="BN249" s="37" t="s">
        <v>345</v>
      </c>
      <c r="BO249" s="36" t="s">
        <v>402</v>
      </c>
      <c r="BR249" s="21"/>
      <c r="BS249" s="28"/>
      <c r="BT249" s="28"/>
      <c r="BU249" s="28"/>
      <c r="BV249" s="28"/>
      <c r="BW249" s="28"/>
      <c r="BX249" s="40"/>
      <c r="BY249" s="40"/>
      <c r="BZ249" s="28"/>
      <c r="CA249" s="28"/>
      <c r="CB249" s="28"/>
      <c r="CC249" s="28"/>
      <c r="CD249" s="28"/>
      <c r="CE249" s="28"/>
      <c r="CF249" s="19"/>
      <c r="CH249" s="19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37"/>
    </row>
    <row r="250" spans="1:97" s="36" customFormat="1" ht="12.75" hidden="1" customHeight="1" x14ac:dyDescent="0.2">
      <c r="A250" s="19" t="s">
        <v>266</v>
      </c>
      <c r="B250" s="21"/>
      <c r="C250" s="19" t="s">
        <v>267</v>
      </c>
      <c r="D250" s="9"/>
      <c r="E250" s="28">
        <v>338386</v>
      </c>
      <c r="F250" s="28"/>
      <c r="G250" s="28">
        <v>4192443</v>
      </c>
      <c r="H250" s="28"/>
      <c r="I250" s="16">
        <f t="shared" si="86"/>
        <v>4530829</v>
      </c>
      <c r="J250" s="28"/>
      <c r="K250" s="28">
        <v>256647</v>
      </c>
      <c r="L250" s="28"/>
      <c r="M250" s="28">
        <v>2438375</v>
      </c>
      <c r="N250" s="28"/>
      <c r="O250" s="16">
        <f t="shared" si="87"/>
        <v>2695022</v>
      </c>
      <c r="P250" s="28"/>
      <c r="Q250" s="28">
        <v>1526419</v>
      </c>
      <c r="R250" s="28"/>
      <c r="S250" s="28">
        <v>0</v>
      </c>
      <c r="T250" s="28"/>
      <c r="U250" s="28">
        <v>309388</v>
      </c>
      <c r="V250" s="28"/>
      <c r="W250" s="28">
        <f t="shared" ref="W250:W266" si="100">SUM(Q250:U250)</f>
        <v>1835807</v>
      </c>
      <c r="X250" s="28"/>
      <c r="Y250" s="19" t="s">
        <v>266</v>
      </c>
      <c r="AA250" s="19" t="s">
        <v>267</v>
      </c>
      <c r="AB250" s="19"/>
      <c r="AC250" s="28">
        <v>936931</v>
      </c>
      <c r="AD250" s="28"/>
      <c r="AE250" s="28">
        <f>739292-138717</f>
        <v>600575</v>
      </c>
      <c r="AF250" s="28"/>
      <c r="AG250" s="28">
        <v>138717</v>
      </c>
      <c r="AH250" s="28"/>
      <c r="AI250" s="40">
        <f t="shared" ref="AI250:AI266" si="101">+AC250-AE250-AG250</f>
        <v>197639</v>
      </c>
      <c r="AJ250" s="40"/>
      <c r="AK250" s="28">
        <v>1849</v>
      </c>
      <c r="AL250" s="40"/>
      <c r="AM250" s="28">
        <v>50000</v>
      </c>
      <c r="AN250" s="28"/>
      <c r="AO250" s="28">
        <v>0</v>
      </c>
      <c r="AP250" s="28"/>
      <c r="AQ250" s="28">
        <v>0</v>
      </c>
      <c r="AR250" s="28"/>
      <c r="AS250" s="40">
        <f t="shared" ref="AS250:AS266" si="102">+AI250+AK250+AM250-AO250+AQ250</f>
        <v>249488</v>
      </c>
      <c r="AT250" s="40"/>
      <c r="AU250" s="28">
        <v>0</v>
      </c>
      <c r="AV250" s="28"/>
      <c r="AW250" s="28">
        <v>0</v>
      </c>
      <c r="AX250" s="28"/>
      <c r="AY250" s="28">
        <f t="shared" ref="AY250:AY266" si="103">+E250-K250</f>
        <v>81739</v>
      </c>
      <c r="AZ250" s="28"/>
      <c r="BA250" s="19" t="s">
        <v>266</v>
      </c>
      <c r="BC250" s="19" t="s">
        <v>267</v>
      </c>
      <c r="BD250" s="28"/>
      <c r="BE250" s="28">
        <v>0</v>
      </c>
      <c r="BF250" s="28"/>
      <c r="BG250" s="28">
        <v>0</v>
      </c>
      <c r="BH250" s="28"/>
      <c r="BI250" s="28">
        <f>8662+2424335+1925+192818</f>
        <v>2627740</v>
      </c>
      <c r="BJ250" s="28"/>
      <c r="BK250" s="28">
        <f>4262+5378</f>
        <v>9640</v>
      </c>
      <c r="BL250" s="28"/>
      <c r="BM250" s="28">
        <f t="shared" ref="BM250:BM266" si="104">SUM(BE250:BK250)</f>
        <v>2637380</v>
      </c>
      <c r="BN250" s="37" t="s">
        <v>345</v>
      </c>
      <c r="BR250" s="21"/>
      <c r="BS250" s="28"/>
      <c r="BT250" s="28"/>
      <c r="BU250" s="28"/>
      <c r="BV250" s="28"/>
      <c r="BW250" s="28"/>
      <c r="BX250" s="40"/>
      <c r="BY250" s="40"/>
      <c r="BZ250" s="28"/>
      <c r="CA250" s="28"/>
      <c r="CB250" s="28"/>
      <c r="CC250" s="28"/>
      <c r="CD250" s="28"/>
      <c r="CE250" s="28"/>
      <c r="CF250" s="19"/>
      <c r="CH250" s="19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37"/>
    </row>
    <row r="251" spans="1:97" ht="12.75" customHeight="1" x14ac:dyDescent="0.2">
      <c r="A251" s="6" t="s">
        <v>268</v>
      </c>
      <c r="C251" s="6" t="s">
        <v>134</v>
      </c>
      <c r="E251" s="16">
        <v>474518</v>
      </c>
      <c r="F251" s="16"/>
      <c r="G251" s="16">
        <v>6379165</v>
      </c>
      <c r="H251" s="16"/>
      <c r="I251" s="16">
        <f t="shared" si="86"/>
        <v>6853683</v>
      </c>
      <c r="J251" s="16"/>
      <c r="K251" s="16">
        <v>296879</v>
      </c>
      <c r="L251" s="16"/>
      <c r="M251" s="16">
        <v>2431814</v>
      </c>
      <c r="N251" s="16"/>
      <c r="O251" s="16">
        <f t="shared" si="87"/>
        <v>2728693</v>
      </c>
      <c r="P251" s="16"/>
      <c r="Q251" s="16">
        <v>3761580</v>
      </c>
      <c r="R251" s="16"/>
      <c r="S251" s="16">
        <v>0</v>
      </c>
      <c r="T251" s="16"/>
      <c r="U251" s="16">
        <v>363410</v>
      </c>
      <c r="V251" s="16"/>
      <c r="W251" s="16">
        <f t="shared" si="100"/>
        <v>4124990</v>
      </c>
      <c r="X251" s="16"/>
      <c r="Y251" s="6" t="s">
        <v>268</v>
      </c>
      <c r="AA251" s="6" t="s">
        <v>134</v>
      </c>
      <c r="AB251" s="6"/>
      <c r="AC251" s="16">
        <v>1021263</v>
      </c>
      <c r="AD251" s="16"/>
      <c r="AE251" s="16">
        <f>934112-269146</f>
        <v>664966</v>
      </c>
      <c r="AF251" s="16"/>
      <c r="AG251" s="16">
        <v>269146</v>
      </c>
      <c r="AH251" s="16"/>
      <c r="AI251" s="8">
        <f t="shared" si="101"/>
        <v>87151</v>
      </c>
      <c r="AJ251" s="8"/>
      <c r="AK251" s="16">
        <v>-116579</v>
      </c>
      <c r="AL251" s="8"/>
      <c r="AM251" s="16">
        <v>0</v>
      </c>
      <c r="AN251" s="16"/>
      <c r="AO251" s="16">
        <v>0</v>
      </c>
      <c r="AP251" s="16"/>
      <c r="AQ251" s="16">
        <v>0</v>
      </c>
      <c r="AR251" s="16"/>
      <c r="AS251" s="8">
        <f t="shared" si="102"/>
        <v>-29428</v>
      </c>
      <c r="AT251" s="8"/>
      <c r="AU251" s="16">
        <v>0</v>
      </c>
      <c r="AV251" s="16"/>
      <c r="AW251" s="16">
        <v>0</v>
      </c>
      <c r="AX251" s="16"/>
      <c r="AY251" s="16">
        <f t="shared" si="103"/>
        <v>177639</v>
      </c>
      <c r="AZ251" s="16"/>
      <c r="BA251" s="6" t="s">
        <v>268</v>
      </c>
      <c r="BC251" s="6" t="s">
        <v>134</v>
      </c>
      <c r="BD251" s="16"/>
      <c r="BE251" s="16">
        <f>567000+18000</f>
        <v>585000</v>
      </c>
      <c r="BF251" s="16"/>
      <c r="BG251" s="16">
        <f>1423000+44000</f>
        <v>1467000</v>
      </c>
      <c r="BH251" s="16"/>
      <c r="BI251" s="16">
        <f>21224+404574+1516+138271</f>
        <v>565585</v>
      </c>
      <c r="BJ251" s="16"/>
      <c r="BK251" s="16">
        <f>16016+21552</f>
        <v>37568</v>
      </c>
      <c r="BL251" s="16"/>
      <c r="BM251" s="16">
        <f>SUM(BE251:BK251)</f>
        <v>2655153</v>
      </c>
      <c r="BN251" s="17" t="s">
        <v>345</v>
      </c>
      <c r="BP251" s="18"/>
      <c r="BQ251" s="18"/>
      <c r="BR251" s="14"/>
      <c r="BS251" s="16"/>
      <c r="BT251" s="16"/>
      <c r="BU251" s="16"/>
      <c r="BV251" s="16"/>
      <c r="BW251" s="16"/>
      <c r="BX251" s="8"/>
      <c r="BY251" s="8"/>
      <c r="BZ251" s="16"/>
      <c r="CA251" s="16"/>
      <c r="CB251" s="16"/>
      <c r="CC251" s="16"/>
      <c r="CD251" s="16"/>
      <c r="CE251" s="16"/>
      <c r="CF251" s="6"/>
      <c r="CG251" s="18"/>
      <c r="CH251" s="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7"/>
    </row>
    <row r="252" spans="1:97" ht="12.75" customHeight="1" x14ac:dyDescent="0.2">
      <c r="A252" s="6" t="s">
        <v>269</v>
      </c>
      <c r="C252" s="6" t="s">
        <v>64</v>
      </c>
      <c r="E252" s="16">
        <v>1775368</v>
      </c>
      <c r="F252" s="16"/>
      <c r="G252" s="16">
        <f>24000+418758</f>
        <v>442758</v>
      </c>
      <c r="H252" s="16"/>
      <c r="I252" s="16">
        <f t="shared" si="86"/>
        <v>2218126</v>
      </c>
      <c r="J252" s="16"/>
      <c r="K252" s="16">
        <v>55248</v>
      </c>
      <c r="L252" s="16"/>
      <c r="M252" s="16">
        <f>8452+188153</f>
        <v>196605</v>
      </c>
      <c r="N252" s="16"/>
      <c r="O252" s="16">
        <f t="shared" si="87"/>
        <v>251853</v>
      </c>
      <c r="P252" s="16"/>
      <c r="Q252" s="16">
        <v>243853</v>
      </c>
      <c r="R252" s="16"/>
      <c r="S252" s="16">
        <v>0</v>
      </c>
      <c r="T252" s="16"/>
      <c r="U252" s="16">
        <v>1722420</v>
      </c>
      <c r="V252" s="16"/>
      <c r="W252" s="16">
        <f t="shared" si="100"/>
        <v>1966273</v>
      </c>
      <c r="X252" s="16"/>
      <c r="Y252" s="6" t="s">
        <v>269</v>
      </c>
      <c r="AA252" s="6" t="s">
        <v>64</v>
      </c>
      <c r="AB252" s="6"/>
      <c r="AC252" s="16">
        <v>1378732</v>
      </c>
      <c r="AD252" s="16"/>
      <c r="AE252" s="16">
        <f>1249427-49901</f>
        <v>1199526</v>
      </c>
      <c r="AF252" s="16"/>
      <c r="AG252" s="16">
        <v>49901</v>
      </c>
      <c r="AH252" s="16"/>
      <c r="AI252" s="8">
        <f t="shared" si="101"/>
        <v>129305</v>
      </c>
      <c r="AJ252" s="8"/>
      <c r="AK252" s="16">
        <v>6418</v>
      </c>
      <c r="AL252" s="8"/>
      <c r="AM252" s="16">
        <v>0</v>
      </c>
      <c r="AN252" s="16"/>
      <c r="AO252" s="16">
        <v>0</v>
      </c>
      <c r="AP252" s="16"/>
      <c r="AQ252" s="16">
        <v>0</v>
      </c>
      <c r="AR252" s="16"/>
      <c r="AS252" s="8">
        <f t="shared" si="102"/>
        <v>135723</v>
      </c>
      <c r="AT252" s="8"/>
      <c r="AU252" s="16">
        <v>0</v>
      </c>
      <c r="AV252" s="16"/>
      <c r="AW252" s="16">
        <v>0</v>
      </c>
      <c r="AX252" s="16"/>
      <c r="AY252" s="16">
        <f t="shared" si="103"/>
        <v>1720120</v>
      </c>
      <c r="AZ252" s="16"/>
      <c r="BA252" s="6" t="s">
        <v>269</v>
      </c>
      <c r="BC252" s="6" t="s">
        <v>64</v>
      </c>
      <c r="BD252" s="16"/>
      <c r="BE252" s="16">
        <v>0</v>
      </c>
      <c r="BF252" s="16"/>
      <c r="BG252" s="16">
        <v>0</v>
      </c>
      <c r="BH252" s="16"/>
      <c r="BI252" s="16">
        <f>188153+10752</f>
        <v>198905</v>
      </c>
      <c r="BJ252" s="16"/>
      <c r="BK252" s="16">
        <f>8452+8572</f>
        <v>17024</v>
      </c>
      <c r="BL252" s="16"/>
      <c r="BM252" s="16">
        <f t="shared" si="104"/>
        <v>215929</v>
      </c>
      <c r="BN252" s="17" t="s">
        <v>345</v>
      </c>
      <c r="BO252" s="18" t="s">
        <v>403</v>
      </c>
      <c r="BP252" s="18"/>
      <c r="BQ252" s="18"/>
      <c r="BR252" s="14"/>
      <c r="BS252" s="16"/>
      <c r="BT252" s="16"/>
      <c r="BU252" s="16"/>
      <c r="BV252" s="16"/>
      <c r="BW252" s="16"/>
      <c r="BX252" s="8"/>
      <c r="BY252" s="8"/>
      <c r="BZ252" s="16"/>
      <c r="CA252" s="16"/>
      <c r="CB252" s="16"/>
      <c r="CC252" s="16"/>
      <c r="CD252" s="16"/>
      <c r="CE252" s="16"/>
      <c r="CF252" s="6"/>
      <c r="CG252" s="18"/>
      <c r="CH252" s="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7"/>
    </row>
    <row r="253" spans="1:97" ht="12.75" customHeight="1" x14ac:dyDescent="0.2">
      <c r="A253" s="19" t="s">
        <v>270</v>
      </c>
      <c r="B253" s="36"/>
      <c r="C253" s="19" t="s">
        <v>41</v>
      </c>
      <c r="D253" s="9"/>
      <c r="E253" s="16">
        <v>7371781</v>
      </c>
      <c r="F253" s="16"/>
      <c r="G253" s="16">
        <v>14167873</v>
      </c>
      <c r="H253" s="16"/>
      <c r="I253" s="16">
        <f t="shared" si="86"/>
        <v>21539654</v>
      </c>
      <c r="J253" s="16"/>
      <c r="K253" s="16">
        <v>1617633</v>
      </c>
      <c r="L253" s="16"/>
      <c r="M253" s="16">
        <v>1825741</v>
      </c>
      <c r="N253" s="16"/>
      <c r="O253" s="16">
        <f t="shared" si="87"/>
        <v>3443374</v>
      </c>
      <c r="P253" s="16"/>
      <c r="Q253" s="16">
        <v>12847258</v>
      </c>
      <c r="R253" s="16"/>
      <c r="S253" s="16">
        <v>0</v>
      </c>
      <c r="T253" s="16"/>
      <c r="U253" s="16">
        <v>5249022</v>
      </c>
      <c r="V253" s="16"/>
      <c r="W253" s="16">
        <f t="shared" si="100"/>
        <v>18096280</v>
      </c>
      <c r="X253" s="28"/>
      <c r="Y253" s="19" t="s">
        <v>270</v>
      </c>
      <c r="Z253" s="36"/>
      <c r="AA253" s="19" t="s">
        <v>41</v>
      </c>
      <c r="AB253" s="19"/>
      <c r="AC253" s="16">
        <v>8059897</v>
      </c>
      <c r="AD253" s="16"/>
      <c r="AE253" s="16">
        <f>8004088-421126</f>
        <v>7582962</v>
      </c>
      <c r="AF253" s="16"/>
      <c r="AG253" s="16">
        <v>421126</v>
      </c>
      <c r="AH253" s="16"/>
      <c r="AI253" s="8">
        <f t="shared" si="101"/>
        <v>55809</v>
      </c>
      <c r="AJ253" s="8"/>
      <c r="AK253" s="16">
        <v>-82900</v>
      </c>
      <c r="AL253" s="8"/>
      <c r="AM253" s="16">
        <v>0</v>
      </c>
      <c r="AN253" s="16"/>
      <c r="AO253" s="16">
        <v>0</v>
      </c>
      <c r="AP253" s="16"/>
      <c r="AQ253" s="16">
        <f>226550+79750</f>
        <v>306300</v>
      </c>
      <c r="AR253" s="16"/>
      <c r="AS253" s="8">
        <f t="shared" si="102"/>
        <v>279209</v>
      </c>
      <c r="AT253" s="8"/>
      <c r="AU253" s="16">
        <v>0</v>
      </c>
      <c r="AV253" s="16"/>
      <c r="AW253" s="16">
        <v>0</v>
      </c>
      <c r="AX253" s="16"/>
      <c r="AY253" s="16">
        <f t="shared" si="103"/>
        <v>5754148</v>
      </c>
      <c r="AZ253" s="16"/>
      <c r="BA253" s="19" t="s">
        <v>270</v>
      </c>
      <c r="BB253" s="36"/>
      <c r="BC253" s="19" t="s">
        <v>41</v>
      </c>
      <c r="BD253" s="28"/>
      <c r="BE253" s="16">
        <f>1812545+80220</f>
        <v>1892765</v>
      </c>
      <c r="BF253" s="16"/>
      <c r="BG253" s="16">
        <v>0</v>
      </c>
      <c r="BH253" s="16"/>
      <c r="BI253" s="16">
        <v>0</v>
      </c>
      <c r="BJ253" s="16"/>
      <c r="BK253" s="16">
        <f>13196+29407</f>
        <v>42603</v>
      </c>
      <c r="BL253" s="16"/>
      <c r="BM253" s="16">
        <f t="shared" si="104"/>
        <v>1935368</v>
      </c>
      <c r="BN253" s="17" t="s">
        <v>345</v>
      </c>
      <c r="BP253" s="18"/>
      <c r="BQ253" s="18"/>
      <c r="BR253" s="14"/>
      <c r="BS253" s="16"/>
      <c r="BT253" s="16"/>
      <c r="BU253" s="16"/>
      <c r="BV253" s="16"/>
      <c r="BW253" s="16"/>
      <c r="BX253" s="8"/>
      <c r="BY253" s="8"/>
      <c r="BZ253" s="16"/>
      <c r="CA253" s="16"/>
      <c r="CB253" s="16"/>
      <c r="CC253" s="16"/>
      <c r="CD253" s="16"/>
      <c r="CE253" s="16"/>
      <c r="CF253" s="6"/>
      <c r="CG253" s="18"/>
      <c r="CH253" s="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7"/>
    </row>
    <row r="254" spans="1:97" ht="12.75" customHeight="1" x14ac:dyDescent="0.2">
      <c r="A254" s="6" t="s">
        <v>271</v>
      </c>
      <c r="C254" s="6" t="s">
        <v>25</v>
      </c>
      <c r="E254" s="16">
        <v>5565998</v>
      </c>
      <c r="F254" s="16"/>
      <c r="G254" s="16">
        <v>36845996</v>
      </c>
      <c r="H254" s="16"/>
      <c r="I254" s="16">
        <f t="shared" si="86"/>
        <v>42411994</v>
      </c>
      <c r="J254" s="16"/>
      <c r="K254" s="16">
        <v>218649</v>
      </c>
      <c r="L254" s="16"/>
      <c r="M254" s="16">
        <v>0</v>
      </c>
      <c r="N254" s="16"/>
      <c r="O254" s="16">
        <f t="shared" si="87"/>
        <v>218649</v>
      </c>
      <c r="P254" s="16"/>
      <c r="Q254" s="16">
        <v>28108293</v>
      </c>
      <c r="R254" s="16"/>
      <c r="S254" s="16">
        <v>0</v>
      </c>
      <c r="T254" s="16"/>
      <c r="U254" s="16">
        <v>14085052</v>
      </c>
      <c r="V254" s="16"/>
      <c r="W254" s="16">
        <f t="shared" si="100"/>
        <v>42193345</v>
      </c>
      <c r="X254" s="16"/>
      <c r="Y254" s="6" t="s">
        <v>271</v>
      </c>
      <c r="AA254" s="6" t="s">
        <v>25</v>
      </c>
      <c r="AB254" s="6"/>
      <c r="AC254" s="16">
        <v>1864331</v>
      </c>
      <c r="AD254" s="16"/>
      <c r="AE254" s="16">
        <f>3181276-1091552</f>
        <v>2089724</v>
      </c>
      <c r="AF254" s="16"/>
      <c r="AG254" s="16">
        <v>1091552</v>
      </c>
      <c r="AH254" s="16"/>
      <c r="AI254" s="8">
        <f t="shared" si="101"/>
        <v>-1316945</v>
      </c>
      <c r="AJ254" s="8"/>
      <c r="AK254" s="16">
        <v>-296851</v>
      </c>
      <c r="AL254" s="8"/>
      <c r="AM254" s="16">
        <v>0</v>
      </c>
      <c r="AN254" s="16"/>
      <c r="AO254" s="16">
        <v>0</v>
      </c>
      <c r="AP254" s="16"/>
      <c r="AQ254" s="16">
        <v>0</v>
      </c>
      <c r="AR254" s="16"/>
      <c r="AS254" s="8">
        <f t="shared" si="102"/>
        <v>-1613796</v>
      </c>
      <c r="AT254" s="8"/>
      <c r="AU254" s="16">
        <v>0</v>
      </c>
      <c r="AV254" s="16"/>
      <c r="AW254" s="16">
        <v>0</v>
      </c>
      <c r="AX254" s="16"/>
      <c r="AY254" s="16">
        <f t="shared" si="103"/>
        <v>5347349</v>
      </c>
      <c r="AZ254" s="16"/>
      <c r="BA254" s="6" t="s">
        <v>271</v>
      </c>
      <c r="BC254" s="6" t="s">
        <v>25</v>
      </c>
      <c r="BD254" s="16"/>
      <c r="BE254" s="16">
        <v>0</v>
      </c>
      <c r="BF254" s="16"/>
      <c r="BG254" s="16">
        <v>0</v>
      </c>
      <c r="BH254" s="16"/>
      <c r="BI254" s="16">
        <v>0</v>
      </c>
      <c r="BJ254" s="16"/>
      <c r="BK254" s="16">
        <v>0</v>
      </c>
      <c r="BL254" s="16"/>
      <c r="BM254" s="16">
        <f t="shared" si="104"/>
        <v>0</v>
      </c>
      <c r="BN254" s="17" t="s">
        <v>345</v>
      </c>
      <c r="BP254" s="18"/>
      <c r="BQ254" s="18"/>
      <c r="BR254" s="14"/>
      <c r="BS254" s="16"/>
      <c r="BT254" s="16"/>
      <c r="BU254" s="16"/>
      <c r="BV254" s="16"/>
      <c r="BW254" s="16"/>
      <c r="BX254" s="8"/>
      <c r="BY254" s="8"/>
      <c r="BZ254" s="16"/>
      <c r="CA254" s="16"/>
      <c r="CB254" s="16"/>
      <c r="CC254" s="16"/>
      <c r="CD254" s="16"/>
      <c r="CE254" s="16"/>
      <c r="CF254" s="6"/>
      <c r="CG254" s="18"/>
      <c r="CH254" s="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7"/>
    </row>
    <row r="255" spans="1:97" ht="12.75" customHeight="1" x14ac:dyDescent="0.2">
      <c r="A255" s="6" t="s">
        <v>273</v>
      </c>
      <c r="C255" s="6" t="s">
        <v>90</v>
      </c>
      <c r="E255" s="16">
        <v>1966164</v>
      </c>
      <c r="F255" s="16"/>
      <c r="G255" s="16">
        <v>3518704</v>
      </c>
      <c r="H255" s="16"/>
      <c r="I255" s="16">
        <f t="shared" si="86"/>
        <v>5484868</v>
      </c>
      <c r="J255" s="16"/>
      <c r="K255" s="16">
        <v>185490</v>
      </c>
      <c r="L255" s="16"/>
      <c r="M255" s="16">
        <v>0</v>
      </c>
      <c r="N255" s="16"/>
      <c r="O255" s="16">
        <f t="shared" si="87"/>
        <v>185490</v>
      </c>
      <c r="P255" s="16"/>
      <c r="Q255" s="16">
        <v>3518704</v>
      </c>
      <c r="R255" s="16"/>
      <c r="S255" s="16">
        <v>0</v>
      </c>
      <c r="T255" s="16"/>
      <c r="U255" s="16">
        <v>1780674</v>
      </c>
      <c r="V255" s="16"/>
      <c r="W255" s="16">
        <f t="shared" si="100"/>
        <v>5299378</v>
      </c>
      <c r="X255" s="16"/>
      <c r="Y255" s="6" t="s">
        <v>273</v>
      </c>
      <c r="AA255" s="6" t="s">
        <v>90</v>
      </c>
      <c r="AB255" s="6"/>
      <c r="AC255" s="16">
        <v>2025914</v>
      </c>
      <c r="AD255" s="16"/>
      <c r="AE255" s="16">
        <f>1951511-170529</f>
        <v>1780982</v>
      </c>
      <c r="AF255" s="16"/>
      <c r="AG255" s="16">
        <v>170529</v>
      </c>
      <c r="AH255" s="16"/>
      <c r="AI255" s="8">
        <f t="shared" si="101"/>
        <v>74403</v>
      </c>
      <c r="AJ255" s="8"/>
      <c r="AK255" s="16">
        <v>0</v>
      </c>
      <c r="AL255" s="8"/>
      <c r="AM255" s="16">
        <v>0</v>
      </c>
      <c r="AN255" s="16"/>
      <c r="AO255" s="16">
        <v>0</v>
      </c>
      <c r="AP255" s="16"/>
      <c r="AQ255" s="16">
        <v>0</v>
      </c>
      <c r="AR255" s="16"/>
      <c r="AS255" s="8">
        <f t="shared" si="102"/>
        <v>74403</v>
      </c>
      <c r="AT255" s="8"/>
      <c r="AU255" s="16">
        <v>0</v>
      </c>
      <c r="AV255" s="16"/>
      <c r="AW255" s="16">
        <v>0</v>
      </c>
      <c r="AX255" s="16"/>
      <c r="AY255" s="16">
        <f t="shared" si="103"/>
        <v>1780674</v>
      </c>
      <c r="AZ255" s="16"/>
      <c r="BA255" s="6" t="s">
        <v>273</v>
      </c>
      <c r="BC255" s="6" t="s">
        <v>90</v>
      </c>
      <c r="BD255" s="16"/>
      <c r="BE255" s="16">
        <v>0</v>
      </c>
      <c r="BF255" s="16"/>
      <c r="BG255" s="16">
        <v>0</v>
      </c>
      <c r="BH255" s="16"/>
      <c r="BI255" s="16">
        <v>0</v>
      </c>
      <c r="BJ255" s="16"/>
      <c r="BK255" s="16">
        <v>0</v>
      </c>
      <c r="BL255" s="16"/>
      <c r="BM255" s="16">
        <f t="shared" si="104"/>
        <v>0</v>
      </c>
      <c r="BN255" s="17" t="s">
        <v>345</v>
      </c>
      <c r="BO255" s="18" t="s">
        <v>402</v>
      </c>
      <c r="BP255" s="18"/>
      <c r="BQ255" s="18"/>
      <c r="BR255" s="14"/>
      <c r="BS255" s="16"/>
      <c r="BT255" s="16"/>
      <c r="BU255" s="16"/>
      <c r="BV255" s="16"/>
      <c r="BW255" s="16"/>
      <c r="BX255" s="8"/>
      <c r="BY255" s="8"/>
      <c r="BZ255" s="16"/>
      <c r="CA255" s="16"/>
      <c r="CB255" s="16"/>
      <c r="CC255" s="16"/>
      <c r="CD255" s="16"/>
      <c r="CE255" s="16"/>
      <c r="CF255" s="6"/>
      <c r="CG255" s="18"/>
      <c r="CH255" s="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7"/>
    </row>
    <row r="256" spans="1:97" ht="12.75" customHeight="1" x14ac:dyDescent="0.2">
      <c r="A256" s="6" t="s">
        <v>274</v>
      </c>
      <c r="C256" s="6" t="s">
        <v>36</v>
      </c>
      <c r="E256" s="16">
        <v>2547314</v>
      </c>
      <c r="F256" s="16"/>
      <c r="G256" s="16">
        <v>5211421</v>
      </c>
      <c r="H256" s="16"/>
      <c r="I256" s="16">
        <f t="shared" si="86"/>
        <v>7758735</v>
      </c>
      <c r="J256" s="16"/>
      <c r="K256" s="16">
        <v>1266915</v>
      </c>
      <c r="L256" s="16"/>
      <c r="M256" s="16">
        <v>979671</v>
      </c>
      <c r="N256" s="16"/>
      <c r="O256" s="16">
        <f t="shared" si="87"/>
        <v>2246586</v>
      </c>
      <c r="P256" s="16"/>
      <c r="Q256" s="16">
        <v>4251065</v>
      </c>
      <c r="R256" s="16"/>
      <c r="S256" s="16">
        <v>0</v>
      </c>
      <c r="T256" s="16"/>
      <c r="U256" s="16">
        <v>1261084</v>
      </c>
      <c r="V256" s="16"/>
      <c r="W256" s="16">
        <f t="shared" si="100"/>
        <v>5512149</v>
      </c>
      <c r="X256" s="16"/>
      <c r="Y256" s="6" t="s">
        <v>274</v>
      </c>
      <c r="AA256" s="6" t="s">
        <v>36</v>
      </c>
      <c r="AB256" s="6"/>
      <c r="AC256" s="16">
        <v>1597415</v>
      </c>
      <c r="AD256" s="16"/>
      <c r="AE256" s="16">
        <f>1822476-262668</f>
        <v>1559808</v>
      </c>
      <c r="AF256" s="16"/>
      <c r="AG256" s="16">
        <v>262668</v>
      </c>
      <c r="AH256" s="16"/>
      <c r="AI256" s="8">
        <f t="shared" si="101"/>
        <v>-225061</v>
      </c>
      <c r="AJ256" s="8"/>
      <c r="AK256" s="16">
        <v>-21978</v>
      </c>
      <c r="AL256" s="8"/>
      <c r="AM256" s="16">
        <v>0</v>
      </c>
      <c r="AN256" s="16"/>
      <c r="AO256" s="16">
        <v>0</v>
      </c>
      <c r="AP256" s="16"/>
      <c r="AQ256" s="16">
        <v>0</v>
      </c>
      <c r="AR256" s="16"/>
      <c r="AS256" s="8">
        <f t="shared" si="102"/>
        <v>-247039</v>
      </c>
      <c r="AT256" s="8"/>
      <c r="AU256" s="16">
        <v>0</v>
      </c>
      <c r="AV256" s="16"/>
      <c r="AW256" s="16">
        <v>0</v>
      </c>
      <c r="AX256" s="16"/>
      <c r="AY256" s="16">
        <f t="shared" si="103"/>
        <v>1280399</v>
      </c>
      <c r="AZ256" s="16"/>
      <c r="BA256" s="6" t="s">
        <v>274</v>
      </c>
      <c r="BC256" s="6" t="s">
        <v>36</v>
      </c>
      <c r="BD256" s="16"/>
      <c r="BE256" s="16">
        <v>0</v>
      </c>
      <c r="BF256" s="16"/>
      <c r="BG256" s="16">
        <v>0</v>
      </c>
      <c r="BH256" s="16"/>
      <c r="BI256" s="16">
        <f>786023+77788+94125+2420</f>
        <v>960356</v>
      </c>
      <c r="BJ256" s="16"/>
      <c r="BK256" s="16">
        <f>115860+85836</f>
        <v>201696</v>
      </c>
      <c r="BL256" s="16"/>
      <c r="BM256" s="16">
        <f t="shared" si="104"/>
        <v>1162052</v>
      </c>
      <c r="BN256" s="17" t="s">
        <v>345</v>
      </c>
      <c r="BO256" s="18" t="s">
        <v>402</v>
      </c>
      <c r="BP256" s="18"/>
      <c r="BQ256" s="18"/>
      <c r="BR256" s="14"/>
      <c r="BS256" s="16"/>
      <c r="BT256" s="16"/>
      <c r="BU256" s="16"/>
      <c r="BV256" s="16"/>
      <c r="BW256" s="16"/>
      <c r="BX256" s="8"/>
      <c r="BY256" s="8"/>
      <c r="BZ256" s="16"/>
      <c r="CA256" s="16"/>
      <c r="CB256" s="16"/>
      <c r="CC256" s="16"/>
      <c r="CD256" s="16"/>
      <c r="CE256" s="16"/>
      <c r="CF256" s="6"/>
      <c r="CG256" s="18"/>
      <c r="CH256" s="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7"/>
    </row>
    <row r="257" spans="1:97" ht="12.75" customHeight="1" x14ac:dyDescent="0.2">
      <c r="A257" s="6" t="s">
        <v>275</v>
      </c>
      <c r="C257" s="6" t="s">
        <v>90</v>
      </c>
      <c r="E257" s="16">
        <v>3244150</v>
      </c>
      <c r="F257" s="16"/>
      <c r="G257" s="16">
        <v>32700593</v>
      </c>
      <c r="H257" s="16"/>
      <c r="I257" s="16">
        <f t="shared" si="86"/>
        <v>35944743</v>
      </c>
      <c r="J257" s="16"/>
      <c r="K257" s="16">
        <v>1744114</v>
      </c>
      <c r="L257" s="16"/>
      <c r="M257" s="16">
        <v>8685898</v>
      </c>
      <c r="N257" s="16"/>
      <c r="O257" s="16">
        <f t="shared" si="87"/>
        <v>10430012</v>
      </c>
      <c r="P257" s="16"/>
      <c r="Q257" s="16">
        <v>23158436</v>
      </c>
      <c r="R257" s="16"/>
      <c r="S257" s="16">
        <v>336365</v>
      </c>
      <c r="T257" s="16"/>
      <c r="U257" s="16">
        <v>2019930</v>
      </c>
      <c r="V257" s="16"/>
      <c r="W257" s="16">
        <f t="shared" si="100"/>
        <v>25514731</v>
      </c>
      <c r="X257" s="16"/>
      <c r="Y257" s="6" t="s">
        <v>275</v>
      </c>
      <c r="AA257" s="6" t="s">
        <v>90</v>
      </c>
      <c r="AB257" s="6"/>
      <c r="AC257" s="16">
        <v>4890932</v>
      </c>
      <c r="AD257" s="16"/>
      <c r="AE257" s="16">
        <f>4747898-1382150</f>
        <v>3365748</v>
      </c>
      <c r="AF257" s="16"/>
      <c r="AG257" s="16">
        <v>1382150</v>
      </c>
      <c r="AH257" s="16"/>
      <c r="AI257" s="8">
        <f t="shared" si="101"/>
        <v>143034</v>
      </c>
      <c r="AJ257" s="8"/>
      <c r="AK257" s="16">
        <v>-263910</v>
      </c>
      <c r="AL257" s="8"/>
      <c r="AM257" s="16">
        <v>0</v>
      </c>
      <c r="AN257" s="16"/>
      <c r="AO257" s="16">
        <v>0</v>
      </c>
      <c r="AP257" s="16"/>
      <c r="AQ257" s="16">
        <v>272009</v>
      </c>
      <c r="AR257" s="16"/>
      <c r="AS257" s="8">
        <f t="shared" si="102"/>
        <v>151133</v>
      </c>
      <c r="AT257" s="8"/>
      <c r="AU257" s="16">
        <v>0</v>
      </c>
      <c r="AV257" s="16"/>
      <c r="AW257" s="16">
        <v>0</v>
      </c>
      <c r="AX257" s="16"/>
      <c r="AY257" s="16">
        <f t="shared" si="103"/>
        <v>1500036</v>
      </c>
      <c r="AZ257" s="16"/>
      <c r="BA257" s="6" t="s">
        <v>275</v>
      </c>
      <c r="BC257" s="6" t="s">
        <v>90</v>
      </c>
      <c r="BD257" s="16"/>
      <c r="BE257" s="16">
        <f>8222427+646999</f>
        <v>8869426</v>
      </c>
      <c r="BF257" s="16"/>
      <c r="BG257" s="16">
        <v>0</v>
      </c>
      <c r="BH257" s="16"/>
      <c r="BI257" s="16">
        <v>0</v>
      </c>
      <c r="BJ257" s="16"/>
      <c r="BK257" s="16">
        <f>463471+263951</f>
        <v>727422</v>
      </c>
      <c r="BL257" s="16"/>
      <c r="BM257" s="16">
        <f t="shared" si="104"/>
        <v>9596848</v>
      </c>
      <c r="BN257" s="17" t="s">
        <v>345</v>
      </c>
      <c r="BP257" s="18"/>
      <c r="BQ257" s="18"/>
      <c r="BR257" s="14"/>
      <c r="BS257" s="16"/>
      <c r="BT257" s="16"/>
      <c r="BU257" s="16"/>
      <c r="BV257" s="16"/>
      <c r="BW257" s="16"/>
      <c r="BX257" s="8"/>
      <c r="BY257" s="8"/>
      <c r="BZ257" s="16"/>
      <c r="CA257" s="16"/>
      <c r="CB257" s="16"/>
      <c r="CC257" s="16"/>
      <c r="CD257" s="16"/>
      <c r="CE257" s="16"/>
      <c r="CF257" s="6"/>
      <c r="CG257" s="18"/>
      <c r="CH257" s="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7"/>
    </row>
    <row r="258" spans="1:97" ht="12.75" customHeight="1" x14ac:dyDescent="0.2">
      <c r="A258" s="6" t="s">
        <v>276</v>
      </c>
      <c r="C258" s="6" t="s">
        <v>90</v>
      </c>
      <c r="E258" s="16">
        <v>1327968</v>
      </c>
      <c r="F258" s="16"/>
      <c r="G258" s="16">
        <v>19688502</v>
      </c>
      <c r="H258" s="16"/>
      <c r="I258" s="16">
        <f t="shared" si="86"/>
        <v>21016470</v>
      </c>
      <c r="J258" s="16"/>
      <c r="K258" s="16">
        <v>547534</v>
      </c>
      <c r="L258" s="16"/>
      <c r="M258" s="16">
        <v>3961775</v>
      </c>
      <c r="N258" s="16"/>
      <c r="O258" s="16">
        <f t="shared" si="87"/>
        <v>4509309</v>
      </c>
      <c r="P258" s="16"/>
      <c r="Q258" s="16">
        <v>15408786</v>
      </c>
      <c r="R258" s="16"/>
      <c r="S258" s="16">
        <v>0</v>
      </c>
      <c r="T258" s="16"/>
      <c r="U258" s="16">
        <v>1098375</v>
      </c>
      <c r="V258" s="16"/>
      <c r="W258" s="16">
        <f t="shared" si="100"/>
        <v>16507161</v>
      </c>
      <c r="X258" s="16"/>
      <c r="Y258" s="6" t="s">
        <v>276</v>
      </c>
      <c r="AA258" s="6" t="s">
        <v>90</v>
      </c>
      <c r="AB258" s="6"/>
      <c r="AC258" s="16">
        <v>1367122</v>
      </c>
      <c r="AD258" s="16"/>
      <c r="AE258" s="16">
        <f>1355453-468007</f>
        <v>887446</v>
      </c>
      <c r="AF258" s="16"/>
      <c r="AG258" s="16">
        <v>468007</v>
      </c>
      <c r="AH258" s="16"/>
      <c r="AI258" s="8">
        <f t="shared" si="101"/>
        <v>11669</v>
      </c>
      <c r="AJ258" s="8"/>
      <c r="AK258" s="16">
        <v>-129462</v>
      </c>
      <c r="AL258" s="8"/>
      <c r="AM258" s="16">
        <v>0</v>
      </c>
      <c r="AN258" s="16"/>
      <c r="AO258" s="16">
        <v>51062</v>
      </c>
      <c r="AP258" s="16"/>
      <c r="AQ258" s="16">
        <v>3554897</v>
      </c>
      <c r="AR258" s="16"/>
      <c r="AS258" s="8">
        <f t="shared" si="102"/>
        <v>3386042</v>
      </c>
      <c r="AT258" s="8"/>
      <c r="AU258" s="16">
        <v>0</v>
      </c>
      <c r="AV258" s="16"/>
      <c r="AW258" s="16">
        <v>0</v>
      </c>
      <c r="AX258" s="16"/>
      <c r="AY258" s="16">
        <f t="shared" si="103"/>
        <v>780434</v>
      </c>
      <c r="AZ258" s="16"/>
      <c r="BA258" s="6" t="s">
        <v>276</v>
      </c>
      <c r="BC258" s="6" t="s">
        <v>90</v>
      </c>
      <c r="BD258" s="16"/>
      <c r="BE258" s="16">
        <v>0</v>
      </c>
      <c r="BF258" s="16"/>
      <c r="BG258" s="16">
        <v>0</v>
      </c>
      <c r="BH258" s="16"/>
      <c r="BI258" s="16">
        <f>3481200+480575+240663+37450</f>
        <v>4239888</v>
      </c>
      <c r="BJ258" s="16"/>
      <c r="BK258" s="16">
        <v>0</v>
      </c>
      <c r="BL258" s="16"/>
      <c r="BM258" s="16">
        <f t="shared" si="104"/>
        <v>4239888</v>
      </c>
      <c r="BN258" s="17" t="s">
        <v>345</v>
      </c>
      <c r="BP258" s="18"/>
      <c r="BQ258" s="18"/>
      <c r="BR258" s="14"/>
      <c r="BS258" s="16"/>
      <c r="BT258" s="16"/>
      <c r="BU258" s="16"/>
      <c r="BV258" s="16"/>
      <c r="BW258" s="16"/>
      <c r="BX258" s="8"/>
      <c r="BY258" s="8"/>
      <c r="BZ258" s="16"/>
      <c r="CA258" s="16"/>
      <c r="CB258" s="16"/>
      <c r="CC258" s="16"/>
      <c r="CD258" s="16"/>
      <c r="CE258" s="16"/>
      <c r="CF258" s="6"/>
      <c r="CG258" s="18"/>
      <c r="CH258" s="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7"/>
    </row>
    <row r="259" spans="1:97" ht="12.75" customHeight="1" x14ac:dyDescent="0.2">
      <c r="A259" s="6" t="s">
        <v>277</v>
      </c>
      <c r="C259" s="6" t="s">
        <v>90</v>
      </c>
      <c r="E259" s="16">
        <v>1766149</v>
      </c>
      <c r="F259" s="16"/>
      <c r="G259" s="16">
        <v>5582894</v>
      </c>
      <c r="H259" s="16"/>
      <c r="I259" s="16">
        <f t="shared" si="86"/>
        <v>7349043</v>
      </c>
      <c r="J259" s="16"/>
      <c r="K259" s="16">
        <v>450941</v>
      </c>
      <c r="L259" s="16"/>
      <c r="M259" s="16">
        <v>843626</v>
      </c>
      <c r="N259" s="16"/>
      <c r="O259" s="16">
        <f t="shared" si="87"/>
        <v>1294567</v>
      </c>
      <c r="P259" s="16"/>
      <c r="Q259" s="16">
        <v>4732040</v>
      </c>
      <c r="R259" s="16"/>
      <c r="S259" s="16">
        <v>0</v>
      </c>
      <c r="T259" s="16"/>
      <c r="U259" s="16">
        <v>1322436</v>
      </c>
      <c r="V259" s="16"/>
      <c r="W259" s="16">
        <f t="shared" si="100"/>
        <v>6054476</v>
      </c>
      <c r="X259" s="16"/>
      <c r="Y259" s="6" t="s">
        <v>277</v>
      </c>
      <c r="AA259" s="6" t="s">
        <v>90</v>
      </c>
      <c r="AB259" s="6"/>
      <c r="AC259" s="16">
        <v>2495319</v>
      </c>
      <c r="AD259" s="16"/>
      <c r="AE259" s="16">
        <f>1858829-154164</f>
        <v>1704665</v>
      </c>
      <c r="AF259" s="16"/>
      <c r="AG259" s="16">
        <v>154164</v>
      </c>
      <c r="AH259" s="16"/>
      <c r="AI259" s="8">
        <f t="shared" si="101"/>
        <v>636490</v>
      </c>
      <c r="AJ259" s="8"/>
      <c r="AK259" s="16">
        <v>34238</v>
      </c>
      <c r="AL259" s="8"/>
      <c r="AM259" s="16">
        <v>0</v>
      </c>
      <c r="AN259" s="16"/>
      <c r="AO259" s="16">
        <v>0</v>
      </c>
      <c r="AP259" s="16"/>
      <c r="AQ259" s="16">
        <v>12115</v>
      </c>
      <c r="AR259" s="16"/>
      <c r="AS259" s="8">
        <f t="shared" si="102"/>
        <v>682843</v>
      </c>
      <c r="AT259" s="8"/>
      <c r="AU259" s="16">
        <v>0</v>
      </c>
      <c r="AV259" s="16"/>
      <c r="AW259" s="16">
        <v>0</v>
      </c>
      <c r="AX259" s="16"/>
      <c r="AY259" s="16">
        <f t="shared" si="103"/>
        <v>1315208</v>
      </c>
      <c r="AZ259" s="16"/>
      <c r="BA259" s="6" t="s">
        <v>277</v>
      </c>
      <c r="BC259" s="6" t="s">
        <v>90</v>
      </c>
      <c r="BD259" s="16"/>
      <c r="BE259" s="16">
        <v>0</v>
      </c>
      <c r="BF259" s="16"/>
      <c r="BG259" s="16">
        <v>0</v>
      </c>
      <c r="BH259" s="16"/>
      <c r="BI259" s="16">
        <f>252197+8657</f>
        <v>260854</v>
      </c>
      <c r="BJ259" s="16"/>
      <c r="BK259" s="16">
        <f>31429+560000+30000+36598</f>
        <v>658027</v>
      </c>
      <c r="BL259" s="16"/>
      <c r="BM259" s="16">
        <f t="shared" si="104"/>
        <v>918881</v>
      </c>
      <c r="BN259" s="17" t="s">
        <v>345</v>
      </c>
      <c r="BO259" s="18" t="s">
        <v>402</v>
      </c>
      <c r="BP259" s="18"/>
      <c r="BQ259" s="18"/>
      <c r="BR259" s="14"/>
      <c r="BS259" s="16"/>
      <c r="BT259" s="16"/>
      <c r="BU259" s="16"/>
      <c r="BV259" s="16"/>
      <c r="BW259" s="16"/>
      <c r="BX259" s="8"/>
      <c r="BY259" s="8"/>
      <c r="BZ259" s="16"/>
      <c r="CA259" s="16"/>
      <c r="CB259" s="16"/>
      <c r="CC259" s="16"/>
      <c r="CD259" s="16"/>
      <c r="CE259" s="16"/>
      <c r="CF259" s="6"/>
      <c r="CG259" s="18"/>
      <c r="CH259" s="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7"/>
    </row>
    <row r="260" spans="1:97" ht="12.75" customHeight="1" x14ac:dyDescent="0.2">
      <c r="A260" s="6" t="s">
        <v>278</v>
      </c>
      <c r="C260" s="6" t="s">
        <v>368</v>
      </c>
      <c r="E260" s="16">
        <v>2368840</v>
      </c>
      <c r="F260" s="16"/>
      <c r="G260" s="16">
        <v>11988166</v>
      </c>
      <c r="H260" s="16"/>
      <c r="I260" s="16">
        <f t="shared" si="86"/>
        <v>14357006</v>
      </c>
      <c r="J260" s="16"/>
      <c r="K260" s="16">
        <v>319685</v>
      </c>
      <c r="L260" s="16"/>
      <c r="M260" s="16">
        <v>1212009</v>
      </c>
      <c r="N260" s="16"/>
      <c r="O260" s="16">
        <f t="shared" si="87"/>
        <v>1531694</v>
      </c>
      <c r="P260" s="16"/>
      <c r="Q260" s="16">
        <v>10819173</v>
      </c>
      <c r="R260" s="16"/>
      <c r="S260" s="16">
        <v>140</v>
      </c>
      <c r="T260" s="16"/>
      <c r="U260" s="16">
        <v>2005999</v>
      </c>
      <c r="V260" s="16"/>
      <c r="W260" s="16">
        <f t="shared" si="100"/>
        <v>12825312</v>
      </c>
      <c r="X260" s="16"/>
      <c r="Y260" s="6" t="s">
        <v>278</v>
      </c>
      <c r="AA260" s="6" t="s">
        <v>368</v>
      </c>
      <c r="AB260" s="6"/>
      <c r="AC260" s="16">
        <v>2626171</v>
      </c>
      <c r="AD260" s="16"/>
      <c r="AE260" s="16">
        <f>3089460-894965</f>
        <v>2194495</v>
      </c>
      <c r="AF260" s="16"/>
      <c r="AG260" s="16">
        <v>894965</v>
      </c>
      <c r="AH260" s="16"/>
      <c r="AI260" s="8">
        <f t="shared" si="101"/>
        <v>-463289</v>
      </c>
      <c r="AJ260" s="8"/>
      <c r="AK260" s="16">
        <v>131968</v>
      </c>
      <c r="AL260" s="8"/>
      <c r="AM260" s="16">
        <v>0</v>
      </c>
      <c r="AN260" s="16"/>
      <c r="AO260" s="16">
        <v>0</v>
      </c>
      <c r="AP260" s="16"/>
      <c r="AQ260" s="16">
        <v>0</v>
      </c>
      <c r="AR260" s="16"/>
      <c r="AS260" s="8">
        <f t="shared" si="102"/>
        <v>-331321</v>
      </c>
      <c r="AT260" s="8"/>
      <c r="AU260" s="16">
        <v>0</v>
      </c>
      <c r="AV260" s="16"/>
      <c r="AW260" s="16">
        <v>0</v>
      </c>
      <c r="AX260" s="16"/>
      <c r="AY260" s="16">
        <f t="shared" si="103"/>
        <v>2049155</v>
      </c>
      <c r="AZ260" s="16"/>
      <c r="BA260" s="6" t="s">
        <v>278</v>
      </c>
      <c r="BC260" s="6" t="s">
        <v>368</v>
      </c>
      <c r="BD260" s="16"/>
      <c r="BE260" s="16">
        <v>0</v>
      </c>
      <c r="BF260" s="16"/>
      <c r="BG260" s="16">
        <v>0</v>
      </c>
      <c r="BH260" s="16"/>
      <c r="BI260" s="16">
        <v>0</v>
      </c>
      <c r="BJ260" s="16"/>
      <c r="BK260" s="16">
        <f>87797+1124212+44781+75375</f>
        <v>1332165</v>
      </c>
      <c r="BL260" s="16"/>
      <c r="BM260" s="16">
        <f t="shared" si="104"/>
        <v>1332165</v>
      </c>
      <c r="BN260" s="17" t="s">
        <v>345</v>
      </c>
      <c r="BP260" s="18"/>
      <c r="BQ260" s="18"/>
      <c r="BR260" s="14"/>
      <c r="BS260" s="16"/>
      <c r="BT260" s="16"/>
      <c r="BU260" s="16"/>
      <c r="BV260" s="16"/>
      <c r="BX260" s="8"/>
      <c r="BY260" s="16"/>
      <c r="BZ260" s="16"/>
      <c r="CA260" s="16"/>
      <c r="CB260" s="16"/>
      <c r="CC260" s="16"/>
      <c r="CD260" s="16"/>
      <c r="CE260" s="16"/>
      <c r="CF260" s="6"/>
      <c r="CG260" s="18"/>
      <c r="CH260" s="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7"/>
    </row>
    <row r="261" spans="1:97" ht="12.75" customHeight="1" x14ac:dyDescent="0.2">
      <c r="A261" s="6" t="s">
        <v>280</v>
      </c>
      <c r="C261" s="6" t="s">
        <v>197</v>
      </c>
      <c r="E261" s="16">
        <v>3335310</v>
      </c>
      <c r="F261" s="16"/>
      <c r="G261" s="16">
        <v>28215254</v>
      </c>
      <c r="H261" s="16"/>
      <c r="I261" s="16">
        <f t="shared" si="86"/>
        <v>31550564</v>
      </c>
      <c r="J261" s="16"/>
      <c r="K261" s="16">
        <v>1510257</v>
      </c>
      <c r="L261" s="16"/>
      <c r="M261" s="16">
        <v>15570312</v>
      </c>
      <c r="N261" s="16"/>
      <c r="O261" s="16">
        <f t="shared" si="87"/>
        <v>17080569</v>
      </c>
      <c r="P261" s="16"/>
      <c r="Q261" s="16">
        <v>11630092</v>
      </c>
      <c r="R261" s="16"/>
      <c r="S261" s="16">
        <v>0</v>
      </c>
      <c r="T261" s="16"/>
      <c r="U261" s="16">
        <v>2839903</v>
      </c>
      <c r="V261" s="16"/>
      <c r="W261" s="16">
        <f t="shared" si="100"/>
        <v>14469995</v>
      </c>
      <c r="X261" s="16"/>
      <c r="Y261" s="6" t="s">
        <v>280</v>
      </c>
      <c r="AA261" s="6" t="s">
        <v>197</v>
      </c>
      <c r="AB261" s="6"/>
      <c r="AC261" s="16">
        <v>6147408</v>
      </c>
      <c r="AD261" s="16"/>
      <c r="AE261" s="16">
        <f>5340088-1750983</f>
        <v>3589105</v>
      </c>
      <c r="AF261" s="16"/>
      <c r="AG261" s="16">
        <v>1750983</v>
      </c>
      <c r="AH261" s="16"/>
      <c r="AI261" s="8">
        <f t="shared" si="101"/>
        <v>807320</v>
      </c>
      <c r="AJ261" s="8"/>
      <c r="AK261" s="16">
        <v>-436212</v>
      </c>
      <c r="AL261" s="8"/>
      <c r="AM261" s="16">
        <v>0</v>
      </c>
      <c r="AN261" s="16"/>
      <c r="AO261" s="16">
        <v>0</v>
      </c>
      <c r="AP261" s="16"/>
      <c r="AQ261" s="16">
        <v>0</v>
      </c>
      <c r="AR261" s="16"/>
      <c r="AS261" s="8">
        <f t="shared" si="102"/>
        <v>371108</v>
      </c>
      <c r="AT261" s="8"/>
      <c r="AU261" s="16">
        <v>0</v>
      </c>
      <c r="AV261" s="16"/>
      <c r="AW261" s="16">
        <v>0</v>
      </c>
      <c r="AX261" s="16"/>
      <c r="AY261" s="16">
        <f t="shared" si="103"/>
        <v>1825053</v>
      </c>
      <c r="AZ261" s="16"/>
      <c r="BA261" s="6" t="s">
        <v>280</v>
      </c>
      <c r="BC261" s="6" t="s">
        <v>197</v>
      </c>
      <c r="BD261" s="16"/>
      <c r="BE261" s="16">
        <f>15459236+927551</f>
        <v>16386787</v>
      </c>
      <c r="BF261" s="16"/>
      <c r="BG261" s="16">
        <v>0</v>
      </c>
      <c r="BH261" s="16"/>
      <c r="BI261" s="16">
        <v>0</v>
      </c>
      <c r="BJ261" s="16"/>
      <c r="BK261" s="16">
        <f>111076+42682</f>
        <v>153758</v>
      </c>
      <c r="BL261" s="16"/>
      <c r="BM261" s="16">
        <f t="shared" si="104"/>
        <v>16540545</v>
      </c>
      <c r="BN261" s="17" t="s">
        <v>345</v>
      </c>
      <c r="BP261" s="18"/>
      <c r="BQ261" s="18"/>
      <c r="BR261" s="14"/>
      <c r="BS261" s="16"/>
      <c r="BT261" s="16"/>
      <c r="BU261" s="16"/>
      <c r="BV261" s="16"/>
      <c r="BX261" s="8"/>
      <c r="BY261" s="16"/>
      <c r="BZ261" s="16"/>
      <c r="CA261" s="16"/>
      <c r="CB261" s="16"/>
      <c r="CC261" s="16"/>
      <c r="CD261" s="16"/>
      <c r="CE261" s="16"/>
      <c r="CF261" s="6"/>
      <c r="CG261" s="18"/>
      <c r="CH261" s="6"/>
      <c r="CI261" s="16"/>
      <c r="CJ261" s="16"/>
      <c r="CK261" s="16"/>
      <c r="CL261" s="16"/>
      <c r="CM261" s="16"/>
      <c r="CN261" s="16"/>
      <c r="CO261" s="16"/>
      <c r="CP261" s="16"/>
      <c r="CQ261" s="16"/>
      <c r="CR261" s="16"/>
      <c r="CS261" s="17"/>
    </row>
    <row r="262" spans="1:97" ht="12.75" hidden="1" customHeight="1" x14ac:dyDescent="0.2">
      <c r="A262" s="6" t="s">
        <v>281</v>
      </c>
      <c r="C262" s="6" t="s">
        <v>41</v>
      </c>
      <c r="E262" s="16">
        <v>0</v>
      </c>
      <c r="F262" s="16"/>
      <c r="G262" s="16"/>
      <c r="H262" s="16"/>
      <c r="I262" s="16">
        <f t="shared" si="86"/>
        <v>0</v>
      </c>
      <c r="J262" s="16"/>
      <c r="K262" s="16">
        <v>0</v>
      </c>
      <c r="L262" s="16"/>
      <c r="M262" s="16"/>
      <c r="N262" s="16"/>
      <c r="O262" s="16">
        <f t="shared" si="87"/>
        <v>0</v>
      </c>
      <c r="P262" s="16"/>
      <c r="Q262" s="16"/>
      <c r="R262" s="16"/>
      <c r="S262" s="16"/>
      <c r="T262" s="16"/>
      <c r="U262" s="16"/>
      <c r="V262" s="16"/>
      <c r="W262" s="16">
        <f t="shared" si="100"/>
        <v>0</v>
      </c>
      <c r="X262" s="16"/>
      <c r="Y262" s="6" t="s">
        <v>281</v>
      </c>
      <c r="AA262" s="6" t="s">
        <v>41</v>
      </c>
      <c r="AB262" s="6"/>
      <c r="AC262" s="16"/>
      <c r="AD262" s="16"/>
      <c r="AE262" s="16"/>
      <c r="AF262" s="16"/>
      <c r="AG262" s="16"/>
      <c r="AH262" s="16"/>
      <c r="AI262" s="8">
        <f t="shared" si="101"/>
        <v>0</v>
      </c>
      <c r="AJ262" s="8"/>
      <c r="AK262" s="16"/>
      <c r="AL262" s="8"/>
      <c r="AM262" s="16"/>
      <c r="AN262" s="16"/>
      <c r="AO262" s="16"/>
      <c r="AP262" s="16"/>
      <c r="AQ262" s="16"/>
      <c r="AR262" s="16"/>
      <c r="AS262" s="8">
        <f t="shared" si="102"/>
        <v>0</v>
      </c>
      <c r="AT262" s="8"/>
      <c r="AU262" s="16">
        <v>0</v>
      </c>
      <c r="AV262" s="16"/>
      <c r="AW262" s="16">
        <v>0</v>
      </c>
      <c r="AX262" s="16"/>
      <c r="AY262" s="16">
        <f t="shared" si="103"/>
        <v>0</v>
      </c>
      <c r="AZ262" s="16"/>
      <c r="BA262" s="6" t="s">
        <v>281</v>
      </c>
      <c r="BC262" s="6" t="s">
        <v>41</v>
      </c>
      <c r="BD262" s="16"/>
      <c r="BE262" s="16"/>
      <c r="BF262" s="16"/>
      <c r="BG262" s="16"/>
      <c r="BH262" s="16"/>
      <c r="BI262" s="16"/>
      <c r="BJ262" s="16"/>
      <c r="BK262" s="16"/>
      <c r="BL262" s="16"/>
      <c r="BM262" s="16">
        <f t="shared" si="104"/>
        <v>0</v>
      </c>
      <c r="BN262" s="17" t="s">
        <v>345</v>
      </c>
      <c r="BP262" s="18"/>
      <c r="BQ262" s="18"/>
      <c r="BR262" s="14"/>
      <c r="BS262" s="16"/>
      <c r="BT262" s="16"/>
      <c r="BU262" s="16"/>
      <c r="BV262" s="16"/>
      <c r="BW262" s="16"/>
      <c r="BX262" s="8"/>
      <c r="BY262" s="8"/>
      <c r="BZ262" s="16"/>
      <c r="CA262" s="16"/>
      <c r="CB262" s="16"/>
      <c r="CC262" s="16"/>
      <c r="CD262" s="16"/>
      <c r="CE262" s="16"/>
      <c r="CF262" s="6"/>
      <c r="CG262" s="18"/>
      <c r="CH262" s="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7"/>
    </row>
    <row r="263" spans="1:97" ht="12.75" hidden="1" customHeight="1" x14ac:dyDescent="0.2">
      <c r="A263" s="6" t="s">
        <v>282</v>
      </c>
      <c r="C263" s="6" t="s">
        <v>43</v>
      </c>
      <c r="E263" s="16">
        <v>0</v>
      </c>
      <c r="F263" s="16"/>
      <c r="G263" s="16"/>
      <c r="H263" s="16"/>
      <c r="I263" s="16">
        <f t="shared" si="86"/>
        <v>0</v>
      </c>
      <c r="J263" s="16"/>
      <c r="K263" s="16">
        <v>0</v>
      </c>
      <c r="L263" s="16"/>
      <c r="M263" s="16"/>
      <c r="N263" s="16"/>
      <c r="O263" s="16">
        <f t="shared" si="87"/>
        <v>0</v>
      </c>
      <c r="P263" s="16"/>
      <c r="Q263" s="16"/>
      <c r="R263" s="16"/>
      <c r="S263" s="16"/>
      <c r="T263" s="16"/>
      <c r="U263" s="16"/>
      <c r="V263" s="16"/>
      <c r="W263" s="16">
        <f t="shared" si="100"/>
        <v>0</v>
      </c>
      <c r="X263" s="16"/>
      <c r="Y263" s="6" t="s">
        <v>282</v>
      </c>
      <c r="AA263" s="6" t="s">
        <v>43</v>
      </c>
      <c r="AB263" s="6"/>
      <c r="AC263" s="16"/>
      <c r="AD263" s="16"/>
      <c r="AE263" s="16"/>
      <c r="AF263" s="16"/>
      <c r="AG263" s="16"/>
      <c r="AH263" s="16"/>
      <c r="AI263" s="8">
        <f t="shared" si="101"/>
        <v>0</v>
      </c>
      <c r="AJ263" s="8"/>
      <c r="AK263" s="16"/>
      <c r="AL263" s="8"/>
      <c r="AM263" s="16"/>
      <c r="AN263" s="16"/>
      <c r="AO263" s="16"/>
      <c r="AP263" s="16"/>
      <c r="AQ263" s="16"/>
      <c r="AR263" s="16"/>
      <c r="AS263" s="8">
        <f t="shared" si="102"/>
        <v>0</v>
      </c>
      <c r="AT263" s="8"/>
      <c r="AU263" s="16">
        <v>0</v>
      </c>
      <c r="AV263" s="16"/>
      <c r="AW263" s="16">
        <v>0</v>
      </c>
      <c r="AX263" s="16"/>
      <c r="AY263" s="16">
        <f t="shared" si="103"/>
        <v>0</v>
      </c>
      <c r="AZ263" s="16"/>
      <c r="BA263" s="6" t="s">
        <v>282</v>
      </c>
      <c r="BC263" s="6" t="s">
        <v>43</v>
      </c>
      <c r="BD263" s="16"/>
      <c r="BE263" s="16"/>
      <c r="BF263" s="16"/>
      <c r="BG263" s="16"/>
      <c r="BH263" s="16"/>
      <c r="BI263" s="16"/>
      <c r="BJ263" s="16"/>
      <c r="BK263" s="16"/>
      <c r="BL263" s="16"/>
      <c r="BM263" s="16">
        <f t="shared" si="104"/>
        <v>0</v>
      </c>
      <c r="BN263" s="17" t="s">
        <v>345</v>
      </c>
      <c r="BP263" s="18"/>
      <c r="BQ263" s="18"/>
      <c r="BR263" s="14"/>
      <c r="BS263" s="16"/>
      <c r="BT263" s="16"/>
      <c r="BU263" s="16"/>
      <c r="BV263" s="16"/>
      <c r="BW263" s="16"/>
      <c r="BX263" s="8"/>
      <c r="BY263" s="8"/>
      <c r="BZ263" s="16"/>
      <c r="CA263" s="16"/>
      <c r="CB263" s="16"/>
      <c r="CC263" s="16"/>
      <c r="CD263" s="16"/>
      <c r="CE263" s="16"/>
      <c r="CF263" s="6"/>
      <c r="CG263" s="18"/>
      <c r="CH263" s="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7"/>
    </row>
    <row r="264" spans="1:97" ht="12.75" customHeight="1" x14ac:dyDescent="0.2">
      <c r="A264" s="6" t="s">
        <v>283</v>
      </c>
      <c r="C264" s="6" t="s">
        <v>28</v>
      </c>
      <c r="E264" s="16">
        <v>4274115</v>
      </c>
      <c r="F264" s="16"/>
      <c r="G264" s="16">
        <v>14504406</v>
      </c>
      <c r="H264" s="16"/>
      <c r="I264" s="16">
        <f t="shared" si="86"/>
        <v>18778521</v>
      </c>
      <c r="J264" s="16"/>
      <c r="K264" s="16">
        <v>812658</v>
      </c>
      <c r="L264" s="16"/>
      <c r="M264" s="16">
        <v>6861947</v>
      </c>
      <c r="N264" s="16"/>
      <c r="O264" s="16">
        <f t="shared" si="87"/>
        <v>7674605</v>
      </c>
      <c r="P264" s="16"/>
      <c r="Q264" s="16">
        <v>7412661</v>
      </c>
      <c r="R264" s="16"/>
      <c r="S264" s="16">
        <v>170077</v>
      </c>
      <c r="T264" s="16"/>
      <c r="U264" s="16">
        <v>3521178</v>
      </c>
      <c r="V264" s="16"/>
      <c r="W264" s="16">
        <f t="shared" si="100"/>
        <v>11103916</v>
      </c>
      <c r="X264" s="16"/>
      <c r="Y264" s="6" t="s">
        <v>283</v>
      </c>
      <c r="AA264" s="6" t="s">
        <v>28</v>
      </c>
      <c r="AB264" s="6"/>
      <c r="AC264" s="16">
        <v>4160752</v>
      </c>
      <c r="AD264" s="16"/>
      <c r="AE264" s="16">
        <f>3835235-1013630</f>
        <v>2821605</v>
      </c>
      <c r="AF264" s="16"/>
      <c r="AG264" s="16">
        <v>1013630</v>
      </c>
      <c r="AH264" s="16"/>
      <c r="AI264" s="8">
        <f t="shared" si="101"/>
        <v>325517</v>
      </c>
      <c r="AJ264" s="8"/>
      <c r="AK264" s="16">
        <f>128436-185994</f>
        <v>-57558</v>
      </c>
      <c r="AL264" s="8"/>
      <c r="AM264" s="16">
        <v>0</v>
      </c>
      <c r="AN264" s="16"/>
      <c r="AO264" s="16">
        <v>0</v>
      </c>
      <c r="AP264" s="16"/>
      <c r="AQ264" s="16">
        <v>0</v>
      </c>
      <c r="AR264" s="16"/>
      <c r="AS264" s="8">
        <f t="shared" si="102"/>
        <v>267959</v>
      </c>
      <c r="AT264" s="8"/>
      <c r="AU264" s="16">
        <v>0</v>
      </c>
      <c r="AV264" s="16"/>
      <c r="AW264" s="16">
        <v>0</v>
      </c>
      <c r="AX264" s="16"/>
      <c r="AY264" s="16">
        <f t="shared" si="103"/>
        <v>3461457</v>
      </c>
      <c r="AZ264" s="16"/>
      <c r="BA264" s="6" t="s">
        <v>283</v>
      </c>
      <c r="BC264" s="6" t="s">
        <v>28</v>
      </c>
      <c r="BD264" s="16"/>
      <c r="BE264" s="16">
        <f>44559+5054</f>
        <v>49613</v>
      </c>
      <c r="BF264" s="16"/>
      <c r="BG264" s="16">
        <v>0</v>
      </c>
      <c r="BH264" s="16"/>
      <c r="BI264" s="16">
        <f>6014939+540113</f>
        <v>6555052</v>
      </c>
      <c r="BJ264" s="16"/>
      <c r="BK264" s="16">
        <f>198692+603757+53400+13423</f>
        <v>869272</v>
      </c>
      <c r="BL264" s="16"/>
      <c r="BM264" s="16">
        <f t="shared" si="104"/>
        <v>7473937</v>
      </c>
      <c r="BN264" s="17" t="s">
        <v>345</v>
      </c>
      <c r="BP264" s="18"/>
      <c r="BQ264" s="18"/>
      <c r="BR264" s="14"/>
      <c r="BS264" s="16"/>
      <c r="BT264" s="16"/>
      <c r="BU264" s="16"/>
      <c r="BV264" s="16"/>
      <c r="BW264" s="16"/>
      <c r="BX264" s="8"/>
      <c r="BY264" s="8"/>
      <c r="BZ264" s="16"/>
      <c r="CA264" s="16"/>
      <c r="CB264" s="16"/>
      <c r="CC264" s="16"/>
      <c r="CD264" s="16"/>
      <c r="CE264" s="16"/>
      <c r="CF264" s="6"/>
      <c r="CG264" s="18"/>
      <c r="CH264" s="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7"/>
    </row>
    <row r="265" spans="1:97" ht="12.75" customHeight="1" x14ac:dyDescent="0.2">
      <c r="A265" s="6" t="s">
        <v>284</v>
      </c>
      <c r="B265" s="18"/>
      <c r="C265" s="6" t="s">
        <v>59</v>
      </c>
      <c r="E265" s="16">
        <v>9378488</v>
      </c>
      <c r="F265" s="16"/>
      <c r="G265" s="16">
        <v>48649830</v>
      </c>
      <c r="H265" s="16"/>
      <c r="I265" s="16">
        <f t="shared" si="86"/>
        <v>58028318</v>
      </c>
      <c r="J265" s="16"/>
      <c r="K265" s="16">
        <v>1776251</v>
      </c>
      <c r="L265" s="16"/>
      <c r="M265" s="16">
        <v>7902195</v>
      </c>
      <c r="N265" s="16"/>
      <c r="O265" s="16">
        <f t="shared" si="87"/>
        <v>9678446</v>
      </c>
      <c r="P265" s="16"/>
      <c r="Q265" s="16">
        <v>40913346</v>
      </c>
      <c r="R265" s="16"/>
      <c r="S265" s="16">
        <v>0</v>
      </c>
      <c r="T265" s="16"/>
      <c r="U265" s="16">
        <v>7436526</v>
      </c>
      <c r="V265" s="16"/>
      <c r="W265" s="16">
        <f t="shared" si="100"/>
        <v>48349872</v>
      </c>
      <c r="X265" s="16"/>
      <c r="Y265" s="6" t="s">
        <v>284</v>
      </c>
      <c r="AA265" s="6" t="s">
        <v>59</v>
      </c>
      <c r="AB265" s="6"/>
      <c r="AC265" s="16">
        <v>22651846</v>
      </c>
      <c r="AD265" s="16"/>
      <c r="AE265" s="16">
        <f>17397325-2143571</f>
        <v>15253754</v>
      </c>
      <c r="AF265" s="16"/>
      <c r="AG265" s="16">
        <v>2143571</v>
      </c>
      <c r="AH265" s="16"/>
      <c r="AI265" s="8">
        <f t="shared" si="101"/>
        <v>5254521</v>
      </c>
      <c r="AJ265" s="8"/>
      <c r="AK265" s="16">
        <v>-259406</v>
      </c>
      <c r="AL265" s="8"/>
      <c r="AM265" s="16">
        <v>3330</v>
      </c>
      <c r="AN265" s="16"/>
      <c r="AO265" s="16">
        <v>0</v>
      </c>
      <c r="AP265" s="16"/>
      <c r="AQ265" s="16">
        <v>0</v>
      </c>
      <c r="AR265" s="16"/>
      <c r="AS265" s="8">
        <f t="shared" si="102"/>
        <v>4998445</v>
      </c>
      <c r="AT265" s="8"/>
      <c r="AU265" s="16">
        <v>0</v>
      </c>
      <c r="AV265" s="16"/>
      <c r="AW265" s="16">
        <v>0</v>
      </c>
      <c r="AX265" s="16"/>
      <c r="AY265" s="16">
        <f t="shared" si="103"/>
        <v>7602237</v>
      </c>
      <c r="AZ265" s="16"/>
      <c r="BA265" s="6" t="s">
        <v>284</v>
      </c>
      <c r="BC265" s="6" t="s">
        <v>59</v>
      </c>
      <c r="BD265" s="16"/>
      <c r="BE265" s="16">
        <v>0</v>
      </c>
      <c r="BF265" s="16"/>
      <c r="BG265" s="16">
        <v>0</v>
      </c>
      <c r="BH265" s="16"/>
      <c r="BI265" s="16">
        <f>6012597+542154+737028+308939+21597+114169</f>
        <v>7736484</v>
      </c>
      <c r="BJ265" s="16"/>
      <c r="BK265" s="16">
        <f>610416+123743</f>
        <v>734159</v>
      </c>
      <c r="BL265" s="16"/>
      <c r="BM265" s="16">
        <f t="shared" si="104"/>
        <v>8470643</v>
      </c>
      <c r="BN265" s="17" t="s">
        <v>345</v>
      </c>
      <c r="BP265" s="18"/>
      <c r="BQ265" s="18"/>
      <c r="BR265" s="14"/>
      <c r="BS265" s="16"/>
      <c r="BT265" s="16"/>
      <c r="BU265" s="16"/>
      <c r="BV265" s="16"/>
      <c r="BW265" s="16"/>
      <c r="BX265" s="8"/>
      <c r="BY265" s="8"/>
      <c r="BZ265" s="16"/>
      <c r="CA265" s="16"/>
      <c r="CB265" s="16"/>
      <c r="CC265" s="16"/>
      <c r="CD265" s="16"/>
      <c r="CE265" s="16"/>
      <c r="CF265" s="6"/>
      <c r="CG265" s="18"/>
      <c r="CH265" s="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7"/>
    </row>
    <row r="266" spans="1:97" ht="12.75" customHeight="1" x14ac:dyDescent="0.2">
      <c r="A266" s="6" t="s">
        <v>285</v>
      </c>
      <c r="B266" s="18"/>
      <c r="C266" s="6" t="s">
        <v>286</v>
      </c>
      <c r="E266" s="16">
        <v>3017669</v>
      </c>
      <c r="F266" s="16"/>
      <c r="G266" s="16">
        <v>41406002</v>
      </c>
      <c r="H266" s="16"/>
      <c r="I266" s="16">
        <f t="shared" si="86"/>
        <v>44423671</v>
      </c>
      <c r="J266" s="16"/>
      <c r="K266" s="16">
        <v>1750526</v>
      </c>
      <c r="L266" s="16"/>
      <c r="M266" s="16">
        <v>14167678</v>
      </c>
      <c r="N266" s="16"/>
      <c r="O266" s="16">
        <f t="shared" si="87"/>
        <v>15918204</v>
      </c>
      <c r="P266" s="16"/>
      <c r="Q266" s="16">
        <v>25852742</v>
      </c>
      <c r="R266" s="16"/>
      <c r="S266" s="16">
        <v>0</v>
      </c>
      <c r="T266" s="16"/>
      <c r="U266" s="16">
        <v>2652725</v>
      </c>
      <c r="V266" s="16"/>
      <c r="W266" s="16">
        <f t="shared" si="100"/>
        <v>28505467</v>
      </c>
      <c r="X266" s="16"/>
      <c r="Y266" s="6" t="s">
        <v>285</v>
      </c>
      <c r="AA266" s="6" t="s">
        <v>286</v>
      </c>
      <c r="AB266" s="6"/>
      <c r="AC266" s="16">
        <v>7111086</v>
      </c>
      <c r="AD266" s="16"/>
      <c r="AE266" s="16">
        <f>4949537-1157205</f>
        <v>3792332</v>
      </c>
      <c r="AF266" s="16"/>
      <c r="AG266" s="16">
        <v>1157205</v>
      </c>
      <c r="AH266" s="16"/>
      <c r="AI266" s="8">
        <f t="shared" si="101"/>
        <v>2161549</v>
      </c>
      <c r="AJ266" s="8"/>
      <c r="AK266" s="16">
        <v>-450744</v>
      </c>
      <c r="AL266" s="8"/>
      <c r="AM266" s="16">
        <v>0</v>
      </c>
      <c r="AN266" s="16"/>
      <c r="AO266" s="16">
        <v>0</v>
      </c>
      <c r="AP266" s="16"/>
      <c r="AQ266" s="16">
        <v>0</v>
      </c>
      <c r="AR266" s="16"/>
      <c r="AS266" s="8">
        <f t="shared" si="102"/>
        <v>1710805</v>
      </c>
      <c r="AT266" s="8"/>
      <c r="AU266" s="16">
        <v>0</v>
      </c>
      <c r="AV266" s="16"/>
      <c r="AW266" s="16">
        <v>0</v>
      </c>
      <c r="AX266" s="16"/>
      <c r="AY266" s="16">
        <f t="shared" si="103"/>
        <v>1267143</v>
      </c>
      <c r="AZ266" s="16"/>
      <c r="BA266" s="6" t="s">
        <v>285</v>
      </c>
      <c r="BC266" s="6" t="s">
        <v>286</v>
      </c>
      <c r="BD266" s="16"/>
      <c r="BE266" s="16">
        <v>0</v>
      </c>
      <c r="BF266" s="16"/>
      <c r="BG266" s="16">
        <v>0</v>
      </c>
      <c r="BH266" s="16"/>
      <c r="BI266" s="16">
        <f>14167678+1385582</f>
        <v>15553260</v>
      </c>
      <c r="BJ266" s="16"/>
      <c r="BK266" s="16">
        <v>147218</v>
      </c>
      <c r="BL266" s="16"/>
      <c r="BM266" s="16">
        <f t="shared" si="104"/>
        <v>15700478</v>
      </c>
      <c r="BN266" s="17" t="s">
        <v>345</v>
      </c>
      <c r="BP266" s="18"/>
      <c r="BQ266" s="18"/>
      <c r="BR266" s="14"/>
      <c r="BS266" s="16"/>
      <c r="BT266" s="16"/>
      <c r="BU266" s="16"/>
      <c r="BV266" s="16"/>
      <c r="BW266" s="16"/>
      <c r="BX266" s="8"/>
      <c r="BY266" s="8"/>
      <c r="BZ266" s="16"/>
      <c r="CA266" s="16"/>
      <c r="CB266" s="16"/>
      <c r="CC266" s="16"/>
      <c r="CD266" s="16"/>
      <c r="CE266" s="16"/>
      <c r="CF266" s="6"/>
      <c r="CG266" s="18"/>
      <c r="CH266" s="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7"/>
    </row>
    <row r="267" spans="1:97" ht="12.75" customHeight="1" x14ac:dyDescent="0.2">
      <c r="A267" s="6"/>
      <c r="B267" s="18"/>
      <c r="C267" s="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6"/>
      <c r="AA267" s="6"/>
      <c r="AB267" s="6"/>
      <c r="AC267" s="16"/>
      <c r="AD267" s="16"/>
      <c r="AE267" s="16"/>
      <c r="AF267" s="16"/>
      <c r="AG267" s="16"/>
      <c r="AH267" s="16"/>
      <c r="AI267" s="8"/>
      <c r="AJ267" s="8"/>
      <c r="AK267" s="8"/>
      <c r="AL267" s="8"/>
      <c r="AM267" s="16"/>
      <c r="AN267" s="16"/>
      <c r="AO267" s="16"/>
      <c r="AP267" s="16"/>
      <c r="AQ267" s="16"/>
      <c r="AR267" s="16"/>
      <c r="AS267" s="8"/>
      <c r="AT267" s="8"/>
      <c r="AU267" s="16"/>
      <c r="AV267" s="16"/>
      <c r="AW267" s="16"/>
      <c r="AX267" s="16"/>
      <c r="AY267" s="16"/>
      <c r="AZ267" s="16"/>
      <c r="BA267" s="6"/>
      <c r="BC267" s="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7"/>
      <c r="BP267" s="18"/>
      <c r="BQ267" s="18"/>
      <c r="BR267" s="14"/>
      <c r="BS267" s="16"/>
      <c r="BT267" s="16"/>
      <c r="BU267" s="16"/>
      <c r="BV267" s="16"/>
      <c r="BW267" s="16"/>
      <c r="BX267" s="8"/>
      <c r="BY267" s="8"/>
      <c r="BZ267" s="16"/>
      <c r="CA267" s="16"/>
      <c r="CB267" s="16"/>
      <c r="CC267" s="16"/>
      <c r="CD267" s="16"/>
      <c r="CE267" s="16"/>
      <c r="CF267" s="6"/>
      <c r="CG267" s="18"/>
      <c r="CH267" s="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7"/>
    </row>
    <row r="268" spans="1:97" ht="12.75" customHeight="1" x14ac:dyDescent="0.2"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AC268" s="16"/>
      <c r="AD268" s="16"/>
      <c r="AE268" s="16"/>
      <c r="AF268" s="16"/>
      <c r="AG268" s="16"/>
      <c r="AH268" s="16"/>
      <c r="AI268" s="8"/>
      <c r="AJ268" s="8"/>
      <c r="AK268" s="8"/>
      <c r="AL268" s="8"/>
      <c r="AM268" s="16"/>
      <c r="AN268" s="16"/>
      <c r="AO268" s="16"/>
      <c r="AP268" s="16"/>
      <c r="AQ268" s="16"/>
      <c r="AR268" s="16"/>
      <c r="AS268" s="8"/>
      <c r="AT268" s="8"/>
      <c r="AU268" s="16"/>
      <c r="AV268" s="16"/>
      <c r="AW268" s="16"/>
      <c r="AX268" s="16"/>
      <c r="AY268" s="16"/>
      <c r="BE268" s="16"/>
      <c r="BF268" s="16"/>
      <c r="BG268" s="16"/>
      <c r="BH268" s="16"/>
      <c r="BI268" s="16"/>
      <c r="BJ268" s="16"/>
      <c r="BK268" s="16"/>
      <c r="BL268" s="16"/>
      <c r="BM268" s="16"/>
    </row>
    <row r="269" spans="1:97" ht="12.75" customHeight="1" x14ac:dyDescent="0.2"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AC269" s="16"/>
      <c r="AD269" s="16"/>
      <c r="AE269" s="16"/>
      <c r="AF269" s="16"/>
      <c r="AG269" s="16"/>
      <c r="AH269" s="16"/>
      <c r="AI269" s="8"/>
      <c r="AJ269" s="8"/>
      <c r="AK269" s="8"/>
      <c r="AL269" s="8"/>
      <c r="AM269" s="16"/>
      <c r="AN269" s="16"/>
      <c r="AO269" s="16"/>
      <c r="AP269" s="16"/>
      <c r="AQ269" s="16"/>
      <c r="AR269" s="16"/>
      <c r="AS269" s="8"/>
      <c r="AT269" s="8"/>
      <c r="AU269" s="16"/>
      <c r="AV269" s="16"/>
      <c r="AW269" s="16"/>
      <c r="AX269" s="16"/>
      <c r="AY269" s="16"/>
      <c r="BE269" s="16"/>
      <c r="BF269" s="16"/>
      <c r="BG269" s="16"/>
      <c r="BH269" s="16"/>
      <c r="BI269" s="16"/>
      <c r="BJ269" s="16"/>
      <c r="BK269" s="16"/>
      <c r="BL269" s="16"/>
      <c r="BM269" s="16"/>
    </row>
    <row r="270" spans="1:97" ht="12.75" customHeight="1" x14ac:dyDescent="0.2">
      <c r="A270" s="7"/>
      <c r="C270" s="7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7"/>
      <c r="AA270" s="7"/>
      <c r="AB270" s="7"/>
      <c r="AC270" s="16"/>
      <c r="AD270" s="16"/>
      <c r="AE270" s="16"/>
      <c r="AF270" s="16"/>
      <c r="AG270" s="16"/>
      <c r="AH270" s="16"/>
      <c r="AI270" s="8"/>
      <c r="AJ270" s="8"/>
      <c r="AK270" s="8"/>
      <c r="AL270" s="8"/>
      <c r="AM270" s="16"/>
      <c r="AN270" s="16"/>
      <c r="AO270" s="16"/>
      <c r="AP270" s="16"/>
      <c r="AQ270" s="16"/>
      <c r="AR270" s="16"/>
      <c r="AS270" s="8"/>
      <c r="AT270" s="8"/>
      <c r="AU270" s="16"/>
      <c r="AV270" s="16"/>
      <c r="AW270" s="16"/>
      <c r="AX270" s="16"/>
      <c r="AY270" s="16"/>
      <c r="AZ270" s="16"/>
      <c r="BA270" s="7"/>
      <c r="BC270" s="7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7"/>
      <c r="BP270" s="18"/>
      <c r="BQ270" s="18"/>
      <c r="BR270" s="14"/>
      <c r="BS270" s="16"/>
      <c r="BT270" s="16"/>
      <c r="BU270" s="16"/>
      <c r="BV270" s="16"/>
      <c r="BW270" s="16"/>
      <c r="BX270" s="8"/>
      <c r="BY270" s="8"/>
      <c r="BZ270" s="16"/>
      <c r="CA270" s="16"/>
      <c r="CB270" s="16"/>
      <c r="CC270" s="16"/>
      <c r="CD270" s="16"/>
      <c r="CE270" s="16"/>
      <c r="CF270" s="7"/>
      <c r="CG270" s="18"/>
      <c r="CH270" s="7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7"/>
    </row>
    <row r="271" spans="1:97" ht="12.75" customHeight="1" x14ac:dyDescent="0.2"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16"/>
      <c r="AN271" s="16"/>
      <c r="AO271" s="1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B271" s="10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P271" s="18"/>
      <c r="BQ271" s="18"/>
      <c r="BR271" s="14"/>
      <c r="BS271" s="6"/>
      <c r="BT271" s="6"/>
      <c r="BU271" s="6"/>
      <c r="BV271" s="6"/>
      <c r="BW271" s="6"/>
      <c r="BX271" s="8"/>
      <c r="BY271" s="8"/>
      <c r="BZ271" s="6"/>
      <c r="CA271" s="6"/>
      <c r="CB271" s="6"/>
      <c r="CC271" s="6"/>
      <c r="CD271" s="6"/>
      <c r="CE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</row>
    <row r="272" spans="1:97" ht="12.75" customHeight="1" x14ac:dyDescent="0.2"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16"/>
      <c r="AN272" s="16"/>
      <c r="AO272" s="1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</row>
    <row r="273" spans="5:97" ht="12.75" customHeight="1" x14ac:dyDescent="0.2"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16"/>
      <c r="AN273" s="16"/>
      <c r="AO273" s="1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</row>
    <row r="274" spans="5:97" ht="12.75" customHeight="1" x14ac:dyDescent="0.2"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16"/>
      <c r="AN274" s="16"/>
      <c r="AO274" s="1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</row>
    <row r="275" spans="5:97" ht="12.75" customHeight="1" x14ac:dyDescent="0.2"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16"/>
      <c r="AN275" s="16"/>
      <c r="AO275" s="1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</row>
    <row r="276" spans="5:97" ht="12.75" customHeight="1" x14ac:dyDescent="0.2"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16"/>
      <c r="AN276" s="16"/>
      <c r="AO276" s="1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</row>
    <row r="277" spans="5:97" ht="12.75" customHeight="1" x14ac:dyDescent="0.2"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16"/>
      <c r="AN277" s="16"/>
      <c r="AO277" s="1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</row>
    <row r="278" spans="5:97" ht="12.75" customHeight="1" x14ac:dyDescent="0.2"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16"/>
      <c r="AN278" s="16"/>
      <c r="AO278" s="1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</row>
    <row r="279" spans="5:97" ht="12.75" customHeight="1" x14ac:dyDescent="0.2"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16"/>
      <c r="AN279" s="16"/>
      <c r="AO279" s="1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</row>
    <row r="280" spans="5:97" ht="12.75" customHeight="1" x14ac:dyDescent="0.2"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16"/>
      <c r="AN280" s="16"/>
      <c r="AO280" s="1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</row>
    <row r="281" spans="5:97" ht="12.75" customHeight="1" x14ac:dyDescent="0.2"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16"/>
      <c r="AN281" s="16"/>
      <c r="AO281" s="1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</row>
    <row r="282" spans="5:97" ht="12.75" customHeight="1" x14ac:dyDescent="0.2"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16"/>
      <c r="AN282" s="16"/>
      <c r="AO282" s="1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</row>
    <row r="283" spans="5:97" ht="12.75" customHeight="1" x14ac:dyDescent="0.2"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16"/>
      <c r="AN283" s="16"/>
      <c r="AO283" s="1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</row>
    <row r="284" spans="5:97" ht="12.75" customHeight="1" x14ac:dyDescent="0.2"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16"/>
      <c r="AN284" s="16"/>
      <c r="AO284" s="1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</row>
    <row r="285" spans="5:97" ht="12.75" customHeight="1" x14ac:dyDescent="0.2"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16"/>
      <c r="AN285" s="16"/>
      <c r="AO285" s="1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</row>
    <row r="286" spans="5:97" ht="12.75" customHeight="1" x14ac:dyDescent="0.2"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16"/>
      <c r="AN286" s="16"/>
      <c r="AO286" s="1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</row>
    <row r="287" spans="5:97" ht="12.75" customHeight="1" x14ac:dyDescent="0.2"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16"/>
      <c r="AN287" s="16"/>
      <c r="AO287" s="1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</row>
    <row r="288" spans="5:97" ht="12.75" customHeight="1" x14ac:dyDescent="0.2"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16"/>
      <c r="AN288" s="16"/>
      <c r="AO288" s="1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</row>
    <row r="289" spans="5:97" ht="12.75" customHeight="1" x14ac:dyDescent="0.2"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16"/>
      <c r="AN289" s="16"/>
      <c r="AO289" s="1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</row>
    <row r="290" spans="5:97" ht="12.75" customHeight="1" x14ac:dyDescent="0.2"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16"/>
      <c r="AN290" s="16"/>
      <c r="AO290" s="1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</row>
    <row r="291" spans="5:97" ht="12.75" customHeight="1" x14ac:dyDescent="0.2"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16"/>
      <c r="AN291" s="16"/>
      <c r="AO291" s="1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</row>
    <row r="292" spans="5:97" ht="12.75" customHeight="1" x14ac:dyDescent="0.2"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16"/>
      <c r="AN292" s="16"/>
      <c r="AO292" s="1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</row>
    <row r="293" spans="5:97" ht="12.75" customHeight="1" x14ac:dyDescent="0.2"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16"/>
      <c r="AN293" s="16"/>
      <c r="AO293" s="1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</row>
    <row r="294" spans="5:97" ht="12.75" customHeight="1" x14ac:dyDescent="0.2">
      <c r="AM294" s="16"/>
      <c r="AN294" s="16"/>
      <c r="AO294" s="16"/>
    </row>
    <row r="295" spans="5:97" ht="12.75" customHeight="1" x14ac:dyDescent="0.2">
      <c r="AM295" s="16"/>
      <c r="AN295" s="16"/>
      <c r="AO295" s="16"/>
    </row>
    <row r="296" spans="5:97" ht="12.75" customHeight="1" x14ac:dyDescent="0.2">
      <c r="AM296" s="16"/>
      <c r="AN296" s="16"/>
      <c r="AO296" s="16"/>
    </row>
    <row r="297" spans="5:97" ht="12.75" customHeight="1" x14ac:dyDescent="0.2">
      <c r="AM297" s="16"/>
      <c r="AN297" s="16"/>
      <c r="AO297" s="16"/>
    </row>
    <row r="298" spans="5:97" ht="12.75" customHeight="1" x14ac:dyDescent="0.2">
      <c r="AM298" s="16"/>
      <c r="AN298" s="16"/>
      <c r="AO298" s="16"/>
    </row>
    <row r="299" spans="5:97" ht="12.75" customHeight="1" x14ac:dyDescent="0.2">
      <c r="AM299" s="16"/>
      <c r="AN299" s="16"/>
      <c r="AO299" s="16"/>
    </row>
    <row r="300" spans="5:97" ht="12.75" customHeight="1" x14ac:dyDescent="0.2">
      <c r="AM300" s="16"/>
      <c r="AN300" s="16"/>
      <c r="AO300" s="16"/>
    </row>
    <row r="301" spans="5:97" ht="12.75" customHeight="1" x14ac:dyDescent="0.2">
      <c r="AM301" s="16"/>
      <c r="AN301" s="16"/>
      <c r="AO301" s="16"/>
    </row>
    <row r="302" spans="5:97" ht="12.75" customHeight="1" x14ac:dyDescent="0.2">
      <c r="AM302" s="16"/>
      <c r="AN302" s="16"/>
      <c r="AO302" s="16"/>
    </row>
    <row r="303" spans="5:97" ht="12.75" customHeight="1" x14ac:dyDescent="0.2">
      <c r="AM303" s="16"/>
      <c r="AN303" s="16"/>
      <c r="AO303" s="16"/>
    </row>
    <row r="304" spans="5:97" ht="12.75" customHeight="1" x14ac:dyDescent="0.2">
      <c r="AM304" s="16"/>
      <c r="AN304" s="16"/>
      <c r="AO304" s="16"/>
    </row>
    <row r="305" spans="39:41" ht="12.75" customHeight="1" x14ac:dyDescent="0.2">
      <c r="AM305" s="16"/>
      <c r="AN305" s="16"/>
      <c r="AO305" s="16"/>
    </row>
    <row r="306" spans="39:41" ht="12.75" customHeight="1" x14ac:dyDescent="0.2">
      <c r="AM306" s="16"/>
      <c r="AN306" s="16"/>
      <c r="AO306" s="16"/>
    </row>
    <row r="307" spans="39:41" ht="12.75" customHeight="1" x14ac:dyDescent="0.2">
      <c r="AM307" s="16"/>
      <c r="AN307" s="16"/>
      <c r="AO307" s="16"/>
    </row>
    <row r="308" spans="39:41" ht="12.75" customHeight="1" x14ac:dyDescent="0.2">
      <c r="AM308" s="16"/>
      <c r="AN308" s="16"/>
      <c r="AO308" s="16"/>
    </row>
    <row r="309" spans="39:41" ht="12.75" customHeight="1" x14ac:dyDescent="0.2">
      <c r="AM309" s="16"/>
      <c r="AN309" s="16"/>
      <c r="AO309" s="16"/>
    </row>
    <row r="310" spans="39:41" ht="12.75" customHeight="1" x14ac:dyDescent="0.2">
      <c r="AM310" s="16"/>
      <c r="AN310" s="16"/>
      <c r="AO310" s="16"/>
    </row>
    <row r="311" spans="39:41" ht="12.75" customHeight="1" x14ac:dyDescent="0.2">
      <c r="AM311" s="16"/>
      <c r="AN311" s="16"/>
      <c r="AO311" s="16"/>
    </row>
    <row r="312" spans="39:41" ht="12.75" customHeight="1" x14ac:dyDescent="0.2">
      <c r="AM312" s="16"/>
      <c r="AN312" s="16"/>
      <c r="AO312" s="16"/>
    </row>
    <row r="313" spans="39:41" ht="12.75" customHeight="1" x14ac:dyDescent="0.2">
      <c r="AM313" s="16"/>
      <c r="AN313" s="16"/>
      <c r="AO313" s="16"/>
    </row>
    <row r="314" spans="39:41" ht="12.75" customHeight="1" x14ac:dyDescent="0.2">
      <c r="AM314" s="16"/>
      <c r="AN314" s="16"/>
      <c r="AO314" s="16"/>
    </row>
    <row r="315" spans="39:41" ht="12.75" customHeight="1" x14ac:dyDescent="0.2">
      <c r="AM315" s="16"/>
      <c r="AN315" s="16"/>
      <c r="AO315" s="16"/>
    </row>
  </sheetData>
  <mergeCells count="2">
    <mergeCell ref="Q5:U5"/>
    <mergeCell ref="Q116:U116"/>
  </mergeCells>
  <phoneticPr fontId="4" type="noConversion"/>
  <pageMargins left="0.75" right="0.75" top="0.5" bottom="0.5" header="0" footer="0.25"/>
  <pageSetup scale="74" firstPageNumber="92" pageOrder="overThenDown" orientation="portrait" useFirstPageNumber="1" r:id="rId1"/>
  <headerFooter alignWithMargins="0">
    <oddFooter>&amp;C&amp;"Times New Roman,Regular"&amp;11&amp;P</oddFooter>
  </headerFooter>
  <colBreaks count="2" manualBreakCount="2">
    <brk id="13" max="266" man="1"/>
    <brk id="38" max="26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318"/>
  <sheetViews>
    <sheetView view="pageBreakPreview" zoomScale="90" zoomScaleNormal="100" zoomScaleSheetLayoutView="90" workbookViewId="0">
      <pane xSplit="3" ySplit="9" topLeftCell="F10" activePane="bottomRight" state="frozen"/>
      <selection sqref="A1:IV65536"/>
      <selection pane="topRight" sqref="A1:IV65536"/>
      <selection pane="bottomLeft" sqref="A1:IV65536"/>
      <selection pane="bottomRight" activeCell="G7" sqref="G7"/>
    </sheetView>
  </sheetViews>
  <sheetFormatPr defaultColWidth="8.42578125" defaultRowHeight="12.75" customHeight="1" x14ac:dyDescent="0.2"/>
  <cols>
    <col min="1" max="1" width="16.28515625" style="18" customWidth="1"/>
    <col min="2" max="2" width="1.7109375" style="14" customWidth="1"/>
    <col min="3" max="3" width="10.140625" style="18" customWidth="1"/>
    <col min="4" max="4" width="1.7109375" style="18" customWidth="1"/>
    <col min="5" max="5" width="11.7109375" style="18" customWidth="1"/>
    <col min="6" max="6" width="1.7109375" style="18" customWidth="1"/>
    <col min="7" max="7" width="11.7109375" style="18" customWidth="1"/>
    <col min="8" max="8" width="1.7109375" style="18" customWidth="1"/>
    <col min="9" max="9" width="11.7109375" style="18" customWidth="1"/>
    <col min="10" max="10" width="1.7109375" style="18" customWidth="1"/>
    <col min="11" max="11" width="11.7109375" style="18" customWidth="1"/>
    <col min="12" max="12" width="1.7109375" style="18" customWidth="1"/>
    <col min="13" max="13" width="11.7109375" style="18" customWidth="1"/>
    <col min="14" max="14" width="1.7109375" style="18" customWidth="1"/>
    <col min="15" max="15" width="11.7109375" style="18" customWidth="1"/>
    <col min="16" max="16" width="1.7109375" style="18" customWidth="1"/>
    <col min="17" max="17" width="11.7109375" style="18" customWidth="1"/>
    <col min="18" max="18" width="1.85546875" style="18" customWidth="1"/>
    <col min="19" max="19" width="11.7109375" style="18" customWidth="1"/>
    <col min="20" max="20" width="1.7109375" style="18" customWidth="1"/>
    <col min="21" max="21" width="11.7109375" style="18" customWidth="1"/>
    <col min="22" max="22" width="1.7109375" style="18" customWidth="1"/>
    <col min="23" max="23" width="11.7109375" style="18" customWidth="1"/>
    <col min="24" max="24" width="14.5703125" style="18" customWidth="1"/>
    <col min="25" max="25" width="16" style="18" customWidth="1"/>
    <col min="26" max="26" width="1.7109375" style="10" customWidth="1"/>
    <col min="27" max="27" width="10.140625" style="18" customWidth="1"/>
    <col min="28" max="28" width="1.7109375" style="18" customWidth="1"/>
    <col min="29" max="29" width="11.7109375" style="18" customWidth="1"/>
    <col min="30" max="30" width="1.7109375" style="18" customWidth="1"/>
    <col min="31" max="31" width="11.7109375" style="18" customWidth="1"/>
    <col min="32" max="32" width="1.7109375" style="18" customWidth="1"/>
    <col min="33" max="33" width="11.7109375" style="18" customWidth="1"/>
    <col min="34" max="34" width="1.7109375" style="18" customWidth="1"/>
    <col min="35" max="35" width="11.7109375" style="18" customWidth="1"/>
    <col min="36" max="36" width="1.7109375" style="18" customWidth="1"/>
    <col min="37" max="37" width="11.7109375" style="8" customWidth="1"/>
    <col min="38" max="38" width="1.7109375" style="8" customWidth="1"/>
    <col min="39" max="39" width="11.7109375" style="8" customWidth="1"/>
    <col min="40" max="40" width="1.7109375" style="8" customWidth="1"/>
    <col min="41" max="41" width="11.7109375" style="8" customWidth="1"/>
    <col min="42" max="42" width="1.7109375" style="8" customWidth="1"/>
    <col min="43" max="43" width="11.7109375" style="8" customWidth="1"/>
    <col min="44" max="44" width="1.7109375" style="8" customWidth="1"/>
    <col min="45" max="45" width="11.7109375" style="18" customWidth="1"/>
    <col min="46" max="46" width="1.7109375" style="18" customWidth="1"/>
    <col min="47" max="47" width="11.7109375" style="18" hidden="1" customWidth="1"/>
    <col min="48" max="48" width="1.7109375" style="18" hidden="1" customWidth="1"/>
    <col min="49" max="49" width="11.7109375" style="18" hidden="1" customWidth="1"/>
    <col min="50" max="50" width="1.7109375" style="18" hidden="1" customWidth="1"/>
    <col min="51" max="52" width="11.7109375" style="18" customWidth="1"/>
    <col min="53" max="53" width="16.85546875" style="18" customWidth="1"/>
    <col min="54" max="54" width="1.7109375" style="10" customWidth="1"/>
    <col min="55" max="55" width="10.140625" style="18" customWidth="1"/>
    <col min="56" max="56" width="1.7109375" style="18" customWidth="1"/>
    <col min="57" max="57" width="11.7109375" style="18" customWidth="1"/>
    <col min="58" max="58" width="1.7109375" style="18" customWidth="1"/>
    <col min="59" max="59" width="11.7109375" style="18" customWidth="1"/>
    <col min="60" max="60" width="1.7109375" style="18" customWidth="1"/>
    <col min="61" max="61" width="11.7109375" style="18" customWidth="1"/>
    <col min="62" max="62" width="1.7109375" style="18" customWidth="1"/>
    <col min="63" max="63" width="11.7109375" style="18" customWidth="1"/>
    <col min="64" max="64" width="1.7109375" style="18" customWidth="1"/>
    <col min="65" max="65" width="11.7109375" style="18" customWidth="1"/>
    <col min="66" max="66" width="1.7109375" style="18" hidden="1" customWidth="1"/>
    <col min="67" max="67" width="11.7109375" style="18" hidden="1" customWidth="1"/>
    <col min="68" max="68" width="1.7109375" style="18" hidden="1" customWidth="1"/>
    <col min="69" max="69" width="11.7109375" style="18" hidden="1" customWidth="1"/>
    <col min="70" max="70" width="1.7109375" style="18" customWidth="1"/>
    <col min="71" max="71" width="11.7109375" style="18" customWidth="1"/>
    <col min="72" max="72" width="1.7109375" style="18" customWidth="1"/>
    <col min="73" max="73" width="11.7109375" style="18" customWidth="1"/>
    <col min="74" max="74" width="1.7109375" style="18" customWidth="1"/>
    <col min="75" max="75" width="11.7109375" style="18" customWidth="1"/>
    <col min="76" max="76" width="1.7109375" style="18" customWidth="1"/>
    <col min="77" max="77" width="11.7109375" style="18" customWidth="1"/>
    <col min="78" max="78" width="1.7109375" style="18" customWidth="1"/>
    <col min="79" max="79" width="11.7109375" style="18" customWidth="1"/>
    <col min="80" max="80" width="1.7109375" style="18" customWidth="1"/>
    <col min="81" max="81" width="11.7109375" style="18" customWidth="1"/>
    <col min="82" max="82" width="1.7109375" style="18" customWidth="1"/>
    <col min="83" max="83" width="11.7109375" style="18" customWidth="1"/>
    <col min="84" max="84" width="1.7109375" style="18" customWidth="1"/>
    <col min="85" max="85" width="11.7109375" style="18" customWidth="1"/>
    <col min="86" max="86" width="1.7109375" style="18" customWidth="1"/>
    <col min="87" max="16384" width="8.42578125" style="18"/>
  </cols>
  <sheetData>
    <row r="1" spans="1:66" s="31" customFormat="1" ht="12.75" customHeight="1" x14ac:dyDescent="0.2">
      <c r="A1" s="23" t="s">
        <v>391</v>
      </c>
      <c r="C1" s="32"/>
      <c r="D1" s="32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3" t="s">
        <v>391</v>
      </c>
      <c r="AA1" s="32"/>
      <c r="AB1" s="32"/>
      <c r="AC1" s="23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23" t="s">
        <v>391</v>
      </c>
      <c r="BC1" s="32"/>
      <c r="BD1" s="32"/>
      <c r="BE1" s="6"/>
      <c r="BF1" s="6"/>
      <c r="BG1" s="6"/>
      <c r="BH1" s="6"/>
      <c r="BI1" s="6"/>
      <c r="BJ1" s="6"/>
      <c r="BK1" s="6"/>
      <c r="BL1" s="6"/>
      <c r="BM1" s="24"/>
      <c r="BN1" s="24"/>
    </row>
    <row r="2" spans="1:66" s="31" customFormat="1" ht="12.75" customHeight="1" x14ac:dyDescent="0.2">
      <c r="A2" s="38" t="s">
        <v>515</v>
      </c>
      <c r="C2" s="32"/>
      <c r="D2" s="32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38" t="s">
        <v>518</v>
      </c>
      <c r="AA2" s="32"/>
      <c r="AB2" s="32"/>
      <c r="AC2" s="38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25" t="s">
        <v>346</v>
      </c>
      <c r="BC2" s="32"/>
      <c r="BD2" s="32"/>
      <c r="BE2" s="6"/>
      <c r="BF2" s="6"/>
      <c r="BG2" s="6"/>
      <c r="BH2" s="6"/>
      <c r="BI2" s="6"/>
      <c r="BJ2" s="6"/>
      <c r="BK2" s="6"/>
      <c r="BL2" s="6"/>
      <c r="BM2" s="24"/>
      <c r="BN2" s="24"/>
    </row>
    <row r="3" spans="1:66" ht="12.75" customHeight="1" x14ac:dyDescent="0.2">
      <c r="A3" s="23" t="s">
        <v>504</v>
      </c>
      <c r="C3" s="33"/>
      <c r="D3" s="33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23" t="s">
        <v>504</v>
      </c>
      <c r="Z3" s="18"/>
      <c r="AA3" s="33"/>
      <c r="AB3" s="33"/>
      <c r="AC3" s="23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23" t="s">
        <v>504</v>
      </c>
      <c r="BB3" s="18"/>
      <c r="BC3" s="33"/>
      <c r="BD3" s="33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ht="12.75" customHeight="1" x14ac:dyDescent="0.2">
      <c r="A4" s="34" t="s">
        <v>287</v>
      </c>
      <c r="C4" s="33"/>
      <c r="D4" s="3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34" t="s">
        <v>287</v>
      </c>
      <c r="Z4" s="18"/>
      <c r="AA4" s="33"/>
      <c r="AB4" s="33"/>
      <c r="AC4" s="34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34" t="s">
        <v>287</v>
      </c>
      <c r="BB4" s="18"/>
      <c r="BC4" s="33"/>
      <c r="BD4" s="33"/>
      <c r="BE4" s="6"/>
      <c r="BF4" s="6"/>
      <c r="BG4" s="6"/>
      <c r="BH4" s="6"/>
      <c r="BI4" s="6"/>
      <c r="BJ4" s="6"/>
      <c r="BK4" s="6"/>
      <c r="BL4" s="6"/>
      <c r="BM4" s="6"/>
      <c r="BN4" s="6"/>
    </row>
    <row r="5" spans="1:66" ht="12.75" customHeight="1" x14ac:dyDescent="0.2">
      <c r="A5" s="23"/>
      <c r="C5" s="33"/>
      <c r="D5" s="33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V5" s="6"/>
      <c r="W5" s="6"/>
      <c r="X5" s="6"/>
      <c r="Y5" s="34"/>
      <c r="Z5" s="18"/>
      <c r="AA5" s="33"/>
      <c r="AB5" s="33"/>
      <c r="AC5" s="23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34"/>
      <c r="BB5" s="18"/>
      <c r="BC5" s="33"/>
      <c r="BD5" s="33"/>
      <c r="BL5" s="6"/>
      <c r="BM5" s="6"/>
      <c r="BN5" s="6"/>
    </row>
    <row r="6" spans="1:66" ht="12.75" customHeight="1" x14ac:dyDescent="0.2">
      <c r="A6" s="35"/>
      <c r="C6" s="35"/>
      <c r="D6" s="35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93" t="s">
        <v>512</v>
      </c>
      <c r="R6" s="93"/>
      <c r="S6" s="93"/>
      <c r="T6" s="93"/>
      <c r="U6" s="93"/>
      <c r="V6" s="39"/>
      <c r="W6" s="39"/>
      <c r="X6" s="26"/>
      <c r="Y6" s="35"/>
      <c r="Z6" s="18"/>
      <c r="AA6" s="35"/>
      <c r="AB6" s="35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8" t="s">
        <v>409</v>
      </c>
      <c r="AV6" s="6"/>
      <c r="AW6" s="68" t="s">
        <v>410</v>
      </c>
      <c r="AX6" s="6"/>
      <c r="AY6" s="6"/>
      <c r="AZ6" s="6"/>
      <c r="BA6" s="35"/>
      <c r="BB6" s="18"/>
      <c r="BC6" s="35"/>
      <c r="BD6" s="35"/>
      <c r="BE6" s="5" t="s">
        <v>346</v>
      </c>
      <c r="BF6" s="5"/>
      <c r="BG6" s="5"/>
      <c r="BH6" s="5"/>
      <c r="BI6" s="5"/>
      <c r="BJ6" s="5"/>
      <c r="BK6" s="5"/>
      <c r="BL6" s="26"/>
      <c r="BM6" s="6"/>
      <c r="BN6" s="6"/>
    </row>
    <row r="7" spans="1:66" s="35" customFormat="1" ht="12.75" customHeight="1" x14ac:dyDescent="0.2"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 t="s">
        <v>516</v>
      </c>
      <c r="AC7" s="68"/>
      <c r="AD7" s="68"/>
      <c r="AE7" s="68"/>
      <c r="AF7" s="68"/>
      <c r="AG7" s="68"/>
      <c r="AH7" s="68"/>
      <c r="AI7" s="68"/>
      <c r="AJ7" s="68"/>
      <c r="AK7" s="68" t="s">
        <v>352</v>
      </c>
      <c r="AL7" s="68"/>
      <c r="AM7" s="68"/>
      <c r="AN7" s="68"/>
      <c r="AO7" s="68"/>
      <c r="AP7" s="68"/>
      <c r="AQ7" s="68"/>
      <c r="AR7" s="68"/>
      <c r="AS7" s="68"/>
      <c r="AT7" s="68"/>
      <c r="AU7" s="68" t="s">
        <v>347</v>
      </c>
      <c r="AV7" s="68"/>
      <c r="AW7" s="68" t="s">
        <v>347</v>
      </c>
      <c r="AX7" s="68"/>
      <c r="AY7" s="68"/>
      <c r="AZ7" s="68"/>
      <c r="BE7" s="68" t="s">
        <v>294</v>
      </c>
      <c r="BF7" s="68"/>
      <c r="BG7" s="68" t="s">
        <v>348</v>
      </c>
      <c r="BH7" s="68"/>
      <c r="BI7" s="68"/>
      <c r="BJ7" s="68"/>
      <c r="BK7" s="68" t="s">
        <v>292</v>
      </c>
      <c r="BL7" s="68"/>
      <c r="BM7" s="68" t="s">
        <v>5</v>
      </c>
      <c r="BN7" s="17"/>
    </row>
    <row r="8" spans="1:66" s="35" customFormat="1" ht="12.75" customHeight="1" x14ac:dyDescent="0.2">
      <c r="E8" s="68" t="s">
        <v>2</v>
      </c>
      <c r="F8" s="68"/>
      <c r="G8" s="68" t="s">
        <v>349</v>
      </c>
      <c r="H8" s="68"/>
      <c r="I8" s="68" t="s">
        <v>5</v>
      </c>
      <c r="J8" s="68"/>
      <c r="K8" s="68" t="s">
        <v>2</v>
      </c>
      <c r="L8" s="68"/>
      <c r="M8" s="68" t="s">
        <v>349</v>
      </c>
      <c r="N8" s="68"/>
      <c r="O8" s="68" t="s">
        <v>5</v>
      </c>
      <c r="P8" s="68"/>
      <c r="Q8" s="35" t="s">
        <v>519</v>
      </c>
      <c r="R8" s="68"/>
      <c r="S8" s="68"/>
      <c r="T8" s="68"/>
      <c r="U8" s="68"/>
      <c r="V8" s="68"/>
      <c r="W8" s="68" t="s">
        <v>5</v>
      </c>
      <c r="X8" s="68"/>
      <c r="AC8" s="68" t="s">
        <v>343</v>
      </c>
      <c r="AD8" s="68"/>
      <c r="AE8" s="68" t="s">
        <v>351</v>
      </c>
      <c r="AF8" s="68"/>
      <c r="AG8" s="68"/>
      <c r="AH8" s="68"/>
      <c r="AI8" s="68" t="s">
        <v>343</v>
      </c>
      <c r="AJ8" s="68"/>
      <c r="AK8" s="35" t="s">
        <v>371</v>
      </c>
      <c r="AL8" s="68"/>
      <c r="AM8" s="68"/>
      <c r="AN8" s="68"/>
      <c r="AO8" s="68"/>
      <c r="AP8" s="68"/>
      <c r="AQ8" s="68" t="s">
        <v>3</v>
      </c>
      <c r="AR8" s="68"/>
      <c r="AS8" s="68" t="s">
        <v>366</v>
      </c>
      <c r="AT8" s="68"/>
      <c r="AU8" s="68" t="s">
        <v>411</v>
      </c>
      <c r="AV8" s="68"/>
      <c r="AW8" s="68" t="s">
        <v>417</v>
      </c>
      <c r="AX8" s="68"/>
      <c r="AY8" s="68" t="s">
        <v>353</v>
      </c>
      <c r="AZ8" s="68"/>
      <c r="BE8" s="68" t="s">
        <v>354</v>
      </c>
      <c r="BF8" s="68"/>
      <c r="BG8" s="68" t="s">
        <v>300</v>
      </c>
      <c r="BH8" s="68"/>
      <c r="BI8" s="68"/>
      <c r="BJ8" s="68"/>
      <c r="BK8" s="68" t="s">
        <v>350</v>
      </c>
      <c r="BL8" s="68"/>
      <c r="BM8" s="68" t="s">
        <v>350</v>
      </c>
      <c r="BN8" s="17"/>
    </row>
    <row r="9" spans="1:66" s="35" customFormat="1" ht="12.75" customHeight="1" x14ac:dyDescent="0.2">
      <c r="A9" s="67" t="s">
        <v>6</v>
      </c>
      <c r="C9" s="67" t="s">
        <v>7</v>
      </c>
      <c r="D9" s="68"/>
      <c r="E9" s="67" t="s">
        <v>0</v>
      </c>
      <c r="F9" s="68"/>
      <c r="G9" s="67" t="s">
        <v>0</v>
      </c>
      <c r="H9" s="68"/>
      <c r="I9" s="67" t="s">
        <v>0</v>
      </c>
      <c r="J9" s="68"/>
      <c r="K9" s="67" t="s">
        <v>1</v>
      </c>
      <c r="L9" s="68"/>
      <c r="M9" s="67" t="s">
        <v>1</v>
      </c>
      <c r="N9" s="67"/>
      <c r="O9" s="67" t="s">
        <v>1</v>
      </c>
      <c r="P9" s="68"/>
      <c r="Q9" s="67" t="s">
        <v>0</v>
      </c>
      <c r="R9" s="68"/>
      <c r="S9" s="67" t="s">
        <v>8</v>
      </c>
      <c r="T9" s="68"/>
      <c r="U9" s="67" t="s">
        <v>9</v>
      </c>
      <c r="V9" s="68"/>
      <c r="W9" s="67" t="s">
        <v>512</v>
      </c>
      <c r="X9" s="68"/>
      <c r="Y9" s="67" t="s">
        <v>6</v>
      </c>
      <c r="AA9" s="67" t="s">
        <v>7</v>
      </c>
      <c r="AB9" s="68"/>
      <c r="AC9" s="27" t="s">
        <v>300</v>
      </c>
      <c r="AD9" s="68"/>
      <c r="AE9" s="27" t="s">
        <v>355</v>
      </c>
      <c r="AF9" s="68"/>
      <c r="AG9" s="27" t="s">
        <v>355</v>
      </c>
      <c r="AH9" s="68"/>
      <c r="AI9" s="27" t="s">
        <v>356</v>
      </c>
      <c r="AJ9" s="68"/>
      <c r="AK9" s="27" t="s">
        <v>372</v>
      </c>
      <c r="AL9" s="68"/>
      <c r="AM9" s="27" t="s">
        <v>357</v>
      </c>
      <c r="AN9" s="68"/>
      <c r="AO9" s="27" t="s">
        <v>358</v>
      </c>
      <c r="AP9" s="68"/>
      <c r="AQ9" s="67" t="s">
        <v>359</v>
      </c>
      <c r="AR9" s="68"/>
      <c r="AS9" s="27" t="s">
        <v>512</v>
      </c>
      <c r="AT9" s="68"/>
      <c r="AU9" s="67" t="s">
        <v>413</v>
      </c>
      <c r="AV9" s="68"/>
      <c r="AW9" s="67" t="s">
        <v>413</v>
      </c>
      <c r="AX9" s="68"/>
      <c r="AY9" s="27" t="s">
        <v>3</v>
      </c>
      <c r="AZ9" s="68"/>
      <c r="BA9" s="67" t="s">
        <v>6</v>
      </c>
      <c r="BC9" s="67" t="s">
        <v>7</v>
      </c>
      <c r="BD9" s="68"/>
      <c r="BE9" s="27" t="s">
        <v>360</v>
      </c>
      <c r="BF9" s="68"/>
      <c r="BG9" s="27" t="s">
        <v>360</v>
      </c>
      <c r="BH9" s="68"/>
      <c r="BI9" s="27" t="s">
        <v>361</v>
      </c>
      <c r="BJ9" s="68"/>
      <c r="BK9" s="27" t="s">
        <v>362</v>
      </c>
      <c r="BL9" s="68"/>
      <c r="BM9" s="67" t="s">
        <v>362</v>
      </c>
      <c r="BN9" s="17"/>
    </row>
    <row r="10" spans="1:66" s="35" customFormat="1" ht="12.75" customHeight="1" x14ac:dyDescent="0.2">
      <c r="A10" s="68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17"/>
    </row>
    <row r="11" spans="1:66" ht="12.75" hidden="1" customHeight="1" x14ac:dyDescent="0.2">
      <c r="A11" s="6" t="s">
        <v>10</v>
      </c>
      <c r="C11" s="6" t="s">
        <v>11</v>
      </c>
      <c r="D11" s="6"/>
      <c r="E11" s="6">
        <f t="shared" ref="E11:E39" si="0">I11-G11</f>
        <v>0</v>
      </c>
      <c r="F11" s="6"/>
      <c r="G11" s="6"/>
      <c r="H11" s="6"/>
      <c r="I11" s="6"/>
      <c r="J11" s="6"/>
      <c r="K11" s="6">
        <f t="shared" ref="K11:K39" si="1">O11-M11</f>
        <v>0</v>
      </c>
      <c r="L11" s="6"/>
      <c r="M11" s="6">
        <f t="shared" ref="M11:M12" si="2">SUM(BM11)</f>
        <v>0</v>
      </c>
      <c r="N11" s="6"/>
      <c r="O11" s="6"/>
      <c r="P11" s="6"/>
      <c r="Q11" s="6"/>
      <c r="R11" s="6"/>
      <c r="S11" s="6"/>
      <c r="T11" s="6"/>
      <c r="U11" s="6"/>
      <c r="V11" s="6"/>
      <c r="W11" s="6">
        <f t="shared" ref="W11:W33" si="3">SUM(Q11:U11)</f>
        <v>0</v>
      </c>
      <c r="X11" s="6"/>
      <c r="Y11" s="6" t="s">
        <v>10</v>
      </c>
      <c r="Z11" s="18"/>
      <c r="AA11" s="6" t="s">
        <v>11</v>
      </c>
      <c r="AB11" s="6"/>
      <c r="AC11" s="6"/>
      <c r="AD11" s="6"/>
      <c r="AE11" s="6"/>
      <c r="AF11" s="6"/>
      <c r="AG11" s="6"/>
      <c r="AH11" s="6"/>
      <c r="AI11" s="8">
        <f>+AC11-AE11-AG11</f>
        <v>0</v>
      </c>
      <c r="AJ11" s="8"/>
      <c r="AK11" s="6"/>
      <c r="AL11" s="6"/>
      <c r="AM11" s="6"/>
      <c r="AN11" s="6"/>
      <c r="AO11" s="6"/>
      <c r="AP11" s="6"/>
      <c r="AQ11" s="6"/>
      <c r="AR11" s="6"/>
      <c r="AS11" s="8">
        <f>+AI11+AK11+AM11-AO11+AQ11</f>
        <v>0</v>
      </c>
      <c r="AT11" s="8"/>
      <c r="AU11" s="6">
        <v>0</v>
      </c>
      <c r="AV11" s="6"/>
      <c r="AW11" s="6">
        <v>0</v>
      </c>
      <c r="AX11" s="6"/>
      <c r="AY11" s="6">
        <f t="shared" ref="AY11:AY39" si="4">+E11-K11</f>
        <v>0</v>
      </c>
      <c r="AZ11" s="6"/>
      <c r="BA11" s="6" t="s">
        <v>10</v>
      </c>
      <c r="BB11" s="18"/>
      <c r="BC11" s="6" t="s">
        <v>11</v>
      </c>
      <c r="BD11" s="6"/>
      <c r="BE11" s="6"/>
      <c r="BF11" s="6"/>
      <c r="BG11" s="6"/>
      <c r="BH11" s="6"/>
      <c r="BI11" s="6"/>
      <c r="BJ11" s="6"/>
      <c r="BK11" s="6"/>
      <c r="BL11" s="6"/>
      <c r="BM11" s="6">
        <f t="shared" ref="BM11:BM27" si="5">SUM(BE11:BK11)</f>
        <v>0</v>
      </c>
      <c r="BN11" s="17" t="s">
        <v>345</v>
      </c>
    </row>
    <row r="12" spans="1:66" ht="12.75" hidden="1" customHeight="1" x14ac:dyDescent="0.2">
      <c r="A12" s="6" t="s">
        <v>12</v>
      </c>
      <c r="C12" s="6" t="s">
        <v>13</v>
      </c>
      <c r="D12" s="6"/>
      <c r="E12" s="6">
        <f t="shared" si="0"/>
        <v>0</v>
      </c>
      <c r="F12" s="6"/>
      <c r="G12" s="6">
        <v>0</v>
      </c>
      <c r="H12" s="6"/>
      <c r="I12" s="6">
        <v>0</v>
      </c>
      <c r="J12" s="6"/>
      <c r="K12" s="6">
        <f t="shared" si="1"/>
        <v>0</v>
      </c>
      <c r="L12" s="6"/>
      <c r="M12" s="6">
        <f t="shared" si="2"/>
        <v>0</v>
      </c>
      <c r="N12" s="6"/>
      <c r="O12" s="6">
        <v>0</v>
      </c>
      <c r="P12" s="6"/>
      <c r="Q12" s="6">
        <v>0</v>
      </c>
      <c r="R12" s="6"/>
      <c r="S12" s="6">
        <v>0</v>
      </c>
      <c r="T12" s="6"/>
      <c r="U12" s="6">
        <v>0</v>
      </c>
      <c r="V12" s="6"/>
      <c r="W12" s="6">
        <f t="shared" si="3"/>
        <v>0</v>
      </c>
      <c r="X12" s="6"/>
      <c r="Y12" s="6" t="s">
        <v>12</v>
      </c>
      <c r="Z12" s="18"/>
      <c r="AA12" s="6" t="s">
        <v>13</v>
      </c>
      <c r="AB12" s="6"/>
      <c r="AC12" s="6">
        <v>0</v>
      </c>
      <c r="AD12" s="6"/>
      <c r="AE12" s="6">
        <v>0</v>
      </c>
      <c r="AF12" s="6"/>
      <c r="AG12" s="6">
        <v>0</v>
      </c>
      <c r="AH12" s="6"/>
      <c r="AI12" s="8">
        <v>0</v>
      </c>
      <c r="AJ12" s="8"/>
      <c r="AK12" s="6">
        <v>0</v>
      </c>
      <c r="AL12" s="6"/>
      <c r="AM12" s="6">
        <v>0</v>
      </c>
      <c r="AN12" s="6"/>
      <c r="AO12" s="6">
        <v>0</v>
      </c>
      <c r="AP12" s="6"/>
      <c r="AQ12" s="6">
        <v>0</v>
      </c>
      <c r="AR12" s="6"/>
      <c r="AS12" s="8">
        <v>0</v>
      </c>
      <c r="AT12" s="8"/>
      <c r="AU12" s="6">
        <v>0</v>
      </c>
      <c r="AV12" s="6"/>
      <c r="AW12" s="6">
        <v>0</v>
      </c>
      <c r="AX12" s="6"/>
      <c r="AY12" s="6">
        <f t="shared" si="4"/>
        <v>0</v>
      </c>
      <c r="AZ12" s="6"/>
      <c r="BA12" s="6" t="s">
        <v>12</v>
      </c>
      <c r="BB12" s="18"/>
      <c r="BC12" s="6" t="s">
        <v>13</v>
      </c>
      <c r="BD12" s="6"/>
      <c r="BE12" s="6">
        <v>0</v>
      </c>
      <c r="BF12" s="6"/>
      <c r="BG12" s="6">
        <v>0</v>
      </c>
      <c r="BH12" s="6"/>
      <c r="BI12" s="6">
        <v>0</v>
      </c>
      <c r="BJ12" s="6"/>
      <c r="BK12" s="6">
        <v>0</v>
      </c>
      <c r="BL12" s="6"/>
      <c r="BM12" s="6">
        <f t="shared" si="5"/>
        <v>0</v>
      </c>
      <c r="BN12" s="17" t="s">
        <v>345</v>
      </c>
    </row>
    <row r="13" spans="1:66" s="36" customFormat="1" ht="12.75" customHeight="1" x14ac:dyDescent="0.2">
      <c r="A13" s="6" t="s">
        <v>14</v>
      </c>
      <c r="B13" s="14"/>
      <c r="C13" s="6" t="s">
        <v>15</v>
      </c>
      <c r="D13" s="6"/>
      <c r="E13" s="19">
        <v>7711866</v>
      </c>
      <c r="F13" s="19"/>
      <c r="G13" s="19">
        <v>4007375</v>
      </c>
      <c r="H13" s="19"/>
      <c r="I13" s="19">
        <f>+E13+G13</f>
        <v>11719241</v>
      </c>
      <c r="J13" s="19"/>
      <c r="K13" s="19">
        <v>449212</v>
      </c>
      <c r="L13" s="19"/>
      <c r="M13" s="19">
        <v>863018</v>
      </c>
      <c r="N13" s="19"/>
      <c r="O13" s="19">
        <f>+K13+M13</f>
        <v>1312230</v>
      </c>
      <c r="P13" s="19"/>
      <c r="Q13" s="19">
        <v>1970978</v>
      </c>
      <c r="R13" s="19"/>
      <c r="S13" s="19">
        <v>0</v>
      </c>
      <c r="T13" s="19"/>
      <c r="U13" s="19">
        <v>8436033</v>
      </c>
      <c r="V13" s="19"/>
      <c r="W13" s="19">
        <f t="shared" si="3"/>
        <v>10407011</v>
      </c>
      <c r="X13" s="6"/>
      <c r="Y13" s="6" t="s">
        <v>14</v>
      </c>
      <c r="Z13" s="18"/>
      <c r="AA13" s="6" t="s">
        <v>15</v>
      </c>
      <c r="AB13" s="6"/>
      <c r="AC13" s="19">
        <v>10380939</v>
      </c>
      <c r="AD13" s="19"/>
      <c r="AE13" s="19">
        <f>9953268-131740</f>
        <v>9821528</v>
      </c>
      <c r="AF13" s="19"/>
      <c r="AG13" s="19">
        <v>131740</v>
      </c>
      <c r="AH13" s="19"/>
      <c r="AI13" s="40">
        <f>+AC13-AE13-AG13</f>
        <v>427671</v>
      </c>
      <c r="AJ13" s="40"/>
      <c r="AK13" s="19">
        <v>-165223</v>
      </c>
      <c r="AL13" s="19"/>
      <c r="AM13" s="19">
        <v>0</v>
      </c>
      <c r="AN13" s="19"/>
      <c r="AO13" s="19">
        <v>0</v>
      </c>
      <c r="AP13" s="19"/>
      <c r="AQ13" s="19">
        <v>0</v>
      </c>
      <c r="AR13" s="19"/>
      <c r="AS13" s="40">
        <f>+AI13+AK13+AM13-AO13+AQ13</f>
        <v>262448</v>
      </c>
      <c r="AT13" s="40"/>
      <c r="AU13" s="19">
        <v>0</v>
      </c>
      <c r="AV13" s="19"/>
      <c r="AW13" s="19">
        <v>0</v>
      </c>
      <c r="AX13" s="19"/>
      <c r="AY13" s="19">
        <f t="shared" si="4"/>
        <v>7262654</v>
      </c>
      <c r="AZ13" s="6"/>
      <c r="BA13" s="6" t="s">
        <v>14</v>
      </c>
      <c r="BB13" s="18"/>
      <c r="BC13" s="6" t="s">
        <v>15</v>
      </c>
      <c r="BD13" s="6"/>
      <c r="BE13" s="19">
        <f>460000+85000</f>
        <v>545000</v>
      </c>
      <c r="BF13" s="19"/>
      <c r="BG13" s="19">
        <v>0</v>
      </c>
      <c r="BH13" s="19"/>
      <c r="BI13" s="19">
        <v>0</v>
      </c>
      <c r="BJ13" s="19"/>
      <c r="BK13" s="19">
        <f>48018+2752+355000+160000</f>
        <v>565770</v>
      </c>
      <c r="BL13" s="19"/>
      <c r="BM13" s="19">
        <f t="shared" si="5"/>
        <v>1110770</v>
      </c>
      <c r="BN13" s="37" t="s">
        <v>345</v>
      </c>
    </row>
    <row r="14" spans="1:66" ht="12.75" hidden="1" customHeight="1" x14ac:dyDescent="0.2">
      <c r="A14" s="6" t="s">
        <v>16</v>
      </c>
      <c r="C14" s="6" t="s">
        <v>16</v>
      </c>
      <c r="D14" s="6"/>
      <c r="E14" s="6">
        <f t="shared" si="0"/>
        <v>0</v>
      </c>
      <c r="F14" s="6"/>
      <c r="G14" s="6"/>
      <c r="H14" s="6"/>
      <c r="I14" s="6"/>
      <c r="J14" s="6"/>
      <c r="K14" s="6">
        <f t="shared" si="1"/>
        <v>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>
        <f t="shared" si="3"/>
        <v>0</v>
      </c>
      <c r="X14" s="6"/>
      <c r="Y14" s="6" t="s">
        <v>16</v>
      </c>
      <c r="Z14" s="18"/>
      <c r="AA14" s="6" t="s">
        <v>16</v>
      </c>
      <c r="AB14" s="6"/>
      <c r="AC14" s="6"/>
      <c r="AD14" s="6"/>
      <c r="AE14" s="6"/>
      <c r="AF14" s="6"/>
      <c r="AG14" s="6"/>
      <c r="AH14" s="6"/>
      <c r="AI14" s="8">
        <f>+AC14-AE14-AG14</f>
        <v>0</v>
      </c>
      <c r="AJ14" s="8"/>
      <c r="AK14" s="6"/>
      <c r="AL14" s="6"/>
      <c r="AM14" s="6"/>
      <c r="AN14" s="6"/>
      <c r="AO14" s="6"/>
      <c r="AP14" s="6"/>
      <c r="AQ14" s="6"/>
      <c r="AR14" s="6"/>
      <c r="AS14" s="8">
        <f>+AI14+AK14+AM14-AO14+AQ14</f>
        <v>0</v>
      </c>
      <c r="AT14" s="8"/>
      <c r="AU14" s="6">
        <v>0</v>
      </c>
      <c r="AV14" s="6"/>
      <c r="AW14" s="6">
        <v>0</v>
      </c>
      <c r="AX14" s="6"/>
      <c r="AY14" s="6">
        <f t="shared" si="4"/>
        <v>0</v>
      </c>
      <c r="AZ14" s="6"/>
      <c r="BA14" s="6" t="s">
        <v>16</v>
      </c>
      <c r="BB14" s="18"/>
      <c r="BC14" s="6" t="s">
        <v>16</v>
      </c>
      <c r="BD14" s="6"/>
      <c r="BE14" s="6"/>
      <c r="BF14" s="6"/>
      <c r="BG14" s="6"/>
      <c r="BH14" s="6"/>
      <c r="BI14" s="6"/>
      <c r="BJ14" s="6"/>
      <c r="BK14" s="6"/>
      <c r="BL14" s="6"/>
      <c r="BM14" s="6">
        <f t="shared" si="5"/>
        <v>0</v>
      </c>
      <c r="BN14" s="17" t="s">
        <v>345</v>
      </c>
    </row>
    <row r="15" spans="1:66" ht="12.75" hidden="1" customHeight="1" x14ac:dyDescent="0.2">
      <c r="A15" s="6" t="s">
        <v>17</v>
      </c>
      <c r="C15" s="6" t="s">
        <v>17</v>
      </c>
      <c r="D15" s="6"/>
      <c r="E15" s="6">
        <f t="shared" si="0"/>
        <v>0</v>
      </c>
      <c r="F15" s="6"/>
      <c r="G15" s="6"/>
      <c r="H15" s="6"/>
      <c r="I15" s="6"/>
      <c r="J15" s="6"/>
      <c r="K15" s="6">
        <f t="shared" si="1"/>
        <v>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>
        <f t="shared" si="3"/>
        <v>0</v>
      </c>
      <c r="X15" s="6"/>
      <c r="Y15" s="6" t="s">
        <v>17</v>
      </c>
      <c r="Z15" s="18"/>
      <c r="AA15" s="6" t="s">
        <v>17</v>
      </c>
      <c r="AB15" s="6"/>
      <c r="AC15" s="6"/>
      <c r="AD15" s="6"/>
      <c r="AE15" s="6"/>
      <c r="AF15" s="6"/>
      <c r="AG15" s="6"/>
      <c r="AH15" s="6"/>
      <c r="AI15" s="8">
        <v>0</v>
      </c>
      <c r="AJ15" s="8"/>
      <c r="AK15" s="6"/>
      <c r="AL15" s="6"/>
      <c r="AM15" s="6"/>
      <c r="AN15" s="6"/>
      <c r="AO15" s="6"/>
      <c r="AP15" s="6"/>
      <c r="AQ15" s="6"/>
      <c r="AR15" s="6"/>
      <c r="AS15" s="8">
        <f>+AI15+AK15+AM15-AO15+AQ15</f>
        <v>0</v>
      </c>
      <c r="AT15" s="8"/>
      <c r="AU15" s="6">
        <v>0</v>
      </c>
      <c r="AV15" s="6"/>
      <c r="AW15" s="6">
        <v>0</v>
      </c>
      <c r="AX15" s="6"/>
      <c r="AY15" s="6">
        <f t="shared" si="4"/>
        <v>0</v>
      </c>
      <c r="AZ15" s="6"/>
      <c r="BA15" s="6" t="s">
        <v>17</v>
      </c>
      <c r="BB15" s="18"/>
      <c r="BC15" s="6" t="s">
        <v>17</v>
      </c>
      <c r="BD15" s="6"/>
      <c r="BE15" s="6"/>
      <c r="BF15" s="6"/>
      <c r="BG15" s="6"/>
      <c r="BH15" s="6"/>
      <c r="BI15" s="6"/>
      <c r="BJ15" s="6"/>
      <c r="BK15" s="6"/>
      <c r="BL15" s="6"/>
      <c r="BM15" s="6">
        <f t="shared" si="5"/>
        <v>0</v>
      </c>
      <c r="BN15" s="17" t="s">
        <v>345</v>
      </c>
    </row>
    <row r="16" spans="1:66" ht="12.75" hidden="1" customHeight="1" x14ac:dyDescent="0.2">
      <c r="A16" s="6" t="s">
        <v>18</v>
      </c>
      <c r="C16" s="6" t="s">
        <v>18</v>
      </c>
      <c r="D16" s="6"/>
      <c r="E16" s="6">
        <f t="shared" si="0"/>
        <v>0</v>
      </c>
      <c r="F16" s="6"/>
      <c r="G16" s="6"/>
      <c r="H16" s="6"/>
      <c r="I16" s="6"/>
      <c r="J16" s="6"/>
      <c r="K16" s="6">
        <f t="shared" si="1"/>
        <v>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>
        <f t="shared" si="3"/>
        <v>0</v>
      </c>
      <c r="X16" s="6"/>
      <c r="Y16" s="6" t="s">
        <v>18</v>
      </c>
      <c r="Z16" s="18"/>
      <c r="AA16" s="6" t="s">
        <v>18</v>
      </c>
      <c r="AB16" s="6"/>
      <c r="AC16" s="6"/>
      <c r="AD16" s="6"/>
      <c r="AE16" s="6"/>
      <c r="AF16" s="6"/>
      <c r="AG16" s="6"/>
      <c r="AH16" s="6"/>
      <c r="AI16" s="8">
        <v>0</v>
      </c>
      <c r="AJ16" s="8"/>
      <c r="AK16" s="6"/>
      <c r="AL16" s="6"/>
      <c r="AM16" s="6"/>
      <c r="AN16" s="6"/>
      <c r="AO16" s="6"/>
      <c r="AP16" s="6"/>
      <c r="AQ16" s="6"/>
      <c r="AR16" s="6"/>
      <c r="AS16" s="8">
        <f>+AI16+AK16+AM16-AO16+AQ16</f>
        <v>0</v>
      </c>
      <c r="AT16" s="8"/>
      <c r="AU16" s="6">
        <v>0</v>
      </c>
      <c r="AV16" s="6"/>
      <c r="AW16" s="6">
        <v>0</v>
      </c>
      <c r="AX16" s="6"/>
      <c r="AY16" s="6">
        <f t="shared" si="4"/>
        <v>0</v>
      </c>
      <c r="AZ16" s="6"/>
      <c r="BA16" s="6" t="s">
        <v>18</v>
      </c>
      <c r="BB16" s="18"/>
      <c r="BC16" s="6" t="s">
        <v>18</v>
      </c>
      <c r="BD16" s="6"/>
      <c r="BE16" s="6"/>
      <c r="BF16" s="6"/>
      <c r="BG16" s="6"/>
      <c r="BH16" s="6"/>
      <c r="BI16" s="6"/>
      <c r="BJ16" s="6"/>
      <c r="BK16" s="6"/>
      <c r="BL16" s="6"/>
      <c r="BM16" s="6">
        <f t="shared" si="5"/>
        <v>0</v>
      </c>
      <c r="BN16" s="17" t="s">
        <v>345</v>
      </c>
    </row>
    <row r="17" spans="1:67" ht="12.75" hidden="1" customHeight="1" x14ac:dyDescent="0.2">
      <c r="A17" s="6" t="s">
        <v>19</v>
      </c>
      <c r="C17" s="6" t="s">
        <v>20</v>
      </c>
      <c r="D17" s="6"/>
      <c r="E17" s="6">
        <f t="shared" si="0"/>
        <v>0</v>
      </c>
      <c r="F17" s="6"/>
      <c r="G17" s="6"/>
      <c r="H17" s="6"/>
      <c r="I17" s="6"/>
      <c r="J17" s="6"/>
      <c r="K17" s="6">
        <f t="shared" si="1"/>
        <v>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>
        <f t="shared" si="3"/>
        <v>0</v>
      </c>
      <c r="X17" s="6"/>
      <c r="Y17" s="6" t="s">
        <v>19</v>
      </c>
      <c r="Z17" s="18"/>
      <c r="AA17" s="6" t="s">
        <v>20</v>
      </c>
      <c r="AB17" s="6"/>
      <c r="AC17" s="6"/>
      <c r="AD17" s="6"/>
      <c r="AE17" s="6"/>
      <c r="AF17" s="6"/>
      <c r="AG17" s="6"/>
      <c r="AH17" s="6"/>
      <c r="AI17" s="8">
        <f t="shared" ref="AI17:AI31" si="6">+AC17-AE17-AG17</f>
        <v>0</v>
      </c>
      <c r="AJ17" s="8"/>
      <c r="AK17" s="6"/>
      <c r="AL17" s="6"/>
      <c r="AM17" s="6"/>
      <c r="AN17" s="6"/>
      <c r="AO17" s="6"/>
      <c r="AP17" s="6"/>
      <c r="AQ17" s="6"/>
      <c r="AR17" s="6"/>
      <c r="AS17" s="8">
        <f>+AI17+AK17+AM17-AO17+AQ17</f>
        <v>0</v>
      </c>
      <c r="AT17" s="8"/>
      <c r="AU17" s="6">
        <v>0</v>
      </c>
      <c r="AV17" s="6"/>
      <c r="AW17" s="6">
        <v>0</v>
      </c>
      <c r="AX17" s="6"/>
      <c r="AY17" s="6">
        <f t="shared" si="4"/>
        <v>0</v>
      </c>
      <c r="AZ17" s="6"/>
      <c r="BA17" s="6" t="s">
        <v>19</v>
      </c>
      <c r="BB17" s="18"/>
      <c r="BC17" s="6" t="s">
        <v>20</v>
      </c>
      <c r="BD17" s="6"/>
      <c r="BE17" s="6"/>
      <c r="BF17" s="6"/>
      <c r="BG17" s="6"/>
      <c r="BH17" s="6"/>
      <c r="BI17" s="6"/>
      <c r="BJ17" s="6"/>
      <c r="BK17" s="6"/>
      <c r="BL17" s="6"/>
      <c r="BM17" s="6">
        <f t="shared" si="5"/>
        <v>0</v>
      </c>
      <c r="BN17" s="17" t="s">
        <v>345</v>
      </c>
    </row>
    <row r="18" spans="1:67" ht="12.75" hidden="1" customHeight="1" x14ac:dyDescent="0.2">
      <c r="A18" s="6" t="s">
        <v>21</v>
      </c>
      <c r="C18" s="6" t="s">
        <v>15</v>
      </c>
      <c r="D18" s="6"/>
      <c r="E18" s="6">
        <f t="shared" si="0"/>
        <v>0</v>
      </c>
      <c r="F18" s="6"/>
      <c r="G18" s="6"/>
      <c r="H18" s="6"/>
      <c r="I18" s="6"/>
      <c r="J18" s="6"/>
      <c r="K18" s="6">
        <f t="shared" si="1"/>
        <v>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>
        <f t="shared" si="3"/>
        <v>0</v>
      </c>
      <c r="X18" s="6"/>
      <c r="Y18" s="6" t="s">
        <v>21</v>
      </c>
      <c r="Z18" s="18"/>
      <c r="AA18" s="6" t="s">
        <v>15</v>
      </c>
      <c r="AB18" s="6"/>
      <c r="AC18" s="6"/>
      <c r="AD18" s="6"/>
      <c r="AE18" s="6"/>
      <c r="AF18" s="6"/>
      <c r="AG18" s="6"/>
      <c r="AH18" s="6"/>
      <c r="AI18" s="8">
        <f t="shared" si="6"/>
        <v>0</v>
      </c>
      <c r="AJ18" s="8"/>
      <c r="AK18" s="6"/>
      <c r="AL18" s="6"/>
      <c r="AM18" s="6"/>
      <c r="AN18" s="6"/>
      <c r="AO18" s="6"/>
      <c r="AP18" s="6"/>
      <c r="AQ18" s="6"/>
      <c r="AR18" s="6"/>
      <c r="AS18" s="8">
        <v>0</v>
      </c>
      <c r="AT18" s="8"/>
      <c r="AU18" s="6">
        <v>0</v>
      </c>
      <c r="AV18" s="6"/>
      <c r="AW18" s="6">
        <v>0</v>
      </c>
      <c r="AX18" s="6"/>
      <c r="AY18" s="6">
        <f t="shared" si="4"/>
        <v>0</v>
      </c>
      <c r="AZ18" s="6"/>
      <c r="BA18" s="6" t="s">
        <v>21</v>
      </c>
      <c r="BB18" s="18"/>
      <c r="BC18" s="6" t="s">
        <v>15</v>
      </c>
      <c r="BD18" s="6"/>
      <c r="BE18" s="6"/>
      <c r="BF18" s="6"/>
      <c r="BG18" s="6"/>
      <c r="BH18" s="6"/>
      <c r="BI18" s="6"/>
      <c r="BJ18" s="6"/>
      <c r="BK18" s="6"/>
      <c r="BL18" s="6"/>
      <c r="BM18" s="6">
        <f t="shared" si="5"/>
        <v>0</v>
      </c>
      <c r="BN18" s="17" t="s">
        <v>345</v>
      </c>
    </row>
    <row r="19" spans="1:67" ht="12.75" hidden="1" customHeight="1" x14ac:dyDescent="0.2">
      <c r="A19" s="6" t="s">
        <v>22</v>
      </c>
      <c r="C19" s="6" t="s">
        <v>15</v>
      </c>
      <c r="D19" s="6"/>
      <c r="E19" s="6">
        <f t="shared" si="0"/>
        <v>0</v>
      </c>
      <c r="F19" s="6"/>
      <c r="G19" s="6"/>
      <c r="H19" s="6"/>
      <c r="I19" s="6"/>
      <c r="J19" s="6"/>
      <c r="K19" s="6">
        <f t="shared" si="1"/>
        <v>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>
        <f t="shared" si="3"/>
        <v>0</v>
      </c>
      <c r="X19" s="6"/>
      <c r="Y19" s="6" t="s">
        <v>22</v>
      </c>
      <c r="Z19" s="18"/>
      <c r="AA19" s="6" t="s">
        <v>15</v>
      </c>
      <c r="AB19" s="6"/>
      <c r="AC19" s="6"/>
      <c r="AD19" s="6"/>
      <c r="AE19" s="6"/>
      <c r="AF19" s="6"/>
      <c r="AG19" s="6"/>
      <c r="AH19" s="6"/>
      <c r="AI19" s="8">
        <f t="shared" si="6"/>
        <v>0</v>
      </c>
      <c r="AJ19" s="8"/>
      <c r="AK19" s="6"/>
      <c r="AL19" s="6"/>
      <c r="AM19" s="6"/>
      <c r="AN19" s="6"/>
      <c r="AO19" s="6"/>
      <c r="AP19" s="6"/>
      <c r="AQ19" s="6"/>
      <c r="AR19" s="6"/>
      <c r="AS19" s="8">
        <f t="shared" ref="AS19:AS27" si="7">+AI19+AK19+AM19-AO19+AQ19</f>
        <v>0</v>
      </c>
      <c r="AT19" s="8"/>
      <c r="AU19" s="6">
        <v>0</v>
      </c>
      <c r="AV19" s="6"/>
      <c r="AW19" s="6">
        <v>0</v>
      </c>
      <c r="AX19" s="6"/>
      <c r="AY19" s="6">
        <f t="shared" si="4"/>
        <v>0</v>
      </c>
      <c r="AZ19" s="6"/>
      <c r="BA19" s="6" t="s">
        <v>22</v>
      </c>
      <c r="BB19" s="18"/>
      <c r="BC19" s="6" t="s">
        <v>15</v>
      </c>
      <c r="BD19" s="6"/>
      <c r="BE19" s="6"/>
      <c r="BF19" s="6"/>
      <c r="BG19" s="6"/>
      <c r="BH19" s="6"/>
      <c r="BI19" s="6"/>
      <c r="BJ19" s="6"/>
      <c r="BK19" s="6"/>
      <c r="BL19" s="6"/>
      <c r="BM19" s="6">
        <f t="shared" si="5"/>
        <v>0</v>
      </c>
      <c r="BN19" s="17" t="s">
        <v>345</v>
      </c>
    </row>
    <row r="20" spans="1:67" ht="12.75" hidden="1" customHeight="1" x14ac:dyDescent="0.2">
      <c r="A20" s="6" t="s">
        <v>23</v>
      </c>
      <c r="C20" s="6" t="s">
        <v>11</v>
      </c>
      <c r="D20" s="6"/>
      <c r="E20" s="6">
        <f t="shared" si="0"/>
        <v>0</v>
      </c>
      <c r="F20" s="6"/>
      <c r="G20" s="6"/>
      <c r="H20" s="6"/>
      <c r="I20" s="6"/>
      <c r="J20" s="6"/>
      <c r="K20" s="6">
        <f t="shared" si="1"/>
        <v>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>
        <f t="shared" si="3"/>
        <v>0</v>
      </c>
      <c r="X20" s="6"/>
      <c r="Y20" s="6" t="s">
        <v>23</v>
      </c>
      <c r="Z20" s="18"/>
      <c r="AA20" s="6" t="s">
        <v>11</v>
      </c>
      <c r="AB20" s="6"/>
      <c r="AC20" s="6"/>
      <c r="AD20" s="6"/>
      <c r="AE20" s="6"/>
      <c r="AF20" s="6"/>
      <c r="AG20" s="6"/>
      <c r="AH20" s="6"/>
      <c r="AI20" s="8">
        <f t="shared" si="6"/>
        <v>0</v>
      </c>
      <c r="AJ20" s="8"/>
      <c r="AK20" s="6"/>
      <c r="AL20" s="6"/>
      <c r="AM20" s="6"/>
      <c r="AN20" s="6"/>
      <c r="AO20" s="6"/>
      <c r="AP20" s="6"/>
      <c r="AQ20" s="6"/>
      <c r="AR20" s="6"/>
      <c r="AS20" s="8">
        <f t="shared" si="7"/>
        <v>0</v>
      </c>
      <c r="AT20" s="8"/>
      <c r="AU20" s="6">
        <v>0</v>
      </c>
      <c r="AV20" s="6"/>
      <c r="AW20" s="6">
        <v>0</v>
      </c>
      <c r="AX20" s="6"/>
      <c r="AY20" s="6">
        <f t="shared" si="4"/>
        <v>0</v>
      </c>
      <c r="AZ20" s="6"/>
      <c r="BA20" s="6" t="s">
        <v>23</v>
      </c>
      <c r="BB20" s="18"/>
      <c r="BC20" s="6" t="s">
        <v>11</v>
      </c>
      <c r="BD20" s="6"/>
      <c r="BE20" s="6"/>
      <c r="BF20" s="6"/>
      <c r="BG20" s="6"/>
      <c r="BH20" s="6"/>
      <c r="BI20" s="6"/>
      <c r="BJ20" s="6"/>
      <c r="BK20" s="6"/>
      <c r="BL20" s="6"/>
      <c r="BM20" s="6">
        <f t="shared" si="5"/>
        <v>0</v>
      </c>
      <c r="BN20" s="17" t="s">
        <v>345</v>
      </c>
    </row>
    <row r="21" spans="1:67" ht="12.75" hidden="1" customHeight="1" x14ac:dyDescent="0.2">
      <c r="A21" s="6" t="s">
        <v>24</v>
      </c>
      <c r="C21" s="6" t="s">
        <v>25</v>
      </c>
      <c r="D21" s="6"/>
      <c r="E21" s="6">
        <f t="shared" si="0"/>
        <v>0</v>
      </c>
      <c r="F21" s="6"/>
      <c r="G21" s="6"/>
      <c r="H21" s="6"/>
      <c r="I21" s="6"/>
      <c r="J21" s="6"/>
      <c r="K21" s="6">
        <f t="shared" si="1"/>
        <v>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>
        <f t="shared" si="3"/>
        <v>0</v>
      </c>
      <c r="X21" s="6"/>
      <c r="Y21" s="6" t="s">
        <v>24</v>
      </c>
      <c r="Z21" s="18"/>
      <c r="AA21" s="6" t="s">
        <v>25</v>
      </c>
      <c r="AB21" s="6"/>
      <c r="AC21" s="6"/>
      <c r="AD21" s="6"/>
      <c r="AE21" s="6"/>
      <c r="AF21" s="6"/>
      <c r="AG21" s="6"/>
      <c r="AH21" s="6"/>
      <c r="AI21" s="8">
        <f t="shared" si="6"/>
        <v>0</v>
      </c>
      <c r="AJ21" s="8"/>
      <c r="AK21" s="6"/>
      <c r="AL21" s="6"/>
      <c r="AM21" s="6"/>
      <c r="AN21" s="6"/>
      <c r="AO21" s="6"/>
      <c r="AP21" s="6"/>
      <c r="AQ21" s="6"/>
      <c r="AR21" s="6"/>
      <c r="AS21" s="8">
        <f t="shared" si="7"/>
        <v>0</v>
      </c>
      <c r="AT21" s="8"/>
      <c r="AU21" s="6">
        <v>0</v>
      </c>
      <c r="AV21" s="6"/>
      <c r="AW21" s="6">
        <v>0</v>
      </c>
      <c r="AX21" s="6"/>
      <c r="AY21" s="6">
        <f t="shared" si="4"/>
        <v>0</v>
      </c>
      <c r="AZ21" s="6"/>
      <c r="BA21" s="6" t="s">
        <v>24</v>
      </c>
      <c r="BB21" s="18"/>
      <c r="BC21" s="6" t="s">
        <v>25</v>
      </c>
      <c r="BD21" s="6"/>
      <c r="BE21" s="6"/>
      <c r="BF21" s="6"/>
      <c r="BG21" s="6"/>
      <c r="BH21" s="6"/>
      <c r="BI21" s="6"/>
      <c r="BJ21" s="6"/>
      <c r="BK21" s="6"/>
      <c r="BL21" s="6"/>
      <c r="BM21" s="6">
        <f t="shared" si="5"/>
        <v>0</v>
      </c>
      <c r="BN21" s="17" t="s">
        <v>345</v>
      </c>
    </row>
    <row r="22" spans="1:67" ht="12.75" hidden="1" customHeight="1" x14ac:dyDescent="0.2">
      <c r="A22" s="6" t="s">
        <v>26</v>
      </c>
      <c r="C22" s="6" t="s">
        <v>25</v>
      </c>
      <c r="D22" s="6"/>
      <c r="E22" s="6">
        <f t="shared" si="0"/>
        <v>0</v>
      </c>
      <c r="F22" s="6"/>
      <c r="G22" s="6"/>
      <c r="H22" s="6"/>
      <c r="I22" s="6"/>
      <c r="J22" s="6"/>
      <c r="K22" s="6">
        <f t="shared" si="1"/>
        <v>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>
        <f t="shared" si="3"/>
        <v>0</v>
      </c>
      <c r="X22" s="6"/>
      <c r="Y22" s="6" t="s">
        <v>26</v>
      </c>
      <c r="Z22" s="18"/>
      <c r="AA22" s="6" t="s">
        <v>25</v>
      </c>
      <c r="AB22" s="6"/>
      <c r="AC22" s="6"/>
      <c r="AD22" s="6"/>
      <c r="AE22" s="6"/>
      <c r="AF22" s="6"/>
      <c r="AG22" s="6"/>
      <c r="AH22" s="6"/>
      <c r="AI22" s="8">
        <f t="shared" si="6"/>
        <v>0</v>
      </c>
      <c r="AJ22" s="8"/>
      <c r="AK22" s="6"/>
      <c r="AL22" s="6"/>
      <c r="AM22" s="6"/>
      <c r="AN22" s="6"/>
      <c r="AO22" s="6"/>
      <c r="AP22" s="6"/>
      <c r="AQ22" s="6"/>
      <c r="AR22" s="6"/>
      <c r="AS22" s="8">
        <f t="shared" si="7"/>
        <v>0</v>
      </c>
      <c r="AT22" s="8"/>
      <c r="AU22" s="6">
        <v>0</v>
      </c>
      <c r="AV22" s="6"/>
      <c r="AW22" s="6">
        <v>0</v>
      </c>
      <c r="AX22" s="6"/>
      <c r="AY22" s="6">
        <f t="shared" si="4"/>
        <v>0</v>
      </c>
      <c r="AZ22" s="6"/>
      <c r="BA22" s="6" t="s">
        <v>26</v>
      </c>
      <c r="BB22" s="18"/>
      <c r="BC22" s="6" t="s">
        <v>25</v>
      </c>
      <c r="BD22" s="6"/>
      <c r="BE22" s="6"/>
      <c r="BF22" s="6"/>
      <c r="BG22" s="6"/>
      <c r="BH22" s="6"/>
      <c r="BI22" s="6"/>
      <c r="BJ22" s="6"/>
      <c r="BK22" s="6"/>
      <c r="BL22" s="6"/>
      <c r="BM22" s="6">
        <f t="shared" si="5"/>
        <v>0</v>
      </c>
      <c r="BN22" s="17" t="s">
        <v>345</v>
      </c>
    </row>
    <row r="23" spans="1:67" ht="12.75" hidden="1" customHeight="1" x14ac:dyDescent="0.2">
      <c r="A23" s="6" t="s">
        <v>27</v>
      </c>
      <c r="C23" s="6" t="s">
        <v>28</v>
      </c>
      <c r="D23" s="6"/>
      <c r="E23" s="6">
        <f t="shared" si="0"/>
        <v>0</v>
      </c>
      <c r="F23" s="6"/>
      <c r="G23" s="6"/>
      <c r="H23" s="6"/>
      <c r="I23" s="6"/>
      <c r="J23" s="6"/>
      <c r="K23" s="6">
        <f t="shared" si="1"/>
        <v>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>
        <f t="shared" si="3"/>
        <v>0</v>
      </c>
      <c r="X23" s="6"/>
      <c r="Y23" s="6" t="s">
        <v>27</v>
      </c>
      <c r="Z23" s="18"/>
      <c r="AA23" s="6" t="s">
        <v>28</v>
      </c>
      <c r="AB23" s="6"/>
      <c r="AC23" s="6"/>
      <c r="AD23" s="6"/>
      <c r="AE23" s="6"/>
      <c r="AF23" s="6"/>
      <c r="AG23" s="6"/>
      <c r="AH23" s="6"/>
      <c r="AI23" s="8">
        <f t="shared" si="6"/>
        <v>0</v>
      </c>
      <c r="AJ23" s="8"/>
      <c r="AK23" s="6"/>
      <c r="AL23" s="6"/>
      <c r="AM23" s="6"/>
      <c r="AN23" s="6"/>
      <c r="AO23" s="6"/>
      <c r="AP23" s="6"/>
      <c r="AQ23" s="6"/>
      <c r="AR23" s="6"/>
      <c r="AS23" s="8">
        <f t="shared" si="7"/>
        <v>0</v>
      </c>
      <c r="AT23" s="8"/>
      <c r="AU23" s="6">
        <v>0</v>
      </c>
      <c r="AV23" s="6"/>
      <c r="AW23" s="6">
        <v>0</v>
      </c>
      <c r="AX23" s="6"/>
      <c r="AY23" s="6">
        <f t="shared" si="4"/>
        <v>0</v>
      </c>
      <c r="AZ23" s="6"/>
      <c r="BA23" s="6" t="s">
        <v>27</v>
      </c>
      <c r="BB23" s="18"/>
      <c r="BC23" s="6" t="s">
        <v>28</v>
      </c>
      <c r="BD23" s="6"/>
      <c r="BE23" s="6"/>
      <c r="BF23" s="6"/>
      <c r="BG23" s="6"/>
      <c r="BH23" s="6"/>
      <c r="BI23" s="6"/>
      <c r="BJ23" s="6"/>
      <c r="BK23" s="6"/>
      <c r="BL23" s="6"/>
      <c r="BM23" s="6">
        <f t="shared" si="5"/>
        <v>0</v>
      </c>
      <c r="BN23" s="17" t="s">
        <v>345</v>
      </c>
    </row>
    <row r="24" spans="1:67" ht="12.75" hidden="1" customHeight="1" x14ac:dyDescent="0.2">
      <c r="A24" s="6" t="s">
        <v>29</v>
      </c>
      <c r="C24" s="6" t="s">
        <v>25</v>
      </c>
      <c r="D24" s="6"/>
      <c r="E24" s="6">
        <f t="shared" si="0"/>
        <v>0</v>
      </c>
      <c r="F24" s="6"/>
      <c r="G24" s="6"/>
      <c r="H24" s="6"/>
      <c r="I24" s="6"/>
      <c r="J24" s="6"/>
      <c r="K24" s="6">
        <f t="shared" si="1"/>
        <v>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>
        <f t="shared" si="3"/>
        <v>0</v>
      </c>
      <c r="X24" s="6"/>
      <c r="Y24" s="6" t="s">
        <v>29</v>
      </c>
      <c r="Z24" s="18"/>
      <c r="AA24" s="6" t="s">
        <v>25</v>
      </c>
      <c r="AB24" s="6"/>
      <c r="AC24" s="6"/>
      <c r="AD24" s="6"/>
      <c r="AE24" s="6"/>
      <c r="AF24" s="6"/>
      <c r="AG24" s="6"/>
      <c r="AH24" s="6"/>
      <c r="AI24" s="8">
        <f t="shared" si="6"/>
        <v>0</v>
      </c>
      <c r="AJ24" s="8"/>
      <c r="AK24" s="6"/>
      <c r="AL24" s="6"/>
      <c r="AM24" s="6"/>
      <c r="AN24" s="6"/>
      <c r="AO24" s="6"/>
      <c r="AP24" s="6"/>
      <c r="AQ24" s="6"/>
      <c r="AR24" s="6"/>
      <c r="AS24" s="8">
        <f t="shared" si="7"/>
        <v>0</v>
      </c>
      <c r="AT24" s="8"/>
      <c r="AU24" s="6">
        <v>0</v>
      </c>
      <c r="AV24" s="6"/>
      <c r="AW24" s="6">
        <v>0</v>
      </c>
      <c r="AX24" s="6"/>
      <c r="AY24" s="6">
        <f t="shared" si="4"/>
        <v>0</v>
      </c>
      <c r="AZ24" s="6"/>
      <c r="BA24" s="6" t="s">
        <v>29</v>
      </c>
      <c r="BB24" s="18"/>
      <c r="BC24" s="6" t="s">
        <v>25</v>
      </c>
      <c r="BD24" s="6"/>
      <c r="BE24" s="6"/>
      <c r="BF24" s="6"/>
      <c r="BG24" s="6"/>
      <c r="BH24" s="6"/>
      <c r="BI24" s="6"/>
      <c r="BJ24" s="6"/>
      <c r="BK24" s="6"/>
      <c r="BL24" s="6"/>
      <c r="BM24" s="6">
        <f t="shared" si="5"/>
        <v>0</v>
      </c>
      <c r="BN24" s="17" t="s">
        <v>345</v>
      </c>
      <c r="BO24" s="18" t="s">
        <v>369</v>
      </c>
    </row>
    <row r="25" spans="1:67" ht="12.75" hidden="1" customHeight="1" x14ac:dyDescent="0.2">
      <c r="A25" s="6" t="s">
        <v>30</v>
      </c>
      <c r="C25" s="6" t="s">
        <v>25</v>
      </c>
      <c r="D25" s="6"/>
      <c r="E25" s="6">
        <f t="shared" si="0"/>
        <v>0</v>
      </c>
      <c r="F25" s="6"/>
      <c r="G25" s="6"/>
      <c r="H25" s="6"/>
      <c r="I25" s="6"/>
      <c r="J25" s="6"/>
      <c r="K25" s="6">
        <f t="shared" si="1"/>
        <v>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>
        <f t="shared" si="3"/>
        <v>0</v>
      </c>
      <c r="X25" s="6"/>
      <c r="Y25" s="6" t="s">
        <v>30</v>
      </c>
      <c r="Z25" s="18"/>
      <c r="AA25" s="6" t="s">
        <v>25</v>
      </c>
      <c r="AB25" s="6"/>
      <c r="AC25" s="6"/>
      <c r="AD25" s="6"/>
      <c r="AE25" s="6"/>
      <c r="AF25" s="6"/>
      <c r="AG25" s="6"/>
      <c r="AH25" s="6"/>
      <c r="AI25" s="8">
        <f t="shared" si="6"/>
        <v>0</v>
      </c>
      <c r="AJ25" s="8"/>
      <c r="AK25" s="6"/>
      <c r="AL25" s="6"/>
      <c r="AM25" s="6"/>
      <c r="AN25" s="6"/>
      <c r="AO25" s="6"/>
      <c r="AP25" s="6"/>
      <c r="AQ25" s="6"/>
      <c r="AR25" s="6"/>
      <c r="AS25" s="8">
        <f t="shared" si="7"/>
        <v>0</v>
      </c>
      <c r="AT25" s="8"/>
      <c r="AU25" s="6">
        <v>0</v>
      </c>
      <c r="AV25" s="6"/>
      <c r="AW25" s="6">
        <v>0</v>
      </c>
      <c r="AX25" s="6"/>
      <c r="AY25" s="6">
        <f t="shared" si="4"/>
        <v>0</v>
      </c>
      <c r="AZ25" s="6"/>
      <c r="BA25" s="6" t="s">
        <v>30</v>
      </c>
      <c r="BB25" s="18"/>
      <c r="BC25" s="6" t="s">
        <v>25</v>
      </c>
      <c r="BD25" s="6"/>
      <c r="BE25" s="6"/>
      <c r="BF25" s="6"/>
      <c r="BG25" s="6"/>
      <c r="BH25" s="6"/>
      <c r="BI25" s="6"/>
      <c r="BJ25" s="6"/>
      <c r="BK25" s="6"/>
      <c r="BL25" s="6"/>
      <c r="BM25" s="6">
        <f t="shared" si="5"/>
        <v>0</v>
      </c>
      <c r="BN25" s="17" t="s">
        <v>345</v>
      </c>
    </row>
    <row r="26" spans="1:67" ht="12.75" hidden="1" customHeight="1" x14ac:dyDescent="0.2">
      <c r="A26" s="6" t="s">
        <v>32</v>
      </c>
      <c r="C26" s="6" t="s">
        <v>28</v>
      </c>
      <c r="D26" s="6"/>
      <c r="E26" s="6">
        <f t="shared" si="0"/>
        <v>0</v>
      </c>
      <c r="F26" s="6"/>
      <c r="G26" s="6"/>
      <c r="H26" s="6"/>
      <c r="I26" s="6"/>
      <c r="J26" s="6"/>
      <c r="K26" s="6">
        <f t="shared" si="1"/>
        <v>0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>
        <f t="shared" si="3"/>
        <v>0</v>
      </c>
      <c r="X26" s="6"/>
      <c r="Y26" s="6" t="s">
        <v>32</v>
      </c>
      <c r="Z26" s="18"/>
      <c r="AA26" s="6" t="s">
        <v>28</v>
      </c>
      <c r="AB26" s="6"/>
      <c r="AC26" s="6"/>
      <c r="AD26" s="6"/>
      <c r="AE26" s="6"/>
      <c r="AF26" s="6"/>
      <c r="AG26" s="6"/>
      <c r="AH26" s="6"/>
      <c r="AI26" s="8">
        <f t="shared" si="6"/>
        <v>0</v>
      </c>
      <c r="AJ26" s="8"/>
      <c r="AK26" s="6"/>
      <c r="AL26" s="6"/>
      <c r="AM26" s="6"/>
      <c r="AN26" s="6"/>
      <c r="AO26" s="6"/>
      <c r="AP26" s="6"/>
      <c r="AQ26" s="6"/>
      <c r="AR26" s="6"/>
      <c r="AS26" s="8">
        <f t="shared" si="7"/>
        <v>0</v>
      </c>
      <c r="AT26" s="8"/>
      <c r="AU26" s="6">
        <v>0</v>
      </c>
      <c r="AV26" s="6"/>
      <c r="AW26" s="6">
        <v>0</v>
      </c>
      <c r="AX26" s="6"/>
      <c r="AY26" s="6">
        <f t="shared" si="4"/>
        <v>0</v>
      </c>
      <c r="AZ26" s="6"/>
      <c r="BA26" s="6" t="s">
        <v>32</v>
      </c>
      <c r="BB26" s="18"/>
      <c r="BC26" s="6" t="s">
        <v>28</v>
      </c>
      <c r="BD26" s="6"/>
      <c r="BE26" s="6"/>
      <c r="BF26" s="6"/>
      <c r="BG26" s="6"/>
      <c r="BH26" s="6"/>
      <c r="BI26" s="6"/>
      <c r="BJ26" s="6"/>
      <c r="BK26" s="6"/>
      <c r="BL26" s="6"/>
      <c r="BM26" s="6">
        <f t="shared" si="5"/>
        <v>0</v>
      </c>
      <c r="BN26" s="17" t="s">
        <v>345</v>
      </c>
    </row>
    <row r="27" spans="1:67" ht="12.75" hidden="1" customHeight="1" x14ac:dyDescent="0.2">
      <c r="A27" s="6" t="s">
        <v>33</v>
      </c>
      <c r="C27" s="6" t="s">
        <v>34</v>
      </c>
      <c r="D27" s="6"/>
      <c r="E27" s="6">
        <f t="shared" si="0"/>
        <v>0</v>
      </c>
      <c r="F27" s="6"/>
      <c r="G27" s="6"/>
      <c r="H27" s="6"/>
      <c r="I27" s="6"/>
      <c r="J27" s="6"/>
      <c r="K27" s="6">
        <f t="shared" si="1"/>
        <v>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>
        <f t="shared" si="3"/>
        <v>0</v>
      </c>
      <c r="X27" s="6"/>
      <c r="Y27" s="6" t="s">
        <v>33</v>
      </c>
      <c r="Z27" s="18"/>
      <c r="AA27" s="6" t="s">
        <v>34</v>
      </c>
      <c r="AB27" s="6"/>
      <c r="AC27" s="6"/>
      <c r="AD27" s="6"/>
      <c r="AE27" s="6"/>
      <c r="AF27" s="6"/>
      <c r="AG27" s="6"/>
      <c r="AH27" s="6"/>
      <c r="AI27" s="8">
        <f t="shared" si="6"/>
        <v>0</v>
      </c>
      <c r="AJ27" s="8"/>
      <c r="AK27" s="6"/>
      <c r="AL27" s="6"/>
      <c r="AM27" s="6"/>
      <c r="AN27" s="6"/>
      <c r="AO27" s="6"/>
      <c r="AP27" s="6"/>
      <c r="AQ27" s="6"/>
      <c r="AR27" s="6"/>
      <c r="AS27" s="8">
        <f t="shared" si="7"/>
        <v>0</v>
      </c>
      <c r="AT27" s="8"/>
      <c r="AU27" s="6">
        <v>0</v>
      </c>
      <c r="AV27" s="6"/>
      <c r="AW27" s="6">
        <v>0</v>
      </c>
      <c r="AX27" s="6"/>
      <c r="AY27" s="6">
        <f t="shared" si="4"/>
        <v>0</v>
      </c>
      <c r="AZ27" s="6"/>
      <c r="BA27" s="6" t="s">
        <v>33</v>
      </c>
      <c r="BB27" s="18"/>
      <c r="BC27" s="6" t="s">
        <v>34</v>
      </c>
      <c r="BD27" s="6"/>
      <c r="BE27" s="6"/>
      <c r="BF27" s="6"/>
      <c r="BG27" s="6"/>
      <c r="BH27" s="6"/>
      <c r="BI27" s="6"/>
      <c r="BJ27" s="6"/>
      <c r="BK27" s="6"/>
      <c r="BL27" s="6"/>
      <c r="BM27" s="6">
        <f t="shared" si="5"/>
        <v>0</v>
      </c>
      <c r="BN27" s="17" t="s">
        <v>345</v>
      </c>
    </row>
    <row r="28" spans="1:67" ht="12.75" hidden="1" customHeight="1" x14ac:dyDescent="0.2">
      <c r="A28" s="6" t="s">
        <v>35</v>
      </c>
      <c r="C28" s="6" t="s">
        <v>36</v>
      </c>
      <c r="D28" s="6"/>
      <c r="E28" s="6">
        <f t="shared" si="0"/>
        <v>0</v>
      </c>
      <c r="F28" s="6"/>
      <c r="G28" s="6"/>
      <c r="H28" s="6"/>
      <c r="I28" s="6"/>
      <c r="J28" s="6"/>
      <c r="K28" s="6">
        <f t="shared" si="1"/>
        <v>0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>
        <f t="shared" si="3"/>
        <v>0</v>
      </c>
      <c r="X28" s="6"/>
      <c r="Y28" s="6" t="s">
        <v>35</v>
      </c>
      <c r="Z28" s="18"/>
      <c r="AA28" s="6" t="s">
        <v>36</v>
      </c>
      <c r="AB28" s="6"/>
      <c r="AC28" s="6"/>
      <c r="AD28" s="6"/>
      <c r="AE28" s="6"/>
      <c r="AF28" s="6"/>
      <c r="AG28" s="6"/>
      <c r="AH28" s="6"/>
      <c r="AI28" s="8">
        <f t="shared" si="6"/>
        <v>0</v>
      </c>
      <c r="AJ28" s="8"/>
      <c r="AK28" s="6"/>
      <c r="AL28" s="6"/>
      <c r="AM28" s="6"/>
      <c r="AN28" s="6"/>
      <c r="AO28" s="6"/>
      <c r="AP28" s="6"/>
      <c r="AQ28" s="6"/>
      <c r="AR28" s="6"/>
      <c r="AS28" s="8">
        <v>0</v>
      </c>
      <c r="AT28" s="8"/>
      <c r="AU28" s="6">
        <v>0</v>
      </c>
      <c r="AV28" s="6"/>
      <c r="AW28" s="6">
        <v>0</v>
      </c>
      <c r="AX28" s="6"/>
      <c r="AY28" s="6">
        <f t="shared" si="4"/>
        <v>0</v>
      </c>
      <c r="AZ28" s="6"/>
      <c r="BA28" s="6" t="s">
        <v>35</v>
      </c>
      <c r="BB28" s="18"/>
      <c r="BC28" s="6" t="s">
        <v>36</v>
      </c>
      <c r="BD28" s="6"/>
      <c r="BE28" s="6"/>
      <c r="BF28" s="6"/>
      <c r="BG28" s="6"/>
      <c r="BH28" s="6"/>
      <c r="BI28" s="6"/>
      <c r="BJ28" s="6"/>
      <c r="BK28" s="6"/>
      <c r="BL28" s="6"/>
      <c r="BM28" s="6">
        <v>0</v>
      </c>
      <c r="BN28" s="17" t="s">
        <v>345</v>
      </c>
    </row>
    <row r="29" spans="1:67" ht="12.75" hidden="1" customHeight="1" x14ac:dyDescent="0.2">
      <c r="A29" s="6" t="s">
        <v>37</v>
      </c>
      <c r="C29" s="6" t="s">
        <v>38</v>
      </c>
      <c r="D29" s="6"/>
      <c r="E29" s="6">
        <f t="shared" si="0"/>
        <v>0</v>
      </c>
      <c r="F29" s="6"/>
      <c r="G29" s="6"/>
      <c r="H29" s="6"/>
      <c r="I29" s="6"/>
      <c r="J29" s="6"/>
      <c r="K29" s="6">
        <f t="shared" si="1"/>
        <v>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>
        <f t="shared" si="3"/>
        <v>0</v>
      </c>
      <c r="X29" s="6"/>
      <c r="Y29" s="6" t="s">
        <v>37</v>
      </c>
      <c r="Z29" s="18"/>
      <c r="AA29" s="6" t="s">
        <v>38</v>
      </c>
      <c r="AB29" s="6"/>
      <c r="AC29" s="6"/>
      <c r="AD29" s="6"/>
      <c r="AE29" s="6"/>
      <c r="AF29" s="6"/>
      <c r="AG29" s="6"/>
      <c r="AH29" s="6"/>
      <c r="AI29" s="8">
        <f t="shared" si="6"/>
        <v>0</v>
      </c>
      <c r="AJ29" s="8"/>
      <c r="AK29" s="6"/>
      <c r="AL29" s="6"/>
      <c r="AM29" s="6"/>
      <c r="AN29" s="6"/>
      <c r="AO29" s="6"/>
      <c r="AP29" s="6"/>
      <c r="AQ29" s="6"/>
      <c r="AR29" s="6"/>
      <c r="AS29" s="8">
        <f t="shared" ref="AS29:AS34" si="8">+AI29+AK29+AM29-AO29+AQ29</f>
        <v>0</v>
      </c>
      <c r="AT29" s="8"/>
      <c r="AU29" s="6">
        <v>0</v>
      </c>
      <c r="AV29" s="6"/>
      <c r="AW29" s="6">
        <v>0</v>
      </c>
      <c r="AX29" s="6"/>
      <c r="AY29" s="6">
        <f t="shared" si="4"/>
        <v>0</v>
      </c>
      <c r="AZ29" s="6"/>
      <c r="BA29" s="6" t="s">
        <v>37</v>
      </c>
      <c r="BB29" s="18"/>
      <c r="BC29" s="6" t="s">
        <v>38</v>
      </c>
      <c r="BD29" s="6"/>
      <c r="BE29" s="6"/>
      <c r="BF29" s="6"/>
      <c r="BG29" s="6"/>
      <c r="BH29" s="6"/>
      <c r="BI29" s="6"/>
      <c r="BJ29" s="6"/>
      <c r="BK29" s="6"/>
      <c r="BL29" s="6"/>
      <c r="BM29" s="6">
        <f>SUM(BE29:BK29)</f>
        <v>0</v>
      </c>
      <c r="BN29" s="17" t="s">
        <v>345</v>
      </c>
    </row>
    <row r="30" spans="1:67" ht="12.75" hidden="1" customHeight="1" x14ac:dyDescent="0.2">
      <c r="A30" s="6" t="s">
        <v>39</v>
      </c>
      <c r="C30" s="6" t="s">
        <v>25</v>
      </c>
      <c r="D30" s="6"/>
      <c r="E30" s="6">
        <f t="shared" si="0"/>
        <v>0</v>
      </c>
      <c r="F30" s="6"/>
      <c r="G30" s="6"/>
      <c r="H30" s="6"/>
      <c r="I30" s="6"/>
      <c r="J30" s="6"/>
      <c r="K30" s="6">
        <f t="shared" si="1"/>
        <v>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>
        <f t="shared" si="3"/>
        <v>0</v>
      </c>
      <c r="X30" s="6"/>
      <c r="Y30" s="6" t="s">
        <v>39</v>
      </c>
      <c r="Z30" s="18"/>
      <c r="AA30" s="6" t="s">
        <v>25</v>
      </c>
      <c r="AB30" s="6"/>
      <c r="AC30" s="6"/>
      <c r="AD30" s="6"/>
      <c r="AE30" s="6"/>
      <c r="AF30" s="6"/>
      <c r="AG30" s="6"/>
      <c r="AH30" s="6"/>
      <c r="AI30" s="8">
        <f t="shared" si="6"/>
        <v>0</v>
      </c>
      <c r="AJ30" s="8"/>
      <c r="AK30" s="6"/>
      <c r="AL30" s="6"/>
      <c r="AM30" s="6"/>
      <c r="AN30" s="6"/>
      <c r="AO30" s="6"/>
      <c r="AP30" s="6"/>
      <c r="AQ30" s="6"/>
      <c r="AR30" s="6"/>
      <c r="AS30" s="8">
        <f t="shared" si="8"/>
        <v>0</v>
      </c>
      <c r="AT30" s="8"/>
      <c r="AU30" s="6">
        <v>0</v>
      </c>
      <c r="AV30" s="6"/>
      <c r="AW30" s="6">
        <v>0</v>
      </c>
      <c r="AX30" s="6"/>
      <c r="AY30" s="6">
        <f t="shared" si="4"/>
        <v>0</v>
      </c>
      <c r="AZ30" s="6"/>
      <c r="BA30" s="6" t="s">
        <v>39</v>
      </c>
      <c r="BB30" s="18"/>
      <c r="BC30" s="6" t="s">
        <v>25</v>
      </c>
      <c r="BD30" s="6"/>
      <c r="BE30" s="6"/>
      <c r="BF30" s="6"/>
      <c r="BG30" s="6"/>
      <c r="BH30" s="6"/>
      <c r="BI30" s="6"/>
      <c r="BJ30" s="6"/>
      <c r="BK30" s="6"/>
      <c r="BL30" s="6"/>
      <c r="BM30" s="6">
        <f>SUM(BE30:BK30)</f>
        <v>0</v>
      </c>
      <c r="BN30" s="17" t="s">
        <v>345</v>
      </c>
    </row>
    <row r="31" spans="1:67" ht="12.75" hidden="1" customHeight="1" x14ac:dyDescent="0.2">
      <c r="A31" s="6" t="s">
        <v>40</v>
      </c>
      <c r="C31" s="6" t="s">
        <v>41</v>
      </c>
      <c r="D31" s="6"/>
      <c r="E31" s="6">
        <f t="shared" si="0"/>
        <v>0</v>
      </c>
      <c r="F31" s="6"/>
      <c r="G31" s="6"/>
      <c r="H31" s="6"/>
      <c r="I31" s="6"/>
      <c r="J31" s="6"/>
      <c r="K31" s="6">
        <f t="shared" si="1"/>
        <v>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>
        <f t="shared" si="3"/>
        <v>0</v>
      </c>
      <c r="X31" s="6"/>
      <c r="Y31" s="6" t="s">
        <v>40</v>
      </c>
      <c r="Z31" s="18"/>
      <c r="AA31" s="6" t="s">
        <v>41</v>
      </c>
      <c r="AB31" s="6"/>
      <c r="AC31" s="6"/>
      <c r="AD31" s="6"/>
      <c r="AE31" s="6"/>
      <c r="AF31" s="6"/>
      <c r="AG31" s="6"/>
      <c r="AH31" s="6"/>
      <c r="AI31" s="8">
        <f t="shared" si="6"/>
        <v>0</v>
      </c>
      <c r="AJ31" s="8"/>
      <c r="AK31" s="6"/>
      <c r="AL31" s="6"/>
      <c r="AM31" s="6"/>
      <c r="AN31" s="6"/>
      <c r="AO31" s="6"/>
      <c r="AP31" s="6"/>
      <c r="AQ31" s="6"/>
      <c r="AR31" s="6"/>
      <c r="AS31" s="8">
        <f t="shared" si="8"/>
        <v>0</v>
      </c>
      <c r="AT31" s="8"/>
      <c r="AU31" s="6">
        <v>0</v>
      </c>
      <c r="AV31" s="6"/>
      <c r="AW31" s="6">
        <v>0</v>
      </c>
      <c r="AX31" s="6"/>
      <c r="AY31" s="6">
        <f t="shared" si="4"/>
        <v>0</v>
      </c>
      <c r="AZ31" s="6"/>
      <c r="BA31" s="6" t="s">
        <v>40</v>
      </c>
      <c r="BB31" s="18"/>
      <c r="BC31" s="6" t="s">
        <v>41</v>
      </c>
      <c r="BD31" s="6"/>
      <c r="BE31" s="6"/>
      <c r="BF31" s="6"/>
      <c r="BG31" s="6"/>
      <c r="BH31" s="6"/>
      <c r="BI31" s="6"/>
      <c r="BJ31" s="6"/>
      <c r="BK31" s="6"/>
      <c r="BL31" s="6"/>
      <c r="BM31" s="6">
        <f>SUM(BE31:BK31)</f>
        <v>0</v>
      </c>
      <c r="BN31" s="17" t="s">
        <v>345</v>
      </c>
    </row>
    <row r="32" spans="1:67" ht="12.75" hidden="1" customHeight="1" x14ac:dyDescent="0.2">
      <c r="A32" s="6" t="s">
        <v>42</v>
      </c>
      <c r="C32" s="6" t="s">
        <v>43</v>
      </c>
      <c r="D32" s="6"/>
      <c r="E32" s="6">
        <f t="shared" si="0"/>
        <v>0</v>
      </c>
      <c r="F32" s="6"/>
      <c r="G32" s="6"/>
      <c r="H32" s="6"/>
      <c r="I32" s="6"/>
      <c r="J32" s="6"/>
      <c r="K32" s="6">
        <f t="shared" si="1"/>
        <v>0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>
        <f t="shared" si="3"/>
        <v>0</v>
      </c>
      <c r="X32" s="6"/>
      <c r="Y32" s="6" t="s">
        <v>42</v>
      </c>
      <c r="Z32" s="18"/>
      <c r="AA32" s="6" t="s">
        <v>43</v>
      </c>
      <c r="AB32" s="6"/>
      <c r="AC32" s="6"/>
      <c r="AD32" s="6"/>
      <c r="AE32" s="6"/>
      <c r="AF32" s="6"/>
      <c r="AG32" s="6"/>
      <c r="AH32" s="6"/>
      <c r="AI32" s="8">
        <v>0</v>
      </c>
      <c r="AJ32" s="8"/>
      <c r="AK32" s="6"/>
      <c r="AL32" s="6"/>
      <c r="AM32" s="6"/>
      <c r="AN32" s="6"/>
      <c r="AO32" s="6"/>
      <c r="AP32" s="6"/>
      <c r="AQ32" s="6"/>
      <c r="AR32" s="6"/>
      <c r="AS32" s="8">
        <f t="shared" si="8"/>
        <v>0</v>
      </c>
      <c r="AT32" s="8"/>
      <c r="AU32" s="6">
        <v>0</v>
      </c>
      <c r="AV32" s="6"/>
      <c r="AW32" s="6">
        <v>0</v>
      </c>
      <c r="AX32" s="6"/>
      <c r="AY32" s="6">
        <f t="shared" si="4"/>
        <v>0</v>
      </c>
      <c r="AZ32" s="6"/>
      <c r="BA32" s="6" t="s">
        <v>42</v>
      </c>
      <c r="BB32" s="18"/>
      <c r="BC32" s="6" t="s">
        <v>43</v>
      </c>
      <c r="BD32" s="6"/>
      <c r="BE32" s="6"/>
      <c r="BF32" s="6"/>
      <c r="BG32" s="6"/>
      <c r="BH32" s="6"/>
      <c r="BI32" s="6"/>
      <c r="BJ32" s="6"/>
      <c r="BK32" s="6"/>
      <c r="BL32" s="6"/>
      <c r="BM32" s="6">
        <v>0</v>
      </c>
      <c r="BN32" s="17" t="s">
        <v>345</v>
      </c>
    </row>
    <row r="33" spans="1:71" ht="12.75" customHeight="1" x14ac:dyDescent="0.2">
      <c r="A33" s="6" t="s">
        <v>44</v>
      </c>
      <c r="B33" s="20"/>
      <c r="C33" s="6" t="s">
        <v>45</v>
      </c>
      <c r="D33" s="6"/>
      <c r="E33" s="6">
        <v>28048389</v>
      </c>
      <c r="F33" s="6"/>
      <c r="G33" s="6">
        <v>29454711</v>
      </c>
      <c r="H33" s="6"/>
      <c r="I33" s="6">
        <f>+E33+G33</f>
        <v>57503100</v>
      </c>
      <c r="J33" s="6"/>
      <c r="K33" s="6">
        <v>4894901</v>
      </c>
      <c r="L33" s="6"/>
      <c r="M33" s="6">
        <v>6744562</v>
      </c>
      <c r="N33" s="6"/>
      <c r="O33" s="6">
        <f>+K33+M33</f>
        <v>11639463</v>
      </c>
      <c r="P33" s="6"/>
      <c r="Q33" s="6">
        <v>16955124</v>
      </c>
      <c r="R33" s="6"/>
      <c r="S33" s="6">
        <v>0</v>
      </c>
      <c r="T33" s="6"/>
      <c r="U33" s="6">
        <v>26635042</v>
      </c>
      <c r="V33" s="6"/>
      <c r="W33" s="6">
        <f t="shared" si="3"/>
        <v>43590166</v>
      </c>
      <c r="X33" s="6"/>
      <c r="Y33" s="6" t="s">
        <v>44</v>
      </c>
      <c r="Z33" s="18"/>
      <c r="AA33" s="6" t="s">
        <v>45</v>
      </c>
      <c r="AB33" s="6"/>
      <c r="AC33" s="6">
        <v>40627133</v>
      </c>
      <c r="AD33" s="6"/>
      <c r="AE33" s="6">
        <f>37227327-1211400</f>
        <v>36015927</v>
      </c>
      <c r="AF33" s="6"/>
      <c r="AG33" s="6">
        <v>1211400</v>
      </c>
      <c r="AH33" s="6"/>
      <c r="AI33" s="8">
        <f>+AC33-AE33-AG33</f>
        <v>3399806</v>
      </c>
      <c r="AJ33" s="8"/>
      <c r="AK33" s="6">
        <v>-350856</v>
      </c>
      <c r="AL33" s="6"/>
      <c r="AM33" s="6">
        <v>0</v>
      </c>
      <c r="AN33" s="6"/>
      <c r="AO33" s="6">
        <v>0</v>
      </c>
      <c r="AP33" s="6"/>
      <c r="AQ33" s="6">
        <v>4038</v>
      </c>
      <c r="AR33" s="6"/>
      <c r="AS33" s="8">
        <f t="shared" si="8"/>
        <v>3052988</v>
      </c>
      <c r="AT33" s="8"/>
      <c r="AU33" s="6">
        <v>0</v>
      </c>
      <c r="AV33" s="6"/>
      <c r="AW33" s="6">
        <v>0</v>
      </c>
      <c r="AX33" s="6"/>
      <c r="AY33" s="6">
        <f t="shared" si="4"/>
        <v>23153488</v>
      </c>
      <c r="AZ33" s="6"/>
      <c r="BA33" s="6" t="s">
        <v>44</v>
      </c>
      <c r="BB33" s="18"/>
      <c r="BC33" s="6" t="s">
        <v>45</v>
      </c>
      <c r="BD33" s="6"/>
      <c r="BE33" s="6">
        <f>220000+70000</f>
        <v>290000</v>
      </c>
      <c r="BF33" s="6"/>
      <c r="BG33" s="6">
        <v>0</v>
      </c>
      <c r="BH33" s="6"/>
      <c r="BI33" s="6">
        <v>0</v>
      </c>
      <c r="BJ33" s="6"/>
      <c r="BK33" s="6">
        <f>320821+6203741+1064931+148572</f>
        <v>7738065</v>
      </c>
      <c r="BL33" s="6"/>
      <c r="BM33" s="6">
        <f>SUM(BE33:BK33)</f>
        <v>8028065</v>
      </c>
      <c r="BN33" s="17" t="s">
        <v>345</v>
      </c>
    </row>
    <row r="34" spans="1:71" ht="12.75" hidden="1" customHeight="1" x14ac:dyDescent="0.2">
      <c r="A34" s="6" t="s">
        <v>46</v>
      </c>
      <c r="C34" s="6" t="s">
        <v>25</v>
      </c>
      <c r="D34" s="6"/>
      <c r="E34" s="6">
        <f t="shared" si="0"/>
        <v>0</v>
      </c>
      <c r="F34" s="6"/>
      <c r="G34" s="6"/>
      <c r="H34" s="6"/>
      <c r="I34" s="6"/>
      <c r="J34" s="6"/>
      <c r="K34" s="6">
        <f t="shared" si="1"/>
        <v>0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>
        <v>0</v>
      </c>
      <c r="X34" s="6"/>
      <c r="Y34" s="6" t="s">
        <v>46</v>
      </c>
      <c r="Z34" s="18"/>
      <c r="AA34" s="6" t="s">
        <v>25</v>
      </c>
      <c r="AB34" s="6"/>
      <c r="AC34" s="6"/>
      <c r="AD34" s="6"/>
      <c r="AE34" s="6"/>
      <c r="AF34" s="6"/>
      <c r="AG34" s="6"/>
      <c r="AH34" s="6"/>
      <c r="AI34" s="8">
        <f t="shared" ref="AI34:AI100" si="9">+AC34-AE34-AG34</f>
        <v>0</v>
      </c>
      <c r="AJ34" s="8"/>
      <c r="AK34" s="6"/>
      <c r="AL34" s="6"/>
      <c r="AM34" s="6"/>
      <c r="AN34" s="6"/>
      <c r="AO34" s="6"/>
      <c r="AP34" s="6"/>
      <c r="AQ34" s="6"/>
      <c r="AR34" s="6"/>
      <c r="AS34" s="8">
        <f t="shared" si="8"/>
        <v>0</v>
      </c>
      <c r="AT34" s="8"/>
      <c r="AU34" s="6">
        <v>0</v>
      </c>
      <c r="AV34" s="6"/>
      <c r="AW34" s="6">
        <v>0</v>
      </c>
      <c r="AX34" s="6"/>
      <c r="AY34" s="6">
        <f t="shared" si="4"/>
        <v>0</v>
      </c>
      <c r="AZ34" s="6"/>
      <c r="BA34" s="6" t="s">
        <v>46</v>
      </c>
      <c r="BB34" s="18"/>
      <c r="BC34" s="6" t="s">
        <v>25</v>
      </c>
      <c r="BD34" s="6"/>
      <c r="BE34" s="6"/>
      <c r="BF34" s="6"/>
      <c r="BG34" s="6"/>
      <c r="BH34" s="6"/>
      <c r="BI34" s="6"/>
      <c r="BJ34" s="6"/>
      <c r="BK34" s="6"/>
      <c r="BL34" s="6"/>
      <c r="BM34" s="6">
        <f t="shared" ref="BM34:BM66" si="10">SUM(BE34:BK34)</f>
        <v>0</v>
      </c>
      <c r="BN34" s="17" t="s">
        <v>345</v>
      </c>
    </row>
    <row r="35" spans="1:71" ht="12.75" hidden="1" customHeight="1" x14ac:dyDescent="0.2">
      <c r="A35" s="6" t="s">
        <v>47</v>
      </c>
      <c r="C35" s="6" t="s">
        <v>25</v>
      </c>
      <c r="D35" s="6"/>
      <c r="E35" s="6">
        <f t="shared" si="0"/>
        <v>0</v>
      </c>
      <c r="F35" s="6"/>
      <c r="G35" s="6"/>
      <c r="H35" s="6"/>
      <c r="I35" s="6"/>
      <c r="J35" s="6"/>
      <c r="K35" s="6">
        <f t="shared" si="1"/>
        <v>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>
        <f t="shared" ref="W35:W39" si="11">SUM(Q35:U35)</f>
        <v>0</v>
      </c>
      <c r="X35" s="6"/>
      <c r="Y35" s="6" t="s">
        <v>47</v>
      </c>
      <c r="Z35" s="18"/>
      <c r="AA35" s="6" t="s">
        <v>25</v>
      </c>
      <c r="AB35" s="6"/>
      <c r="AC35" s="6"/>
      <c r="AD35" s="6"/>
      <c r="AE35" s="6"/>
      <c r="AF35" s="6"/>
      <c r="AG35" s="6"/>
      <c r="AH35" s="6"/>
      <c r="AI35" s="8">
        <f t="shared" si="9"/>
        <v>0</v>
      </c>
      <c r="AJ35" s="8"/>
      <c r="AK35" s="6"/>
      <c r="AL35" s="6"/>
      <c r="AM35" s="6"/>
      <c r="AN35" s="6"/>
      <c r="AO35" s="6"/>
      <c r="AP35" s="6"/>
      <c r="AQ35" s="6"/>
      <c r="AR35" s="6"/>
      <c r="AS35" s="8">
        <v>0</v>
      </c>
      <c r="AT35" s="8"/>
      <c r="AU35" s="6">
        <v>0</v>
      </c>
      <c r="AV35" s="6"/>
      <c r="AW35" s="6">
        <v>0</v>
      </c>
      <c r="AX35" s="6"/>
      <c r="AY35" s="6">
        <f t="shared" si="4"/>
        <v>0</v>
      </c>
      <c r="AZ35" s="6"/>
      <c r="BA35" s="6" t="s">
        <v>47</v>
      </c>
      <c r="BB35" s="18"/>
      <c r="BC35" s="6" t="s">
        <v>25</v>
      </c>
      <c r="BD35" s="6"/>
      <c r="BE35" s="6"/>
      <c r="BF35" s="6"/>
      <c r="BG35" s="6"/>
      <c r="BH35" s="6"/>
      <c r="BI35" s="6"/>
      <c r="BJ35" s="6"/>
      <c r="BK35" s="6"/>
      <c r="BL35" s="6"/>
      <c r="BM35" s="6">
        <f t="shared" si="10"/>
        <v>0</v>
      </c>
      <c r="BN35" s="17" t="s">
        <v>345</v>
      </c>
      <c r="BO35" s="18" t="s">
        <v>369</v>
      </c>
    </row>
    <row r="36" spans="1:71" ht="12.75" hidden="1" customHeight="1" x14ac:dyDescent="0.2">
      <c r="A36" s="6" t="s">
        <v>48</v>
      </c>
      <c r="C36" s="6" t="s">
        <v>25</v>
      </c>
      <c r="D36" s="6"/>
      <c r="E36" s="6">
        <f t="shared" si="0"/>
        <v>0</v>
      </c>
      <c r="F36" s="6"/>
      <c r="G36" s="6"/>
      <c r="H36" s="6"/>
      <c r="I36" s="6"/>
      <c r="J36" s="6"/>
      <c r="K36" s="6">
        <f t="shared" si="1"/>
        <v>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>
        <f t="shared" si="11"/>
        <v>0</v>
      </c>
      <c r="X36" s="6"/>
      <c r="Y36" s="6" t="s">
        <v>48</v>
      </c>
      <c r="Z36" s="18"/>
      <c r="AA36" s="6" t="s">
        <v>25</v>
      </c>
      <c r="AB36" s="6"/>
      <c r="AC36" s="6"/>
      <c r="AD36" s="6"/>
      <c r="AE36" s="6"/>
      <c r="AF36" s="6"/>
      <c r="AG36" s="6"/>
      <c r="AH36" s="6"/>
      <c r="AI36" s="8">
        <f t="shared" si="9"/>
        <v>0</v>
      </c>
      <c r="AJ36" s="8"/>
      <c r="AK36" s="6"/>
      <c r="AL36" s="6"/>
      <c r="AM36" s="6"/>
      <c r="AN36" s="6"/>
      <c r="AO36" s="6"/>
      <c r="AP36" s="6"/>
      <c r="AQ36" s="6"/>
      <c r="AR36" s="6"/>
      <c r="AS36" s="8">
        <f>+AI36+AK36+AM36-AO36+AQ36</f>
        <v>0</v>
      </c>
      <c r="AT36" s="8"/>
      <c r="AU36" s="6">
        <v>0</v>
      </c>
      <c r="AV36" s="6"/>
      <c r="AW36" s="6">
        <v>0</v>
      </c>
      <c r="AX36" s="6"/>
      <c r="AY36" s="6">
        <f t="shared" si="4"/>
        <v>0</v>
      </c>
      <c r="AZ36" s="6"/>
      <c r="BA36" s="6" t="s">
        <v>48</v>
      </c>
      <c r="BB36" s="18"/>
      <c r="BC36" s="6" t="s">
        <v>25</v>
      </c>
      <c r="BD36" s="6"/>
      <c r="BE36" s="6"/>
      <c r="BF36" s="6"/>
      <c r="BG36" s="6"/>
      <c r="BH36" s="6"/>
      <c r="BI36" s="6"/>
      <c r="BJ36" s="6"/>
      <c r="BK36" s="6"/>
      <c r="BL36" s="6"/>
      <c r="BM36" s="6">
        <f t="shared" si="10"/>
        <v>0</v>
      </c>
      <c r="BN36" s="17" t="s">
        <v>345</v>
      </c>
    </row>
    <row r="37" spans="1:71" ht="12.75" hidden="1" customHeight="1" x14ac:dyDescent="0.2">
      <c r="A37" s="6" t="s">
        <v>49</v>
      </c>
      <c r="C37" s="6" t="s">
        <v>25</v>
      </c>
      <c r="D37" s="6"/>
      <c r="E37" s="6">
        <f t="shared" si="0"/>
        <v>0</v>
      </c>
      <c r="F37" s="6"/>
      <c r="G37" s="6"/>
      <c r="H37" s="6"/>
      <c r="I37" s="6"/>
      <c r="J37" s="6"/>
      <c r="K37" s="6">
        <f t="shared" si="1"/>
        <v>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>
        <f t="shared" si="11"/>
        <v>0</v>
      </c>
      <c r="X37" s="6"/>
      <c r="Y37" s="6" t="s">
        <v>49</v>
      </c>
      <c r="Z37" s="18"/>
      <c r="AA37" s="6" t="s">
        <v>25</v>
      </c>
      <c r="AB37" s="6"/>
      <c r="AC37" s="6"/>
      <c r="AD37" s="6"/>
      <c r="AE37" s="6"/>
      <c r="AF37" s="6"/>
      <c r="AG37" s="6"/>
      <c r="AH37" s="6"/>
      <c r="AI37" s="8">
        <f t="shared" si="9"/>
        <v>0</v>
      </c>
      <c r="AJ37" s="8"/>
      <c r="AK37" s="6"/>
      <c r="AL37" s="6"/>
      <c r="AM37" s="6"/>
      <c r="AN37" s="6"/>
      <c r="AO37" s="6"/>
      <c r="AP37" s="6"/>
      <c r="AQ37" s="6"/>
      <c r="AR37" s="6"/>
      <c r="AS37" s="8">
        <v>0</v>
      </c>
      <c r="AT37" s="8"/>
      <c r="AU37" s="6">
        <v>0</v>
      </c>
      <c r="AV37" s="6"/>
      <c r="AW37" s="6">
        <v>0</v>
      </c>
      <c r="AX37" s="6"/>
      <c r="AY37" s="6">
        <f t="shared" si="4"/>
        <v>0</v>
      </c>
      <c r="AZ37" s="6"/>
      <c r="BA37" s="6" t="s">
        <v>49</v>
      </c>
      <c r="BB37" s="18"/>
      <c r="BC37" s="6" t="s">
        <v>25</v>
      </c>
      <c r="BD37" s="6"/>
      <c r="BE37" s="6"/>
      <c r="BF37" s="6"/>
      <c r="BG37" s="6"/>
      <c r="BH37" s="6"/>
      <c r="BI37" s="6"/>
      <c r="BJ37" s="6"/>
      <c r="BK37" s="6"/>
      <c r="BL37" s="6"/>
      <c r="BM37" s="6">
        <f t="shared" si="10"/>
        <v>0</v>
      </c>
      <c r="BN37" s="17" t="s">
        <v>345</v>
      </c>
    </row>
    <row r="38" spans="1:71" ht="12.75" hidden="1" customHeight="1" x14ac:dyDescent="0.2">
      <c r="A38" s="6" t="s">
        <v>458</v>
      </c>
      <c r="C38" s="6" t="s">
        <v>64</v>
      </c>
      <c r="D38" s="6"/>
      <c r="E38" s="6">
        <f t="shared" ref="E38" si="12">I38-G38</f>
        <v>0</v>
      </c>
      <c r="F38" s="6"/>
      <c r="G38" s="6"/>
      <c r="H38" s="6"/>
      <c r="I38" s="6"/>
      <c r="J38" s="6"/>
      <c r="K38" s="6">
        <f t="shared" ref="K38" si="13">O38-M38</f>
        <v>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>
        <f t="shared" ref="W38" si="14">SUM(Q38:U38)</f>
        <v>0</v>
      </c>
      <c r="X38" s="6"/>
      <c r="Y38" s="6" t="s">
        <v>49</v>
      </c>
      <c r="Z38" s="18"/>
      <c r="AA38" s="6" t="s">
        <v>25</v>
      </c>
      <c r="AB38" s="6"/>
      <c r="AC38" s="6"/>
      <c r="AD38" s="6"/>
      <c r="AE38" s="6"/>
      <c r="AF38" s="6"/>
      <c r="AG38" s="6"/>
      <c r="AH38" s="6"/>
      <c r="AI38" s="8">
        <f t="shared" ref="AI38" si="15">+AC38-AE38-AG38</f>
        <v>0</v>
      </c>
      <c r="AJ38" s="8"/>
      <c r="AK38" s="6"/>
      <c r="AL38" s="6"/>
      <c r="AM38" s="6"/>
      <c r="AN38" s="6"/>
      <c r="AO38" s="6"/>
      <c r="AP38" s="6"/>
      <c r="AQ38" s="6"/>
      <c r="AR38" s="6"/>
      <c r="AS38" s="8">
        <v>0</v>
      </c>
      <c r="AT38" s="8"/>
      <c r="AU38" s="6">
        <v>0</v>
      </c>
      <c r="AV38" s="6"/>
      <c r="AW38" s="6">
        <v>0</v>
      </c>
      <c r="AX38" s="6"/>
      <c r="AY38" s="6">
        <f t="shared" ref="AY38" si="16">+E38-K38</f>
        <v>0</v>
      </c>
      <c r="AZ38" s="6"/>
      <c r="BA38" s="6" t="s">
        <v>49</v>
      </c>
      <c r="BB38" s="18"/>
      <c r="BC38" s="6" t="s">
        <v>25</v>
      </c>
      <c r="BD38" s="6"/>
      <c r="BE38" s="6"/>
      <c r="BF38" s="6"/>
      <c r="BG38" s="6"/>
      <c r="BH38" s="6"/>
      <c r="BI38" s="6"/>
      <c r="BJ38" s="6"/>
      <c r="BK38" s="6"/>
      <c r="BL38" s="6"/>
      <c r="BM38" s="6">
        <f t="shared" ref="BM38" si="17">SUM(BE38:BK38)</f>
        <v>0</v>
      </c>
      <c r="BN38" s="17" t="s">
        <v>345</v>
      </c>
    </row>
    <row r="39" spans="1:71" ht="12.75" hidden="1" customHeight="1" x14ac:dyDescent="0.2">
      <c r="A39" s="6" t="s">
        <v>50</v>
      </c>
      <c r="C39" s="6" t="s">
        <v>51</v>
      </c>
      <c r="D39" s="6"/>
      <c r="E39" s="6">
        <f t="shared" si="0"/>
        <v>0</v>
      </c>
      <c r="F39" s="6"/>
      <c r="G39" s="6"/>
      <c r="H39" s="6"/>
      <c r="I39" s="6"/>
      <c r="J39" s="6"/>
      <c r="K39" s="6">
        <f t="shared" si="1"/>
        <v>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>
        <f t="shared" si="11"/>
        <v>0</v>
      </c>
      <c r="X39" s="6"/>
      <c r="Y39" s="6" t="s">
        <v>50</v>
      </c>
      <c r="Z39" s="18"/>
      <c r="AA39" s="6" t="s">
        <v>51</v>
      </c>
      <c r="AB39" s="6"/>
      <c r="AC39" s="6"/>
      <c r="AD39" s="6"/>
      <c r="AE39" s="6"/>
      <c r="AF39" s="6"/>
      <c r="AG39" s="6"/>
      <c r="AH39" s="6"/>
      <c r="AI39" s="8">
        <f t="shared" si="9"/>
        <v>0</v>
      </c>
      <c r="AJ39" s="8"/>
      <c r="AK39" s="6"/>
      <c r="AL39" s="6"/>
      <c r="AM39" s="6"/>
      <c r="AN39" s="6"/>
      <c r="AO39" s="6"/>
      <c r="AP39" s="6"/>
      <c r="AQ39" s="6"/>
      <c r="AR39" s="6"/>
      <c r="AS39" s="8">
        <f t="shared" ref="AS39:AS104" si="18">+AI39+AK39+AM39-AO39+AQ39</f>
        <v>0</v>
      </c>
      <c r="AT39" s="8"/>
      <c r="AU39" s="6">
        <v>0</v>
      </c>
      <c r="AV39" s="6"/>
      <c r="AW39" s="6">
        <v>0</v>
      </c>
      <c r="AX39" s="6"/>
      <c r="AY39" s="6">
        <f t="shared" si="4"/>
        <v>0</v>
      </c>
      <c r="AZ39" s="6"/>
      <c r="BA39" s="6" t="s">
        <v>50</v>
      </c>
      <c r="BB39" s="18"/>
      <c r="BC39" s="6" t="s">
        <v>51</v>
      </c>
      <c r="BD39" s="6"/>
      <c r="BE39" s="6"/>
      <c r="BF39" s="6"/>
      <c r="BG39" s="6"/>
      <c r="BH39" s="6"/>
      <c r="BI39" s="6"/>
      <c r="BJ39" s="6"/>
      <c r="BK39" s="6"/>
      <c r="BL39" s="6"/>
      <c r="BM39" s="6">
        <f t="shared" si="10"/>
        <v>0</v>
      </c>
      <c r="BN39" s="17" t="s">
        <v>345</v>
      </c>
    </row>
    <row r="40" spans="1:71" s="36" customFormat="1" ht="12.75" customHeight="1" x14ac:dyDescent="0.2">
      <c r="A40" s="19" t="s">
        <v>52</v>
      </c>
      <c r="B40" s="21"/>
      <c r="C40" s="19" t="s">
        <v>53</v>
      </c>
      <c r="D40" s="19"/>
      <c r="E40" s="6">
        <v>11869189</v>
      </c>
      <c r="F40" s="6"/>
      <c r="G40" s="6">
        <v>19466443</v>
      </c>
      <c r="H40" s="6"/>
      <c r="I40" s="6">
        <f>+E40+G40</f>
        <v>31335632</v>
      </c>
      <c r="J40" s="6"/>
      <c r="K40" s="6">
        <v>1379383</v>
      </c>
      <c r="L40" s="6"/>
      <c r="M40" s="6">
        <v>454765</v>
      </c>
      <c r="N40" s="6"/>
      <c r="O40" s="6">
        <f>+K40+M40</f>
        <v>1834148</v>
      </c>
      <c r="P40" s="6"/>
      <c r="Q40" s="6">
        <v>17305509</v>
      </c>
      <c r="R40" s="6"/>
      <c r="S40" s="6">
        <v>0</v>
      </c>
      <c r="T40" s="6"/>
      <c r="U40" s="6">
        <v>12195975</v>
      </c>
      <c r="V40" s="6"/>
      <c r="W40" s="6">
        <f t="shared" ref="W40:W105" si="19">SUM(Q40:U40)</f>
        <v>29501484</v>
      </c>
      <c r="X40" s="19"/>
      <c r="Y40" s="19" t="s">
        <v>52</v>
      </c>
      <c r="AA40" s="19" t="s">
        <v>53</v>
      </c>
      <c r="AB40" s="19"/>
      <c r="AC40" s="6">
        <v>20478592</v>
      </c>
      <c r="AD40" s="6"/>
      <c r="AE40" s="6">
        <f>19066753-954434</f>
        <v>18112319</v>
      </c>
      <c r="AF40" s="6"/>
      <c r="AG40" s="6">
        <v>954434</v>
      </c>
      <c r="AH40" s="6"/>
      <c r="AI40" s="8">
        <f t="shared" si="9"/>
        <v>1411839</v>
      </c>
      <c r="AJ40" s="8"/>
      <c r="AK40" s="6">
        <v>194796</v>
      </c>
      <c r="AL40" s="6"/>
      <c r="AM40" s="6">
        <v>0</v>
      </c>
      <c r="AN40" s="6"/>
      <c r="AO40" s="6">
        <v>0</v>
      </c>
      <c r="AP40" s="6"/>
      <c r="AQ40" s="6">
        <v>0</v>
      </c>
      <c r="AR40" s="6"/>
      <c r="AS40" s="8">
        <f t="shared" si="18"/>
        <v>1606635</v>
      </c>
      <c r="AT40" s="8"/>
      <c r="AU40" s="6">
        <v>0</v>
      </c>
      <c r="AV40" s="6"/>
      <c r="AW40" s="6">
        <v>0</v>
      </c>
      <c r="AX40" s="6"/>
      <c r="AY40" s="6">
        <f t="shared" ref="AY40:AY105" si="20">+E40-K40</f>
        <v>10489806</v>
      </c>
      <c r="AZ40" s="19"/>
      <c r="BA40" s="19" t="s">
        <v>52</v>
      </c>
      <c r="BC40" s="19" t="s">
        <v>53</v>
      </c>
      <c r="BD40" s="19"/>
      <c r="BE40" s="6">
        <v>0</v>
      </c>
      <c r="BF40" s="6"/>
      <c r="BG40" s="6">
        <v>0</v>
      </c>
      <c r="BH40" s="6"/>
      <c r="BI40" s="6">
        <v>0</v>
      </c>
      <c r="BJ40" s="6"/>
      <c r="BK40" s="6">
        <f>454765+130489</f>
        <v>585254</v>
      </c>
      <c r="BL40" s="19"/>
      <c r="BM40" s="19">
        <f t="shared" si="10"/>
        <v>585254</v>
      </c>
      <c r="BN40" s="37" t="s">
        <v>345</v>
      </c>
    </row>
    <row r="41" spans="1:71" ht="12.75" hidden="1" customHeight="1" x14ac:dyDescent="0.2">
      <c r="A41" s="6" t="s">
        <v>54</v>
      </c>
      <c r="C41" s="6" t="s">
        <v>55</v>
      </c>
      <c r="D41" s="6"/>
      <c r="E41" s="6">
        <f t="shared" ref="E41:E104" si="21">I41-G41</f>
        <v>0</v>
      </c>
      <c r="F41" s="6"/>
      <c r="G41" s="6"/>
      <c r="H41" s="6"/>
      <c r="I41" s="6"/>
      <c r="J41" s="6"/>
      <c r="K41" s="6">
        <f t="shared" ref="K41:K104" si="22">O41-M41</f>
        <v>0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>
        <f t="shared" si="19"/>
        <v>0</v>
      </c>
      <c r="X41" s="6"/>
      <c r="Y41" s="6" t="s">
        <v>54</v>
      </c>
      <c r="Z41" s="18"/>
      <c r="AA41" s="6" t="s">
        <v>55</v>
      </c>
      <c r="AB41" s="6"/>
      <c r="AC41" s="6"/>
      <c r="AD41" s="6"/>
      <c r="AE41" s="6"/>
      <c r="AF41" s="6"/>
      <c r="AG41" s="6"/>
      <c r="AH41" s="6"/>
      <c r="AI41" s="8">
        <f t="shared" si="9"/>
        <v>0</v>
      </c>
      <c r="AJ41" s="8"/>
      <c r="AK41" s="6"/>
      <c r="AL41" s="6"/>
      <c r="AM41" s="6"/>
      <c r="AN41" s="6"/>
      <c r="AO41" s="6"/>
      <c r="AP41" s="6"/>
      <c r="AQ41" s="6"/>
      <c r="AR41" s="6"/>
      <c r="AS41" s="8">
        <f t="shared" si="18"/>
        <v>0</v>
      </c>
      <c r="AT41" s="8"/>
      <c r="AU41" s="6">
        <v>0</v>
      </c>
      <c r="AV41" s="6"/>
      <c r="AW41" s="6">
        <v>0</v>
      </c>
      <c r="AX41" s="6"/>
      <c r="AY41" s="6">
        <f t="shared" si="20"/>
        <v>0</v>
      </c>
      <c r="AZ41" s="6"/>
      <c r="BA41" s="6" t="s">
        <v>54</v>
      </c>
      <c r="BB41" s="18"/>
      <c r="BC41" s="6" t="s">
        <v>55</v>
      </c>
      <c r="BD41" s="6"/>
      <c r="BE41" s="6"/>
      <c r="BF41" s="6"/>
      <c r="BG41" s="6"/>
      <c r="BH41" s="6"/>
      <c r="BI41" s="6"/>
      <c r="BJ41" s="6"/>
      <c r="BK41" s="6"/>
      <c r="BL41" s="6"/>
      <c r="BM41" s="6">
        <f t="shared" si="10"/>
        <v>0</v>
      </c>
      <c r="BN41" s="17" t="s">
        <v>345</v>
      </c>
    </row>
    <row r="42" spans="1:71" ht="12.75" hidden="1" customHeight="1" x14ac:dyDescent="0.2">
      <c r="A42" s="6" t="s">
        <v>56</v>
      </c>
      <c r="C42" s="6" t="s">
        <v>57</v>
      </c>
      <c r="D42" s="6"/>
      <c r="E42" s="6">
        <f t="shared" si="21"/>
        <v>0</v>
      </c>
      <c r="F42" s="6"/>
      <c r="G42" s="6"/>
      <c r="H42" s="6"/>
      <c r="I42" s="6"/>
      <c r="J42" s="6"/>
      <c r="K42" s="6">
        <f t="shared" si="22"/>
        <v>0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>
        <f t="shared" si="19"/>
        <v>0</v>
      </c>
      <c r="X42" s="6"/>
      <c r="Y42" s="6" t="s">
        <v>56</v>
      </c>
      <c r="Z42" s="18"/>
      <c r="AA42" s="6" t="s">
        <v>57</v>
      </c>
      <c r="AB42" s="6"/>
      <c r="AC42" s="6"/>
      <c r="AD42" s="6"/>
      <c r="AE42" s="6"/>
      <c r="AF42" s="6"/>
      <c r="AG42" s="6"/>
      <c r="AH42" s="6"/>
      <c r="AI42" s="8">
        <f t="shared" si="9"/>
        <v>0</v>
      </c>
      <c r="AJ42" s="8"/>
      <c r="AK42" s="6"/>
      <c r="AL42" s="6"/>
      <c r="AM42" s="6"/>
      <c r="AN42" s="6"/>
      <c r="AO42" s="6"/>
      <c r="AP42" s="6"/>
      <c r="AQ42" s="6"/>
      <c r="AR42" s="6"/>
      <c r="AS42" s="8">
        <f t="shared" si="18"/>
        <v>0</v>
      </c>
      <c r="AT42" s="8"/>
      <c r="AU42" s="6">
        <v>0</v>
      </c>
      <c r="AV42" s="6"/>
      <c r="AW42" s="6">
        <v>0</v>
      </c>
      <c r="AX42" s="6"/>
      <c r="AY42" s="6">
        <f t="shared" si="20"/>
        <v>0</v>
      </c>
      <c r="AZ42" s="6"/>
      <c r="BA42" s="6" t="s">
        <v>56</v>
      </c>
      <c r="BB42" s="18"/>
      <c r="BC42" s="6" t="s">
        <v>57</v>
      </c>
      <c r="BD42" s="6"/>
      <c r="BE42" s="6"/>
      <c r="BF42" s="6"/>
      <c r="BG42" s="6"/>
      <c r="BH42" s="6"/>
      <c r="BI42" s="6"/>
      <c r="BJ42" s="6"/>
      <c r="BK42" s="6"/>
      <c r="BL42" s="6"/>
      <c r="BM42" s="6">
        <f t="shared" si="10"/>
        <v>0</v>
      </c>
      <c r="BN42" s="17" t="s">
        <v>345</v>
      </c>
    </row>
    <row r="43" spans="1:71" ht="12.75" hidden="1" customHeight="1" x14ac:dyDescent="0.2">
      <c r="A43" s="7" t="s">
        <v>470</v>
      </c>
      <c r="C43" s="6" t="s">
        <v>13</v>
      </c>
      <c r="D43" s="6"/>
      <c r="E43" s="6">
        <f t="shared" si="21"/>
        <v>0</v>
      </c>
      <c r="F43" s="6"/>
      <c r="G43" s="6"/>
      <c r="H43" s="6"/>
      <c r="I43" s="6"/>
      <c r="J43" s="6"/>
      <c r="K43" s="6">
        <f t="shared" si="22"/>
        <v>0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>
        <f t="shared" si="19"/>
        <v>0</v>
      </c>
      <c r="X43" s="6"/>
      <c r="Y43" s="7" t="s">
        <v>60</v>
      </c>
      <c r="Z43" s="18"/>
      <c r="AA43" s="6" t="s">
        <v>13</v>
      </c>
      <c r="AB43" s="6"/>
      <c r="AC43" s="6"/>
      <c r="AD43" s="6"/>
      <c r="AE43" s="6"/>
      <c r="AF43" s="6"/>
      <c r="AG43" s="6"/>
      <c r="AH43" s="6"/>
      <c r="AI43" s="8">
        <f t="shared" si="9"/>
        <v>0</v>
      </c>
      <c r="AJ43" s="8"/>
      <c r="AK43" s="6"/>
      <c r="AL43" s="6"/>
      <c r="AM43" s="6"/>
      <c r="AN43" s="6"/>
      <c r="AO43" s="6"/>
      <c r="AP43" s="6"/>
      <c r="AQ43" s="6"/>
      <c r="AR43" s="6"/>
      <c r="AS43" s="8">
        <f t="shared" si="18"/>
        <v>0</v>
      </c>
      <c r="AT43" s="8"/>
      <c r="AU43" s="6">
        <v>0</v>
      </c>
      <c r="AV43" s="6"/>
      <c r="AW43" s="6">
        <v>0</v>
      </c>
      <c r="AX43" s="6"/>
      <c r="AY43" s="6">
        <f t="shared" si="20"/>
        <v>0</v>
      </c>
      <c r="AZ43" s="6"/>
      <c r="BA43" s="7" t="s">
        <v>60</v>
      </c>
      <c r="BB43" s="18"/>
      <c r="BC43" s="6" t="s">
        <v>13</v>
      </c>
      <c r="BD43" s="6"/>
      <c r="BE43" s="6"/>
      <c r="BF43" s="6"/>
      <c r="BG43" s="6"/>
      <c r="BH43" s="6"/>
      <c r="BI43" s="6"/>
      <c r="BJ43" s="6"/>
      <c r="BK43" s="6"/>
      <c r="BL43" s="6"/>
      <c r="BM43" s="6">
        <f t="shared" si="10"/>
        <v>0</v>
      </c>
      <c r="BN43" s="17" t="s">
        <v>345</v>
      </c>
    </row>
    <row r="44" spans="1:71" ht="12.75" hidden="1" customHeight="1" x14ac:dyDescent="0.2">
      <c r="A44" s="7" t="s">
        <v>493</v>
      </c>
      <c r="B44" s="10"/>
      <c r="C44" s="7" t="s">
        <v>41</v>
      </c>
      <c r="D44" s="6"/>
      <c r="E44" s="6">
        <f t="shared" ref="E44:E47" si="23">I44-G44</f>
        <v>0</v>
      </c>
      <c r="F44" s="6"/>
      <c r="G44" s="6"/>
      <c r="H44" s="6"/>
      <c r="I44" s="6"/>
      <c r="J44" s="6"/>
      <c r="K44" s="6">
        <f t="shared" ref="K44:K47" si="24">O44-M44</f>
        <v>0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>
        <f t="shared" ref="W44:W47" si="25">SUM(Q44:U44)</f>
        <v>0</v>
      </c>
      <c r="X44" s="6"/>
      <c r="Y44" s="7" t="s">
        <v>493</v>
      </c>
      <c r="AA44" s="7" t="s">
        <v>41</v>
      </c>
      <c r="AB44" s="6"/>
      <c r="AC44" s="6"/>
      <c r="AD44" s="6"/>
      <c r="AE44" s="6"/>
      <c r="AF44" s="6"/>
      <c r="AG44" s="6"/>
      <c r="AH44" s="6"/>
      <c r="AI44" s="8">
        <f t="shared" si="9"/>
        <v>0</v>
      </c>
      <c r="AJ44" s="8"/>
      <c r="AK44" s="6"/>
      <c r="AL44" s="6"/>
      <c r="AM44" s="6"/>
      <c r="AN44" s="6"/>
      <c r="AO44" s="6"/>
      <c r="AP44" s="6"/>
      <c r="AQ44" s="6"/>
      <c r="AR44" s="6"/>
      <c r="AS44" s="8">
        <f t="shared" ref="AS44:AS47" si="26">+AI44+AK44+AM44-AO44+AQ44</f>
        <v>0</v>
      </c>
      <c r="AT44" s="8"/>
      <c r="AU44" s="6">
        <v>0</v>
      </c>
      <c r="AV44" s="6"/>
      <c r="AW44" s="6">
        <v>0</v>
      </c>
      <c r="AX44" s="6"/>
      <c r="AY44" s="6">
        <f t="shared" ref="AY44:AY47" si="27">+E44-K44</f>
        <v>0</v>
      </c>
      <c r="AZ44" s="6"/>
      <c r="BA44" s="7" t="s">
        <v>493</v>
      </c>
      <c r="BC44" s="7" t="s">
        <v>41</v>
      </c>
      <c r="BD44" s="6"/>
      <c r="BE44" s="6"/>
      <c r="BF44" s="6"/>
      <c r="BG44" s="6"/>
      <c r="BH44" s="6"/>
      <c r="BI44" s="6"/>
      <c r="BJ44" s="6"/>
      <c r="BK44" s="6"/>
      <c r="BL44" s="6"/>
      <c r="BM44" s="6">
        <f t="shared" si="10"/>
        <v>0</v>
      </c>
      <c r="BN44" s="17"/>
    </row>
    <row r="45" spans="1:71" ht="12.75" hidden="1" customHeight="1" x14ac:dyDescent="0.2">
      <c r="A45" s="6" t="s">
        <v>58</v>
      </c>
      <c r="C45" s="6" t="s">
        <v>59</v>
      </c>
      <c r="D45" s="6"/>
      <c r="E45" s="6">
        <f t="shared" si="23"/>
        <v>0</v>
      </c>
      <c r="F45" s="6"/>
      <c r="G45" s="6"/>
      <c r="H45" s="6"/>
      <c r="I45" s="6"/>
      <c r="J45" s="6"/>
      <c r="K45" s="6">
        <f t="shared" si="24"/>
        <v>0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>
        <f t="shared" si="25"/>
        <v>0</v>
      </c>
      <c r="X45" s="6"/>
      <c r="Y45" s="6" t="s">
        <v>58</v>
      </c>
      <c r="Z45" s="18"/>
      <c r="AA45" s="6" t="s">
        <v>59</v>
      </c>
      <c r="AB45" s="6"/>
      <c r="AC45" s="6"/>
      <c r="AD45" s="6"/>
      <c r="AE45" s="6"/>
      <c r="AF45" s="6"/>
      <c r="AG45" s="6"/>
      <c r="AH45" s="6"/>
      <c r="AI45" s="8">
        <f t="shared" si="9"/>
        <v>0</v>
      </c>
      <c r="AJ45" s="8"/>
      <c r="AK45" s="6"/>
      <c r="AL45" s="6"/>
      <c r="AM45" s="6"/>
      <c r="AN45" s="6"/>
      <c r="AO45" s="6"/>
      <c r="AP45" s="6"/>
      <c r="AQ45" s="6"/>
      <c r="AR45" s="6"/>
      <c r="AS45" s="8">
        <f t="shared" si="26"/>
        <v>0</v>
      </c>
      <c r="AT45" s="8"/>
      <c r="AU45" s="6">
        <v>0</v>
      </c>
      <c r="AV45" s="6"/>
      <c r="AW45" s="6">
        <v>0</v>
      </c>
      <c r="AX45" s="6"/>
      <c r="AY45" s="6">
        <f t="shared" si="27"/>
        <v>0</v>
      </c>
      <c r="AZ45" s="6"/>
      <c r="BA45" s="6" t="s">
        <v>58</v>
      </c>
      <c r="BB45" s="18"/>
      <c r="BC45" s="6" t="s">
        <v>59</v>
      </c>
      <c r="BD45" s="6"/>
      <c r="BE45" s="6"/>
      <c r="BF45" s="6"/>
      <c r="BG45" s="6"/>
      <c r="BH45" s="6"/>
      <c r="BI45" s="6"/>
      <c r="BJ45" s="6"/>
      <c r="BK45" s="6"/>
      <c r="BL45" s="6"/>
      <c r="BM45" s="6">
        <f t="shared" si="10"/>
        <v>0</v>
      </c>
      <c r="BN45" s="17" t="s">
        <v>345</v>
      </c>
    </row>
    <row r="46" spans="1:71" ht="12.75" hidden="1" customHeight="1" x14ac:dyDescent="0.2">
      <c r="A46" s="7" t="s">
        <v>60</v>
      </c>
      <c r="C46" s="6" t="s">
        <v>13</v>
      </c>
      <c r="D46" s="6"/>
      <c r="E46" s="6">
        <f t="shared" si="23"/>
        <v>0</v>
      </c>
      <c r="F46" s="6"/>
      <c r="G46" s="6"/>
      <c r="H46" s="6"/>
      <c r="I46" s="6"/>
      <c r="J46" s="6"/>
      <c r="K46" s="6">
        <f t="shared" si="24"/>
        <v>0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>
        <f t="shared" si="25"/>
        <v>0</v>
      </c>
      <c r="X46" s="6"/>
      <c r="Y46" s="7" t="s">
        <v>60</v>
      </c>
      <c r="Z46" s="18"/>
      <c r="AA46" s="6" t="s">
        <v>13</v>
      </c>
      <c r="AB46" s="6"/>
      <c r="AC46" s="6"/>
      <c r="AD46" s="6"/>
      <c r="AE46" s="6"/>
      <c r="AF46" s="6"/>
      <c r="AG46" s="6"/>
      <c r="AH46" s="6"/>
      <c r="AI46" s="8">
        <f t="shared" si="9"/>
        <v>0</v>
      </c>
      <c r="AJ46" s="8"/>
      <c r="AK46" s="6"/>
      <c r="AL46" s="6"/>
      <c r="AM46" s="6"/>
      <c r="AN46" s="6"/>
      <c r="AO46" s="6"/>
      <c r="AP46" s="6"/>
      <c r="AQ46" s="6"/>
      <c r="AR46" s="6"/>
      <c r="AS46" s="8">
        <f t="shared" si="26"/>
        <v>0</v>
      </c>
      <c r="AT46" s="8"/>
      <c r="AU46" s="6">
        <v>0</v>
      </c>
      <c r="AV46" s="6"/>
      <c r="AW46" s="6">
        <v>0</v>
      </c>
      <c r="AX46" s="6"/>
      <c r="AY46" s="6">
        <f t="shared" si="27"/>
        <v>0</v>
      </c>
      <c r="AZ46" s="6"/>
      <c r="BA46" s="7" t="s">
        <v>60</v>
      </c>
      <c r="BB46" s="18"/>
      <c r="BC46" s="6" t="s">
        <v>13</v>
      </c>
      <c r="BD46" s="6"/>
      <c r="BE46" s="6"/>
      <c r="BF46" s="6"/>
      <c r="BG46" s="6"/>
      <c r="BH46" s="6"/>
      <c r="BI46" s="6"/>
      <c r="BJ46" s="6"/>
      <c r="BK46" s="6"/>
      <c r="BL46" s="6"/>
      <c r="BM46" s="6">
        <f t="shared" si="10"/>
        <v>0</v>
      </c>
      <c r="BN46" s="17" t="s">
        <v>345</v>
      </c>
    </row>
    <row r="47" spans="1:71" ht="12.75" hidden="1" customHeight="1" x14ac:dyDescent="0.2">
      <c r="A47" s="6" t="s">
        <v>479</v>
      </c>
      <c r="C47" s="6" t="s">
        <v>109</v>
      </c>
      <c r="D47" s="6"/>
      <c r="E47" s="6">
        <f t="shared" si="23"/>
        <v>0</v>
      </c>
      <c r="F47" s="6"/>
      <c r="G47" s="6"/>
      <c r="H47" s="6"/>
      <c r="I47" s="6"/>
      <c r="J47" s="6"/>
      <c r="K47" s="6">
        <f t="shared" si="24"/>
        <v>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>
        <f t="shared" si="25"/>
        <v>0</v>
      </c>
      <c r="X47" s="6"/>
      <c r="Y47" s="6" t="s">
        <v>479</v>
      </c>
      <c r="Z47" s="18"/>
      <c r="AA47" s="6" t="s">
        <v>109</v>
      </c>
      <c r="AB47" s="6"/>
      <c r="AC47" s="6"/>
      <c r="AD47" s="6"/>
      <c r="AE47" s="6"/>
      <c r="AF47" s="6"/>
      <c r="AG47" s="6"/>
      <c r="AH47" s="6"/>
      <c r="AI47" s="8">
        <f t="shared" si="9"/>
        <v>0</v>
      </c>
      <c r="AJ47" s="8"/>
      <c r="AK47" s="6"/>
      <c r="AL47" s="6"/>
      <c r="AM47" s="6"/>
      <c r="AN47" s="6"/>
      <c r="AO47" s="6"/>
      <c r="AP47" s="6"/>
      <c r="AQ47" s="6"/>
      <c r="AR47" s="6"/>
      <c r="AS47" s="8">
        <f t="shared" si="26"/>
        <v>0</v>
      </c>
      <c r="AT47" s="8"/>
      <c r="AU47" s="6">
        <v>0</v>
      </c>
      <c r="AV47" s="6"/>
      <c r="AW47" s="6">
        <v>0</v>
      </c>
      <c r="AX47" s="6"/>
      <c r="AY47" s="6">
        <f t="shared" si="27"/>
        <v>0</v>
      </c>
      <c r="AZ47" s="6"/>
      <c r="BA47" s="6" t="s">
        <v>479</v>
      </c>
      <c r="BB47" s="18"/>
      <c r="BC47" s="6" t="s">
        <v>109</v>
      </c>
      <c r="BD47" s="6"/>
      <c r="BE47" s="6"/>
      <c r="BF47" s="6"/>
      <c r="BG47" s="6"/>
      <c r="BH47" s="6"/>
      <c r="BI47" s="6"/>
      <c r="BJ47" s="6"/>
      <c r="BK47" s="6"/>
      <c r="BL47" s="6"/>
      <c r="BM47" s="6">
        <f t="shared" si="10"/>
        <v>0</v>
      </c>
      <c r="BN47" s="17" t="s">
        <v>345</v>
      </c>
      <c r="BS47" s="7"/>
    </row>
    <row r="48" spans="1:71" ht="12.75" customHeight="1" x14ac:dyDescent="0.2">
      <c r="A48" s="6" t="s">
        <v>61</v>
      </c>
      <c r="C48" s="6" t="s">
        <v>62</v>
      </c>
      <c r="D48" s="6"/>
      <c r="E48" s="6">
        <v>12021811</v>
      </c>
      <c r="F48" s="6"/>
      <c r="G48" s="6">
        <v>14483481</v>
      </c>
      <c r="H48" s="6"/>
      <c r="I48" s="6">
        <f>+E48+G48</f>
        <v>26505292</v>
      </c>
      <c r="J48" s="6"/>
      <c r="K48" s="6">
        <v>1469093</v>
      </c>
      <c r="L48" s="6"/>
      <c r="M48" s="6">
        <v>2493126</v>
      </c>
      <c r="N48" s="6"/>
      <c r="O48" s="6">
        <f>+K48+M48</f>
        <v>3962219</v>
      </c>
      <c r="P48" s="6"/>
      <c r="Q48" s="6">
        <v>14473546</v>
      </c>
      <c r="R48" s="6"/>
      <c r="S48" s="6">
        <v>0</v>
      </c>
      <c r="T48" s="6"/>
      <c r="U48" s="6">
        <v>8069527</v>
      </c>
      <c r="V48" s="6"/>
      <c r="W48" s="6">
        <f t="shared" si="19"/>
        <v>22543073</v>
      </c>
      <c r="X48" s="6"/>
      <c r="Y48" s="6" t="s">
        <v>61</v>
      </c>
      <c r="Z48" s="18"/>
      <c r="AA48" s="6" t="s">
        <v>62</v>
      </c>
      <c r="AB48" s="6"/>
      <c r="AC48" s="6">
        <v>17936433</v>
      </c>
      <c r="AD48" s="6"/>
      <c r="AE48" s="6">
        <f>15425242-872419</f>
        <v>14552823</v>
      </c>
      <c r="AF48" s="6"/>
      <c r="AG48" s="6">
        <v>872419</v>
      </c>
      <c r="AH48" s="6"/>
      <c r="AI48" s="8">
        <f t="shared" si="9"/>
        <v>2511191</v>
      </c>
      <c r="AJ48" s="8"/>
      <c r="AK48" s="6">
        <v>320512</v>
      </c>
      <c r="AL48" s="6"/>
      <c r="AM48" s="6">
        <v>0</v>
      </c>
      <c r="AN48" s="6"/>
      <c r="AO48" s="6">
        <v>23109</v>
      </c>
      <c r="AP48" s="6"/>
      <c r="AQ48" s="6">
        <v>0</v>
      </c>
      <c r="AR48" s="6"/>
      <c r="AS48" s="8">
        <f t="shared" si="18"/>
        <v>2808594</v>
      </c>
      <c r="AT48" s="8"/>
      <c r="AU48" s="6">
        <v>0</v>
      </c>
      <c r="AV48" s="6"/>
      <c r="AW48" s="6">
        <v>0</v>
      </c>
      <c r="AX48" s="6"/>
      <c r="AY48" s="6">
        <f t="shared" si="20"/>
        <v>10552718</v>
      </c>
      <c r="AZ48" s="6"/>
      <c r="BA48" s="6" t="s">
        <v>61</v>
      </c>
      <c r="BB48" s="18"/>
      <c r="BC48" s="6" t="s">
        <v>62</v>
      </c>
      <c r="BD48" s="6"/>
      <c r="BE48" s="6">
        <v>0</v>
      </c>
      <c r="BF48" s="6"/>
      <c r="BG48" s="6">
        <v>0</v>
      </c>
      <c r="BH48" s="6"/>
      <c r="BI48" s="6">
        <f>2032895+199897</f>
        <v>2232792</v>
      </c>
      <c r="BJ48" s="6"/>
      <c r="BK48" s="6">
        <f>392497+67734+28146</f>
        <v>488377</v>
      </c>
      <c r="BL48" s="6"/>
      <c r="BM48" s="6">
        <f t="shared" si="10"/>
        <v>2721169</v>
      </c>
      <c r="BN48" s="17" t="s">
        <v>345</v>
      </c>
      <c r="BO48" s="18" t="s">
        <v>313</v>
      </c>
    </row>
    <row r="49" spans="1:66" ht="12.75" hidden="1" customHeight="1" x14ac:dyDescent="0.2">
      <c r="A49" s="6" t="s">
        <v>63</v>
      </c>
      <c r="C49" s="6" t="s">
        <v>64</v>
      </c>
      <c r="D49" s="6"/>
      <c r="E49" s="6">
        <f t="shared" si="21"/>
        <v>0</v>
      </c>
      <c r="F49" s="6"/>
      <c r="G49" s="6"/>
      <c r="H49" s="6"/>
      <c r="I49" s="6"/>
      <c r="J49" s="6"/>
      <c r="K49" s="6">
        <f t="shared" si="22"/>
        <v>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>
        <f t="shared" si="19"/>
        <v>0</v>
      </c>
      <c r="X49" s="6"/>
      <c r="Y49" s="6" t="s">
        <v>63</v>
      </c>
      <c r="Z49" s="18"/>
      <c r="AA49" s="6" t="s">
        <v>64</v>
      </c>
      <c r="AB49" s="6"/>
      <c r="AC49" s="6"/>
      <c r="AD49" s="6"/>
      <c r="AE49" s="6"/>
      <c r="AF49" s="6"/>
      <c r="AG49" s="6"/>
      <c r="AH49" s="6"/>
      <c r="AI49" s="8">
        <f t="shared" si="9"/>
        <v>0</v>
      </c>
      <c r="AJ49" s="8"/>
      <c r="AK49" s="6"/>
      <c r="AL49" s="6"/>
      <c r="AM49" s="6"/>
      <c r="AN49" s="6"/>
      <c r="AO49" s="6"/>
      <c r="AP49" s="6"/>
      <c r="AQ49" s="6"/>
      <c r="AR49" s="6"/>
      <c r="AS49" s="8">
        <f t="shared" si="18"/>
        <v>0</v>
      </c>
      <c r="AT49" s="8"/>
      <c r="AU49" s="6">
        <v>0</v>
      </c>
      <c r="AV49" s="6"/>
      <c r="AW49" s="6">
        <v>0</v>
      </c>
      <c r="AX49" s="6"/>
      <c r="AY49" s="6">
        <f t="shared" si="20"/>
        <v>0</v>
      </c>
      <c r="AZ49" s="6"/>
      <c r="BA49" s="6" t="s">
        <v>63</v>
      </c>
      <c r="BB49" s="18"/>
      <c r="BC49" s="6" t="s">
        <v>64</v>
      </c>
      <c r="BD49" s="6"/>
      <c r="BE49" s="6"/>
      <c r="BF49" s="6"/>
      <c r="BG49" s="6"/>
      <c r="BH49" s="6"/>
      <c r="BI49" s="6"/>
      <c r="BJ49" s="6"/>
      <c r="BK49" s="6"/>
      <c r="BL49" s="6"/>
      <c r="BM49" s="6">
        <f t="shared" si="10"/>
        <v>0</v>
      </c>
      <c r="BN49" s="17" t="s">
        <v>345</v>
      </c>
    </row>
    <row r="50" spans="1:66" ht="12.75" hidden="1" customHeight="1" x14ac:dyDescent="0.2">
      <c r="A50" s="6" t="s">
        <v>65</v>
      </c>
      <c r="C50" s="6" t="s">
        <v>373</v>
      </c>
      <c r="D50" s="6"/>
      <c r="E50" s="6">
        <f t="shared" si="21"/>
        <v>0</v>
      </c>
      <c r="F50" s="6"/>
      <c r="G50" s="6"/>
      <c r="H50" s="6"/>
      <c r="I50" s="6"/>
      <c r="J50" s="6"/>
      <c r="K50" s="6">
        <f t="shared" si="22"/>
        <v>0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>
        <f t="shared" si="19"/>
        <v>0</v>
      </c>
      <c r="X50" s="6"/>
      <c r="Y50" s="6" t="s">
        <v>65</v>
      </c>
      <c r="Z50" s="18"/>
      <c r="AA50" s="6" t="s">
        <v>373</v>
      </c>
      <c r="AB50" s="6"/>
      <c r="AC50" s="6"/>
      <c r="AD50" s="6"/>
      <c r="AE50" s="6"/>
      <c r="AF50" s="6"/>
      <c r="AG50" s="6"/>
      <c r="AH50" s="6"/>
      <c r="AI50" s="8">
        <f t="shared" si="9"/>
        <v>0</v>
      </c>
      <c r="AJ50" s="8"/>
      <c r="AK50" s="6"/>
      <c r="AL50" s="6"/>
      <c r="AM50" s="6"/>
      <c r="AN50" s="6"/>
      <c r="AO50" s="6"/>
      <c r="AP50" s="6"/>
      <c r="AQ50" s="6"/>
      <c r="AR50" s="6"/>
      <c r="AS50" s="8">
        <f t="shared" si="18"/>
        <v>0</v>
      </c>
      <c r="AT50" s="8"/>
      <c r="AU50" s="6">
        <v>0</v>
      </c>
      <c r="AV50" s="6"/>
      <c r="AW50" s="6">
        <v>0</v>
      </c>
      <c r="AX50" s="6"/>
      <c r="AY50" s="6">
        <f t="shared" si="20"/>
        <v>0</v>
      </c>
      <c r="AZ50" s="6"/>
      <c r="BA50" s="6" t="s">
        <v>65</v>
      </c>
      <c r="BB50" s="18"/>
      <c r="BC50" s="6" t="s">
        <v>373</v>
      </c>
      <c r="BD50" s="6"/>
      <c r="BE50" s="6"/>
      <c r="BF50" s="6"/>
      <c r="BG50" s="6"/>
      <c r="BH50" s="6"/>
      <c r="BI50" s="6"/>
      <c r="BJ50" s="6"/>
      <c r="BK50" s="6"/>
      <c r="BL50" s="6"/>
      <c r="BM50" s="6">
        <f t="shared" si="10"/>
        <v>0</v>
      </c>
      <c r="BN50" s="17" t="s">
        <v>345</v>
      </c>
    </row>
    <row r="51" spans="1:66" ht="12.75" hidden="1" customHeight="1" x14ac:dyDescent="0.2">
      <c r="A51" s="6" t="s">
        <v>66</v>
      </c>
      <c r="C51" s="6" t="s">
        <v>43</v>
      </c>
      <c r="D51" s="6"/>
      <c r="E51" s="6">
        <f t="shared" si="21"/>
        <v>0</v>
      </c>
      <c r="F51" s="6"/>
      <c r="G51" s="6"/>
      <c r="H51" s="6"/>
      <c r="I51" s="6"/>
      <c r="J51" s="6"/>
      <c r="K51" s="6">
        <f t="shared" si="22"/>
        <v>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>
        <f t="shared" si="19"/>
        <v>0</v>
      </c>
      <c r="X51" s="6"/>
      <c r="Y51" s="6" t="s">
        <v>66</v>
      </c>
      <c r="Z51" s="18"/>
      <c r="AA51" s="6" t="s">
        <v>43</v>
      </c>
      <c r="AB51" s="6"/>
      <c r="AC51" s="6"/>
      <c r="AD51" s="6"/>
      <c r="AE51" s="6"/>
      <c r="AF51" s="6"/>
      <c r="AG51" s="6"/>
      <c r="AH51" s="6"/>
      <c r="AI51" s="8">
        <f t="shared" si="9"/>
        <v>0</v>
      </c>
      <c r="AJ51" s="8"/>
      <c r="AK51" s="6"/>
      <c r="AL51" s="6"/>
      <c r="AM51" s="6"/>
      <c r="AN51" s="6"/>
      <c r="AO51" s="6"/>
      <c r="AP51" s="6"/>
      <c r="AQ51" s="6"/>
      <c r="AR51" s="6"/>
      <c r="AS51" s="8">
        <f t="shared" si="18"/>
        <v>0</v>
      </c>
      <c r="AT51" s="8"/>
      <c r="AU51" s="6">
        <v>0</v>
      </c>
      <c r="AV51" s="6"/>
      <c r="AW51" s="6">
        <v>0</v>
      </c>
      <c r="AX51" s="6"/>
      <c r="AY51" s="6">
        <f t="shared" si="20"/>
        <v>0</v>
      </c>
      <c r="AZ51" s="6"/>
      <c r="BA51" s="6" t="s">
        <v>66</v>
      </c>
      <c r="BB51" s="18"/>
      <c r="BC51" s="6" t="s">
        <v>43</v>
      </c>
      <c r="BD51" s="6"/>
      <c r="BE51" s="6"/>
      <c r="BF51" s="6"/>
      <c r="BG51" s="6"/>
      <c r="BH51" s="6"/>
      <c r="BI51" s="6"/>
      <c r="BJ51" s="6"/>
      <c r="BK51" s="6"/>
      <c r="BL51" s="6"/>
      <c r="BM51" s="6">
        <f t="shared" si="10"/>
        <v>0</v>
      </c>
      <c r="BN51" s="17" t="s">
        <v>345</v>
      </c>
    </row>
    <row r="52" spans="1:66" ht="12.75" hidden="1" customHeight="1" x14ac:dyDescent="0.2">
      <c r="A52" s="6" t="s">
        <v>67</v>
      </c>
      <c r="C52" s="6" t="s">
        <v>68</v>
      </c>
      <c r="D52" s="6"/>
      <c r="E52" s="6">
        <f t="shared" si="21"/>
        <v>0</v>
      </c>
      <c r="F52" s="6"/>
      <c r="G52" s="6"/>
      <c r="H52" s="6"/>
      <c r="I52" s="6"/>
      <c r="J52" s="6"/>
      <c r="K52" s="6">
        <f t="shared" si="22"/>
        <v>0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>
        <f t="shared" si="19"/>
        <v>0</v>
      </c>
      <c r="X52" s="6"/>
      <c r="Y52" s="6" t="s">
        <v>67</v>
      </c>
      <c r="Z52" s="18"/>
      <c r="AA52" s="6" t="s">
        <v>68</v>
      </c>
      <c r="AB52" s="6"/>
      <c r="AC52" s="6"/>
      <c r="AD52" s="6"/>
      <c r="AE52" s="6"/>
      <c r="AF52" s="6"/>
      <c r="AG52" s="6"/>
      <c r="AH52" s="6"/>
      <c r="AI52" s="8">
        <f t="shared" si="9"/>
        <v>0</v>
      </c>
      <c r="AJ52" s="8"/>
      <c r="AK52" s="6"/>
      <c r="AL52" s="6"/>
      <c r="AM52" s="6"/>
      <c r="AN52" s="6"/>
      <c r="AO52" s="6"/>
      <c r="AP52" s="6"/>
      <c r="AQ52" s="6"/>
      <c r="AR52" s="6"/>
      <c r="AS52" s="8">
        <f t="shared" si="18"/>
        <v>0</v>
      </c>
      <c r="AT52" s="8"/>
      <c r="AU52" s="6">
        <v>0</v>
      </c>
      <c r="AV52" s="6"/>
      <c r="AW52" s="6">
        <v>0</v>
      </c>
      <c r="AX52" s="6"/>
      <c r="AY52" s="6">
        <f t="shared" si="20"/>
        <v>0</v>
      </c>
      <c r="AZ52" s="6"/>
      <c r="BA52" s="6" t="s">
        <v>67</v>
      </c>
      <c r="BB52" s="18"/>
      <c r="BC52" s="6" t="s">
        <v>68</v>
      </c>
      <c r="BD52" s="6"/>
      <c r="BE52" s="6"/>
      <c r="BF52" s="6"/>
      <c r="BG52" s="6"/>
      <c r="BH52" s="6"/>
      <c r="BI52" s="6"/>
      <c r="BJ52" s="6"/>
      <c r="BK52" s="6"/>
      <c r="BL52" s="6"/>
      <c r="BM52" s="6">
        <f t="shared" si="10"/>
        <v>0</v>
      </c>
      <c r="BN52" s="17" t="s">
        <v>345</v>
      </c>
    </row>
    <row r="53" spans="1:66" ht="12.75" hidden="1" customHeight="1" x14ac:dyDescent="0.2">
      <c r="A53" s="6" t="s">
        <v>69</v>
      </c>
      <c r="C53" s="6" t="s">
        <v>43</v>
      </c>
      <c r="D53" s="6"/>
      <c r="E53" s="6">
        <f t="shared" si="21"/>
        <v>0</v>
      </c>
      <c r="F53" s="6"/>
      <c r="G53" s="6"/>
      <c r="H53" s="6"/>
      <c r="I53" s="6"/>
      <c r="J53" s="6"/>
      <c r="K53" s="6">
        <f t="shared" si="22"/>
        <v>0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>
        <f t="shared" si="19"/>
        <v>0</v>
      </c>
      <c r="X53" s="6"/>
      <c r="Y53" s="6" t="s">
        <v>69</v>
      </c>
      <c r="Z53" s="18"/>
      <c r="AA53" s="6" t="s">
        <v>43</v>
      </c>
      <c r="AB53" s="6"/>
      <c r="AC53" s="6"/>
      <c r="AD53" s="6"/>
      <c r="AE53" s="6"/>
      <c r="AF53" s="6"/>
      <c r="AG53" s="6"/>
      <c r="AH53" s="6"/>
      <c r="AI53" s="8">
        <f t="shared" si="9"/>
        <v>0</v>
      </c>
      <c r="AJ53" s="8"/>
      <c r="AK53" s="6"/>
      <c r="AL53" s="6"/>
      <c r="AM53" s="6"/>
      <c r="AN53" s="6"/>
      <c r="AO53" s="6"/>
      <c r="AP53" s="6"/>
      <c r="AQ53" s="6"/>
      <c r="AR53" s="6"/>
      <c r="AS53" s="8">
        <f t="shared" si="18"/>
        <v>0</v>
      </c>
      <c r="AT53" s="8"/>
      <c r="AU53" s="6">
        <v>0</v>
      </c>
      <c r="AV53" s="6"/>
      <c r="AW53" s="6">
        <v>0</v>
      </c>
      <c r="AX53" s="6"/>
      <c r="AY53" s="6">
        <f t="shared" si="20"/>
        <v>0</v>
      </c>
      <c r="AZ53" s="6"/>
      <c r="BA53" s="6" t="s">
        <v>69</v>
      </c>
      <c r="BB53" s="18"/>
      <c r="BC53" s="6" t="s">
        <v>43</v>
      </c>
      <c r="BD53" s="6"/>
      <c r="BE53" s="6"/>
      <c r="BF53" s="6"/>
      <c r="BG53" s="6"/>
      <c r="BH53" s="6"/>
      <c r="BI53" s="6"/>
      <c r="BJ53" s="6"/>
      <c r="BK53" s="6"/>
      <c r="BL53" s="6"/>
      <c r="BM53" s="6">
        <f t="shared" si="10"/>
        <v>0</v>
      </c>
      <c r="BN53" s="17" t="s">
        <v>345</v>
      </c>
    </row>
    <row r="54" spans="1:66" ht="12.75" hidden="1" customHeight="1" x14ac:dyDescent="0.2">
      <c r="A54" s="6" t="s">
        <v>70</v>
      </c>
      <c r="C54" s="6" t="s">
        <v>64</v>
      </c>
      <c r="D54" s="6"/>
      <c r="E54" s="6">
        <f t="shared" si="21"/>
        <v>0</v>
      </c>
      <c r="F54" s="6"/>
      <c r="G54" s="6"/>
      <c r="H54" s="6"/>
      <c r="I54" s="6"/>
      <c r="J54" s="6"/>
      <c r="K54" s="6">
        <f t="shared" si="22"/>
        <v>0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>
        <f t="shared" si="19"/>
        <v>0</v>
      </c>
      <c r="X54" s="6"/>
      <c r="Y54" s="6" t="s">
        <v>70</v>
      </c>
      <c r="Z54" s="18"/>
      <c r="AA54" s="6" t="s">
        <v>64</v>
      </c>
      <c r="AB54" s="6"/>
      <c r="AC54" s="6"/>
      <c r="AD54" s="6"/>
      <c r="AE54" s="6"/>
      <c r="AF54" s="6"/>
      <c r="AG54" s="6"/>
      <c r="AH54" s="6"/>
      <c r="AI54" s="8">
        <f t="shared" si="9"/>
        <v>0</v>
      </c>
      <c r="AJ54" s="8"/>
      <c r="AK54" s="6"/>
      <c r="AL54" s="6"/>
      <c r="AM54" s="6"/>
      <c r="AN54" s="6"/>
      <c r="AO54" s="6"/>
      <c r="AP54" s="6"/>
      <c r="AQ54" s="6"/>
      <c r="AR54" s="6"/>
      <c r="AS54" s="8">
        <f t="shared" si="18"/>
        <v>0</v>
      </c>
      <c r="AT54" s="8"/>
      <c r="AU54" s="6">
        <v>0</v>
      </c>
      <c r="AV54" s="6"/>
      <c r="AW54" s="6">
        <v>0</v>
      </c>
      <c r="AX54" s="6"/>
      <c r="AY54" s="6">
        <f t="shared" si="20"/>
        <v>0</v>
      </c>
      <c r="AZ54" s="6"/>
      <c r="BA54" s="6" t="s">
        <v>70</v>
      </c>
      <c r="BB54" s="18"/>
      <c r="BC54" s="6" t="s">
        <v>64</v>
      </c>
      <c r="BD54" s="6"/>
      <c r="BE54" s="6"/>
      <c r="BF54" s="6"/>
      <c r="BG54" s="6"/>
      <c r="BH54" s="6"/>
      <c r="BI54" s="6"/>
      <c r="BJ54" s="6"/>
      <c r="BK54" s="6"/>
      <c r="BL54" s="6"/>
      <c r="BM54" s="6">
        <f t="shared" si="10"/>
        <v>0</v>
      </c>
      <c r="BN54" s="17" t="s">
        <v>345</v>
      </c>
    </row>
    <row r="55" spans="1:66" ht="12.75" customHeight="1" x14ac:dyDescent="0.2">
      <c r="A55" s="6" t="s">
        <v>71</v>
      </c>
      <c r="B55" s="18"/>
      <c r="C55" s="6" t="s">
        <v>25</v>
      </c>
      <c r="D55" s="6"/>
      <c r="E55" s="6">
        <v>80470000</v>
      </c>
      <c r="F55" s="6"/>
      <c r="G55" s="6">
        <v>393135000</v>
      </c>
      <c r="H55" s="6"/>
      <c r="I55" s="6">
        <f>+E55+G55</f>
        <v>473605000</v>
      </c>
      <c r="J55" s="6"/>
      <c r="K55" s="6">
        <v>41713000</v>
      </c>
      <c r="L55" s="6"/>
      <c r="M55" s="6">
        <v>220701000</v>
      </c>
      <c r="N55" s="6"/>
      <c r="O55" s="6">
        <f>+K55+M55</f>
        <v>262414000</v>
      </c>
      <c r="P55" s="6"/>
      <c r="Q55" s="6">
        <v>153436000</v>
      </c>
      <c r="R55" s="6"/>
      <c r="S55" s="6">
        <f>1309000+3976000</f>
        <v>5285000</v>
      </c>
      <c r="T55" s="6"/>
      <c r="U55" s="6">
        <v>52470000</v>
      </c>
      <c r="V55" s="6"/>
      <c r="W55" s="6">
        <f t="shared" si="19"/>
        <v>211191000</v>
      </c>
      <c r="X55" s="6"/>
      <c r="Y55" s="6" t="s">
        <v>71</v>
      </c>
      <c r="Z55" s="18"/>
      <c r="AA55" s="6" t="s">
        <v>25</v>
      </c>
      <c r="AB55" s="6"/>
      <c r="AC55" s="6">
        <v>165227000</v>
      </c>
      <c r="AD55" s="6"/>
      <c r="AE55" s="6">
        <f>153958000-16971000</f>
        <v>136987000</v>
      </c>
      <c r="AF55" s="6"/>
      <c r="AG55" s="6">
        <v>16971000</v>
      </c>
      <c r="AH55" s="6"/>
      <c r="AI55" s="8">
        <f t="shared" si="9"/>
        <v>11269000</v>
      </c>
      <c r="AJ55" s="8"/>
      <c r="AK55" s="6">
        <v>-9656000</v>
      </c>
      <c r="AL55" s="6"/>
      <c r="AM55" s="6">
        <v>0</v>
      </c>
      <c r="AN55" s="6"/>
      <c r="AO55" s="6">
        <v>0</v>
      </c>
      <c r="AP55" s="6"/>
      <c r="AQ55" s="6">
        <v>981000</v>
      </c>
      <c r="AR55" s="6"/>
      <c r="AS55" s="8">
        <f t="shared" si="18"/>
        <v>2594000</v>
      </c>
      <c r="AT55" s="8"/>
      <c r="AU55" s="6">
        <v>0</v>
      </c>
      <c r="AV55" s="6"/>
      <c r="AW55" s="6">
        <v>0</v>
      </c>
      <c r="AX55" s="6"/>
      <c r="AY55" s="6">
        <f t="shared" si="20"/>
        <v>38757000</v>
      </c>
      <c r="AZ55" s="6"/>
      <c r="BA55" s="6" t="s">
        <v>71</v>
      </c>
      <c r="BB55" s="18"/>
      <c r="BC55" s="6" t="s">
        <v>25</v>
      </c>
      <c r="BD55" s="6"/>
      <c r="BE55" s="6">
        <v>0</v>
      </c>
      <c r="BF55" s="6"/>
      <c r="BG55" s="6">
        <v>220202000</v>
      </c>
      <c r="BH55" s="6"/>
      <c r="BI55" s="6">
        <v>0</v>
      </c>
      <c r="BJ55" s="6"/>
      <c r="BK55" s="6">
        <f>499000+12710000</f>
        <v>13209000</v>
      </c>
      <c r="BL55" s="6"/>
      <c r="BM55" s="6">
        <f t="shared" si="10"/>
        <v>233411000</v>
      </c>
      <c r="BN55" s="17" t="s">
        <v>345</v>
      </c>
    </row>
    <row r="56" spans="1:66" ht="12.75" hidden="1" customHeight="1" x14ac:dyDescent="0.2">
      <c r="A56" s="6" t="s">
        <v>72</v>
      </c>
      <c r="C56" s="6" t="s">
        <v>25</v>
      </c>
      <c r="D56" s="6"/>
      <c r="E56" s="6">
        <f t="shared" si="21"/>
        <v>0</v>
      </c>
      <c r="F56" s="6"/>
      <c r="G56" s="6"/>
      <c r="H56" s="6"/>
      <c r="I56" s="6"/>
      <c r="J56" s="6"/>
      <c r="K56" s="6">
        <f t="shared" si="22"/>
        <v>0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>
        <f t="shared" si="19"/>
        <v>0</v>
      </c>
      <c r="X56" s="6"/>
      <c r="Y56" s="6" t="s">
        <v>72</v>
      </c>
      <c r="Z56" s="18"/>
      <c r="AA56" s="6" t="s">
        <v>25</v>
      </c>
      <c r="AB56" s="6"/>
      <c r="AC56" s="6"/>
      <c r="AD56" s="6"/>
      <c r="AE56" s="6"/>
      <c r="AF56" s="6"/>
      <c r="AG56" s="6"/>
      <c r="AH56" s="6"/>
      <c r="AI56" s="8">
        <f t="shared" si="9"/>
        <v>0</v>
      </c>
      <c r="AJ56" s="8"/>
      <c r="AK56" s="6"/>
      <c r="AL56" s="6"/>
      <c r="AM56" s="6"/>
      <c r="AN56" s="6"/>
      <c r="AO56" s="6"/>
      <c r="AP56" s="6"/>
      <c r="AQ56" s="6"/>
      <c r="AR56" s="6"/>
      <c r="AS56" s="8">
        <f t="shared" si="18"/>
        <v>0</v>
      </c>
      <c r="AT56" s="8"/>
      <c r="AU56" s="6">
        <v>0</v>
      </c>
      <c r="AV56" s="6"/>
      <c r="AW56" s="6">
        <v>0</v>
      </c>
      <c r="AX56" s="6"/>
      <c r="AY56" s="6">
        <f t="shared" si="20"/>
        <v>0</v>
      </c>
      <c r="AZ56" s="6"/>
      <c r="BA56" s="6" t="s">
        <v>72</v>
      </c>
      <c r="BB56" s="18"/>
      <c r="BC56" s="6" t="s">
        <v>25</v>
      </c>
      <c r="BD56" s="6"/>
      <c r="BE56" s="6"/>
      <c r="BF56" s="6"/>
      <c r="BG56" s="6"/>
      <c r="BH56" s="6"/>
      <c r="BI56" s="6"/>
      <c r="BJ56" s="6"/>
      <c r="BK56" s="6"/>
      <c r="BL56" s="6"/>
      <c r="BM56" s="6">
        <f t="shared" si="10"/>
        <v>0</v>
      </c>
      <c r="BN56" s="17" t="s">
        <v>345</v>
      </c>
    </row>
    <row r="57" spans="1:66" ht="12.75" customHeight="1" x14ac:dyDescent="0.2">
      <c r="A57" s="6" t="s">
        <v>73</v>
      </c>
      <c r="C57" s="6" t="s">
        <v>74</v>
      </c>
      <c r="D57" s="6"/>
      <c r="E57" s="6">
        <v>7878723</v>
      </c>
      <c r="F57" s="6"/>
      <c r="G57" s="6">
        <v>11150751</v>
      </c>
      <c r="H57" s="6"/>
      <c r="I57" s="6">
        <f>+E57+G57</f>
        <v>19029474</v>
      </c>
      <c r="J57" s="6"/>
      <c r="K57" s="6">
        <v>1610749</v>
      </c>
      <c r="L57" s="6"/>
      <c r="M57" s="6">
        <v>1573119</v>
      </c>
      <c r="N57" s="6"/>
      <c r="O57" s="6">
        <f>+K57+M57</f>
        <v>3183868</v>
      </c>
      <c r="P57" s="6"/>
      <c r="Q57" s="6">
        <v>9063140</v>
      </c>
      <c r="R57" s="6"/>
      <c r="S57" s="6">
        <v>274203</v>
      </c>
      <c r="T57" s="6"/>
      <c r="U57" s="6">
        <v>6591166</v>
      </c>
      <c r="V57" s="6"/>
      <c r="W57" s="6">
        <f t="shared" si="19"/>
        <v>15928509</v>
      </c>
      <c r="X57" s="6"/>
      <c r="Y57" s="6" t="s">
        <v>73</v>
      </c>
      <c r="Z57" s="18"/>
      <c r="AA57" s="6" t="s">
        <v>74</v>
      </c>
      <c r="AB57" s="6"/>
      <c r="AC57" s="6">
        <v>15395671</v>
      </c>
      <c r="AD57" s="6"/>
      <c r="AE57" s="6">
        <f>14210632-490614+20234</f>
        <v>13740252</v>
      </c>
      <c r="AF57" s="6"/>
      <c r="AG57" s="6">
        <v>490614</v>
      </c>
      <c r="AH57" s="6"/>
      <c r="AI57" s="8">
        <f t="shared" si="9"/>
        <v>1164805</v>
      </c>
      <c r="AJ57" s="8"/>
      <c r="AK57" s="6">
        <v>-416824</v>
      </c>
      <c r="AL57" s="6"/>
      <c r="AM57" s="6">
        <v>80000</v>
      </c>
      <c r="AN57" s="6"/>
      <c r="AO57" s="6">
        <v>0</v>
      </c>
      <c r="AP57" s="6"/>
      <c r="AQ57" s="6">
        <v>0</v>
      </c>
      <c r="AR57" s="6"/>
      <c r="AS57" s="8">
        <f t="shared" si="18"/>
        <v>827981</v>
      </c>
      <c r="AT57" s="8"/>
      <c r="AU57" s="6">
        <v>0</v>
      </c>
      <c r="AV57" s="6"/>
      <c r="AW57" s="6">
        <v>0</v>
      </c>
      <c r="AX57" s="6"/>
      <c r="AY57" s="6">
        <f t="shared" si="20"/>
        <v>6267974</v>
      </c>
      <c r="AZ57" s="6"/>
      <c r="BA57" s="6" t="s">
        <v>73</v>
      </c>
      <c r="BB57" s="18"/>
      <c r="BC57" s="6" t="s">
        <v>74</v>
      </c>
      <c r="BD57" s="6"/>
      <c r="BE57" s="6">
        <f>455000+435000</f>
        <v>890000</v>
      </c>
      <c r="BF57" s="6"/>
      <c r="BG57" s="6">
        <f>870174+132326</f>
        <v>1002500</v>
      </c>
      <c r="BH57" s="6"/>
      <c r="BI57" s="6">
        <v>0</v>
      </c>
      <c r="BJ57" s="6"/>
      <c r="BK57" s="6">
        <f>25632+12024+218502+16000+3811</f>
        <v>275969</v>
      </c>
      <c r="BL57" s="6"/>
      <c r="BM57" s="6">
        <f t="shared" si="10"/>
        <v>2168469</v>
      </c>
      <c r="BN57" s="17" t="s">
        <v>345</v>
      </c>
    </row>
    <row r="58" spans="1:66" ht="12.75" customHeight="1" x14ac:dyDescent="0.2">
      <c r="A58" s="6" t="s">
        <v>92</v>
      </c>
      <c r="C58" s="6" t="s">
        <v>92</v>
      </c>
      <c r="D58" s="6"/>
      <c r="E58" s="6">
        <v>2716067</v>
      </c>
      <c r="F58" s="6"/>
      <c r="G58" s="6">
        <v>5492282</v>
      </c>
      <c r="H58" s="6"/>
      <c r="I58" s="6">
        <f>+E58+G58</f>
        <v>8208349</v>
      </c>
      <c r="J58" s="6"/>
      <c r="K58" s="6">
        <v>1001660</v>
      </c>
      <c r="L58" s="6"/>
      <c r="M58" s="6">
        <v>9349</v>
      </c>
      <c r="N58" s="6"/>
      <c r="O58" s="6">
        <f>+K58+M58</f>
        <v>1011009</v>
      </c>
      <c r="P58" s="6"/>
      <c r="Q58" s="6">
        <v>5117238</v>
      </c>
      <c r="R58" s="6"/>
      <c r="S58" s="6">
        <v>0</v>
      </c>
      <c r="T58" s="6"/>
      <c r="U58" s="6">
        <v>2080102</v>
      </c>
      <c r="V58" s="6"/>
      <c r="W58" s="6">
        <f t="shared" si="19"/>
        <v>7197340</v>
      </c>
      <c r="X58" s="6"/>
      <c r="Y58" s="6" t="str">
        <f>+A58</f>
        <v>Columbiana</v>
      </c>
      <c r="Z58" s="18"/>
      <c r="AA58" s="6" t="s">
        <v>92</v>
      </c>
      <c r="AB58" s="6"/>
      <c r="AC58" s="6">
        <v>8185001</v>
      </c>
      <c r="AD58" s="6"/>
      <c r="AE58" s="6">
        <f>8300661-393236</f>
        <v>7907425</v>
      </c>
      <c r="AF58" s="6"/>
      <c r="AG58" s="6">
        <v>393236</v>
      </c>
      <c r="AH58" s="6"/>
      <c r="AI58" s="8">
        <f t="shared" si="9"/>
        <v>-115660</v>
      </c>
      <c r="AJ58" s="8"/>
      <c r="AK58" s="6">
        <v>-97597</v>
      </c>
      <c r="AL58" s="6"/>
      <c r="AM58" s="6">
        <v>0</v>
      </c>
      <c r="AN58" s="6"/>
      <c r="AO58" s="6">
        <v>0</v>
      </c>
      <c r="AP58" s="6"/>
      <c r="AQ58" s="6">
        <v>0</v>
      </c>
      <c r="AR58" s="6"/>
      <c r="AS58" s="8">
        <f t="shared" si="18"/>
        <v>-213257</v>
      </c>
      <c r="AT58" s="8"/>
      <c r="AU58" s="6">
        <v>0</v>
      </c>
      <c r="AV58" s="6"/>
      <c r="AW58" s="6">
        <v>0</v>
      </c>
      <c r="AX58" s="6"/>
      <c r="AY58" s="6">
        <f t="shared" si="20"/>
        <v>1714407</v>
      </c>
      <c r="AZ58" s="6"/>
      <c r="BA58" s="6" t="str">
        <f>+Y58</f>
        <v>Columbiana</v>
      </c>
      <c r="BB58" s="18"/>
      <c r="BC58" s="6" t="s">
        <v>92</v>
      </c>
      <c r="BD58" s="6"/>
      <c r="BE58" s="6">
        <v>0</v>
      </c>
      <c r="BF58" s="6"/>
      <c r="BG58" s="6">
        <v>0</v>
      </c>
      <c r="BH58" s="6"/>
      <c r="BI58" s="6">
        <v>0</v>
      </c>
      <c r="BJ58" s="6"/>
      <c r="BK58" s="6">
        <f>9349+39303</f>
        <v>48652</v>
      </c>
      <c r="BL58" s="6"/>
      <c r="BM58" s="6">
        <f t="shared" si="10"/>
        <v>48652</v>
      </c>
      <c r="BN58" s="17" t="s">
        <v>345</v>
      </c>
    </row>
    <row r="59" spans="1:66" ht="12.75" hidden="1" customHeight="1" x14ac:dyDescent="0.2">
      <c r="A59" s="6" t="s">
        <v>75</v>
      </c>
      <c r="C59" s="6" t="s">
        <v>41</v>
      </c>
      <c r="D59" s="6"/>
      <c r="E59" s="6">
        <v>20133000</v>
      </c>
      <c r="F59" s="6"/>
      <c r="G59" s="6">
        <v>93480000</v>
      </c>
      <c r="H59" s="6"/>
      <c r="I59" s="6">
        <f>+E59+G59</f>
        <v>113613000</v>
      </c>
      <c r="J59" s="6"/>
      <c r="K59" s="6">
        <v>11308000</v>
      </c>
      <c r="L59" s="6"/>
      <c r="M59" s="6">
        <v>18498000</v>
      </c>
      <c r="N59" s="6"/>
      <c r="O59" s="6">
        <f>+K59+M59</f>
        <v>29806000</v>
      </c>
      <c r="P59" s="6"/>
      <c r="Q59" s="6">
        <v>71081000</v>
      </c>
      <c r="R59" s="6"/>
      <c r="S59" s="6">
        <v>0</v>
      </c>
      <c r="T59" s="6"/>
      <c r="U59" s="6">
        <v>12832000</v>
      </c>
      <c r="V59" s="6"/>
      <c r="W59" s="6">
        <f t="shared" si="19"/>
        <v>83913000</v>
      </c>
      <c r="X59" s="6"/>
      <c r="Y59" s="6" t="s">
        <v>75</v>
      </c>
      <c r="Z59" s="18"/>
      <c r="AA59" s="6" t="s">
        <v>41</v>
      </c>
      <c r="AB59" s="6"/>
      <c r="AC59" s="6">
        <v>91242000</v>
      </c>
      <c r="AD59" s="6"/>
      <c r="AE59" s="6">
        <f>85656000-3904000</f>
        <v>81752000</v>
      </c>
      <c r="AF59" s="6"/>
      <c r="AG59" s="6">
        <v>3904000</v>
      </c>
      <c r="AH59" s="6"/>
      <c r="AI59" s="8">
        <f t="shared" si="9"/>
        <v>5586000</v>
      </c>
      <c r="AJ59" s="8"/>
      <c r="AK59" s="6">
        <v>-831000</v>
      </c>
      <c r="AL59" s="6"/>
      <c r="AM59" s="6">
        <v>392000</v>
      </c>
      <c r="AN59" s="6"/>
      <c r="AO59" s="6">
        <v>0</v>
      </c>
      <c r="AP59" s="6"/>
      <c r="AQ59" s="6">
        <v>0</v>
      </c>
      <c r="AR59" s="6"/>
      <c r="AS59" s="8">
        <f t="shared" si="18"/>
        <v>5147000</v>
      </c>
      <c r="AT59" s="8"/>
      <c r="AU59" s="6">
        <v>0</v>
      </c>
      <c r="AV59" s="6"/>
      <c r="AW59" s="6">
        <v>0</v>
      </c>
      <c r="AX59" s="6"/>
      <c r="AY59" s="6">
        <f t="shared" si="20"/>
        <v>8825000</v>
      </c>
      <c r="AZ59" s="6"/>
      <c r="BA59" s="6" t="s">
        <v>75</v>
      </c>
      <c r="BB59" s="18"/>
      <c r="BC59" s="6" t="s">
        <v>41</v>
      </c>
      <c r="BD59" s="6"/>
      <c r="BE59" s="6">
        <f>18498000+3799000</f>
        <v>22297000</v>
      </c>
      <c r="BF59" s="6"/>
      <c r="BG59" s="6">
        <v>0</v>
      </c>
      <c r="BH59" s="6"/>
      <c r="BI59" s="6">
        <v>0</v>
      </c>
      <c r="BJ59" s="6"/>
      <c r="BK59" s="6">
        <v>0</v>
      </c>
      <c r="BL59" s="6"/>
      <c r="BM59" s="6">
        <f t="shared" si="10"/>
        <v>22297000</v>
      </c>
      <c r="BN59" s="17" t="s">
        <v>345</v>
      </c>
    </row>
    <row r="60" spans="1:66" ht="12.75" hidden="1" customHeight="1" x14ac:dyDescent="0.2">
      <c r="A60" s="6" t="s">
        <v>76</v>
      </c>
      <c r="C60" s="6" t="s">
        <v>17</v>
      </c>
      <c r="D60" s="6"/>
      <c r="E60" s="6">
        <f t="shared" si="21"/>
        <v>0</v>
      </c>
      <c r="F60" s="6"/>
      <c r="G60" s="6"/>
      <c r="H60" s="6"/>
      <c r="I60" s="6"/>
      <c r="J60" s="6"/>
      <c r="K60" s="6">
        <f t="shared" si="22"/>
        <v>0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>
        <f t="shared" si="19"/>
        <v>0</v>
      </c>
      <c r="X60" s="6"/>
      <c r="Y60" s="6" t="s">
        <v>76</v>
      </c>
      <c r="Z60" s="18"/>
      <c r="AA60" s="6" t="s">
        <v>17</v>
      </c>
      <c r="AB60" s="6"/>
      <c r="AC60" s="6"/>
      <c r="AD60" s="6"/>
      <c r="AE60" s="6"/>
      <c r="AF60" s="6"/>
      <c r="AG60" s="6"/>
      <c r="AH60" s="6"/>
      <c r="AI60" s="8">
        <f t="shared" si="9"/>
        <v>0</v>
      </c>
      <c r="AJ60" s="8"/>
      <c r="AK60" s="6"/>
      <c r="AL60" s="6"/>
      <c r="AM60" s="6"/>
      <c r="AN60" s="6"/>
      <c r="AO60" s="6"/>
      <c r="AP60" s="6"/>
      <c r="AQ60" s="6"/>
      <c r="AR60" s="6"/>
      <c r="AS60" s="8">
        <f t="shared" si="18"/>
        <v>0</v>
      </c>
      <c r="AT60" s="8"/>
      <c r="AU60" s="6">
        <v>0</v>
      </c>
      <c r="AV60" s="6"/>
      <c r="AW60" s="6">
        <v>0</v>
      </c>
      <c r="AX60" s="6"/>
      <c r="AY60" s="6">
        <f t="shared" si="20"/>
        <v>0</v>
      </c>
      <c r="AZ60" s="6"/>
      <c r="BA60" s="6" t="s">
        <v>76</v>
      </c>
      <c r="BB60" s="18"/>
      <c r="BC60" s="6" t="s">
        <v>17</v>
      </c>
      <c r="BD60" s="6"/>
      <c r="BE60" s="6"/>
      <c r="BF60" s="6"/>
      <c r="BG60" s="6"/>
      <c r="BH60" s="6"/>
      <c r="BI60" s="6"/>
      <c r="BJ60" s="6"/>
      <c r="BK60" s="6"/>
      <c r="BL60" s="6"/>
      <c r="BM60" s="6">
        <f t="shared" si="10"/>
        <v>0</v>
      </c>
      <c r="BN60" s="17" t="s">
        <v>345</v>
      </c>
    </row>
    <row r="61" spans="1:66" ht="12.75" hidden="1" customHeight="1" x14ac:dyDescent="0.2">
      <c r="A61" s="6" t="s">
        <v>77</v>
      </c>
      <c r="C61" s="6" t="s">
        <v>78</v>
      </c>
      <c r="D61" s="6"/>
      <c r="E61" s="6">
        <f t="shared" si="21"/>
        <v>0</v>
      </c>
      <c r="F61" s="6"/>
      <c r="G61" s="6"/>
      <c r="H61" s="6"/>
      <c r="I61" s="6"/>
      <c r="J61" s="6"/>
      <c r="K61" s="6">
        <f t="shared" si="22"/>
        <v>0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>
        <f t="shared" si="19"/>
        <v>0</v>
      </c>
      <c r="X61" s="6"/>
      <c r="Y61" s="6" t="s">
        <v>77</v>
      </c>
      <c r="Z61" s="18"/>
      <c r="AA61" s="6" t="s">
        <v>78</v>
      </c>
      <c r="AB61" s="6"/>
      <c r="AC61" s="6"/>
      <c r="AD61" s="6"/>
      <c r="AE61" s="6"/>
      <c r="AF61" s="6"/>
      <c r="AG61" s="6"/>
      <c r="AH61" s="6"/>
      <c r="AI61" s="8">
        <f t="shared" si="9"/>
        <v>0</v>
      </c>
      <c r="AJ61" s="8"/>
      <c r="AK61" s="6"/>
      <c r="AL61" s="6"/>
      <c r="AM61" s="6"/>
      <c r="AN61" s="6"/>
      <c r="AO61" s="6"/>
      <c r="AP61" s="6"/>
      <c r="AQ61" s="6"/>
      <c r="AR61" s="6"/>
      <c r="AS61" s="8">
        <f t="shared" si="18"/>
        <v>0</v>
      </c>
      <c r="AT61" s="8"/>
      <c r="AU61" s="6">
        <v>0</v>
      </c>
      <c r="AV61" s="6"/>
      <c r="AW61" s="6">
        <v>0</v>
      </c>
      <c r="AX61" s="6"/>
      <c r="AY61" s="6">
        <f t="shared" si="20"/>
        <v>0</v>
      </c>
      <c r="AZ61" s="6"/>
      <c r="BA61" s="6" t="s">
        <v>77</v>
      </c>
      <c r="BB61" s="18"/>
      <c r="BC61" s="6" t="s">
        <v>78</v>
      </c>
      <c r="BD61" s="6"/>
      <c r="BE61" s="6"/>
      <c r="BF61" s="6"/>
      <c r="BG61" s="6"/>
      <c r="BH61" s="6"/>
      <c r="BI61" s="6"/>
      <c r="BJ61" s="6"/>
      <c r="BK61" s="6"/>
      <c r="BL61" s="6"/>
      <c r="BM61" s="6">
        <f t="shared" si="10"/>
        <v>0</v>
      </c>
      <c r="BN61" s="17" t="s">
        <v>345</v>
      </c>
    </row>
    <row r="62" spans="1:66" ht="12.75" hidden="1" customHeight="1" x14ac:dyDescent="0.2">
      <c r="A62" s="6" t="s">
        <v>79</v>
      </c>
      <c r="C62" s="6" t="s">
        <v>79</v>
      </c>
      <c r="D62" s="6"/>
      <c r="E62" s="6">
        <f t="shared" si="21"/>
        <v>0</v>
      </c>
      <c r="F62" s="6"/>
      <c r="G62" s="6"/>
      <c r="H62" s="6"/>
      <c r="I62" s="6"/>
      <c r="J62" s="6"/>
      <c r="K62" s="6">
        <f t="shared" si="22"/>
        <v>0</v>
      </c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>
        <f t="shared" si="19"/>
        <v>0</v>
      </c>
      <c r="X62" s="6"/>
      <c r="Y62" s="6" t="s">
        <v>79</v>
      </c>
      <c r="Z62" s="18"/>
      <c r="AA62" s="6" t="s">
        <v>79</v>
      </c>
      <c r="AB62" s="6"/>
      <c r="AC62" s="6"/>
      <c r="AD62" s="6"/>
      <c r="AE62" s="6"/>
      <c r="AF62" s="6"/>
      <c r="AG62" s="6"/>
      <c r="AH62" s="6"/>
      <c r="AI62" s="8">
        <f t="shared" si="9"/>
        <v>0</v>
      </c>
      <c r="AJ62" s="8"/>
      <c r="AK62" s="6"/>
      <c r="AL62" s="6"/>
      <c r="AM62" s="6"/>
      <c r="AN62" s="6"/>
      <c r="AO62" s="6"/>
      <c r="AP62" s="6"/>
      <c r="AQ62" s="6"/>
      <c r="AR62" s="6"/>
      <c r="AS62" s="8">
        <f t="shared" si="18"/>
        <v>0</v>
      </c>
      <c r="AT62" s="8"/>
      <c r="AU62" s="6">
        <v>0</v>
      </c>
      <c r="AV62" s="6"/>
      <c r="AW62" s="6">
        <v>0</v>
      </c>
      <c r="AX62" s="6"/>
      <c r="AY62" s="6">
        <f t="shared" si="20"/>
        <v>0</v>
      </c>
      <c r="AZ62" s="6"/>
      <c r="BA62" s="6" t="s">
        <v>79</v>
      </c>
      <c r="BB62" s="18"/>
      <c r="BC62" s="6" t="s">
        <v>79</v>
      </c>
      <c r="BD62" s="6"/>
      <c r="BE62" s="6"/>
      <c r="BF62" s="6"/>
      <c r="BG62" s="6"/>
      <c r="BH62" s="6"/>
      <c r="BI62" s="6"/>
      <c r="BJ62" s="6"/>
      <c r="BK62" s="6"/>
      <c r="BL62" s="6"/>
      <c r="BM62" s="6">
        <f t="shared" si="10"/>
        <v>0</v>
      </c>
      <c r="BN62" s="17" t="s">
        <v>345</v>
      </c>
    </row>
    <row r="63" spans="1:66" ht="12.75" hidden="1" customHeight="1" x14ac:dyDescent="0.2">
      <c r="A63" s="6" t="s">
        <v>80</v>
      </c>
      <c r="C63" s="6" t="s">
        <v>11</v>
      </c>
      <c r="D63" s="6"/>
      <c r="E63" s="6">
        <v>29636859</v>
      </c>
      <c r="F63" s="6"/>
      <c r="G63" s="6">
        <v>24774202</v>
      </c>
      <c r="H63" s="6"/>
      <c r="I63" s="6">
        <f>+E63+G63</f>
        <v>54411061</v>
      </c>
      <c r="J63" s="6"/>
      <c r="K63" s="6">
        <v>4685100</v>
      </c>
      <c r="L63" s="6"/>
      <c r="M63" s="6">
        <v>8520566</v>
      </c>
      <c r="N63" s="6"/>
      <c r="O63" s="6">
        <f>+K63+M63</f>
        <v>13205666</v>
      </c>
      <c r="P63" s="6"/>
      <c r="Q63" s="6">
        <v>18681218</v>
      </c>
      <c r="R63" s="6"/>
      <c r="S63" s="6">
        <v>0</v>
      </c>
      <c r="T63" s="6"/>
      <c r="U63" s="6">
        <v>22524177</v>
      </c>
      <c r="V63" s="6"/>
      <c r="W63" s="6">
        <f t="shared" si="19"/>
        <v>41205395</v>
      </c>
      <c r="X63" s="6"/>
      <c r="Y63" s="6" t="s">
        <v>80</v>
      </c>
      <c r="Z63" s="18"/>
      <c r="AA63" s="6" t="s">
        <v>11</v>
      </c>
      <c r="AB63" s="6"/>
      <c r="AC63" s="6">
        <v>40705173</v>
      </c>
      <c r="AD63" s="6"/>
      <c r="AE63" s="6">
        <f>37255060-1427440</f>
        <v>35827620</v>
      </c>
      <c r="AF63" s="6"/>
      <c r="AG63" s="6">
        <v>1427440</v>
      </c>
      <c r="AH63" s="6"/>
      <c r="AI63" s="8">
        <f t="shared" si="9"/>
        <v>3450113</v>
      </c>
      <c r="AJ63" s="8"/>
      <c r="AK63" s="6">
        <v>-287836</v>
      </c>
      <c r="AL63" s="6"/>
      <c r="AM63" s="6">
        <v>1760345</v>
      </c>
      <c r="AN63" s="6"/>
      <c r="AO63" s="6">
        <v>1812235</v>
      </c>
      <c r="AP63" s="6"/>
      <c r="AQ63" s="6">
        <v>34866</v>
      </c>
      <c r="AR63" s="6"/>
      <c r="AS63" s="8">
        <f t="shared" si="18"/>
        <v>3145253</v>
      </c>
      <c r="AT63" s="8"/>
      <c r="AU63" s="6">
        <v>0</v>
      </c>
      <c r="AV63" s="6"/>
      <c r="AW63" s="6">
        <v>0</v>
      </c>
      <c r="AX63" s="6"/>
      <c r="AY63" s="6">
        <f t="shared" si="20"/>
        <v>24951759</v>
      </c>
      <c r="AZ63" s="6"/>
      <c r="BA63" s="6" t="s">
        <v>80</v>
      </c>
      <c r="BB63" s="18"/>
      <c r="BC63" s="6" t="s">
        <v>11</v>
      </c>
      <c r="BD63" s="6"/>
      <c r="BE63" s="6">
        <v>0</v>
      </c>
      <c r="BF63" s="6"/>
      <c r="BG63" s="6">
        <v>0</v>
      </c>
      <c r="BH63" s="6"/>
      <c r="BI63" s="6">
        <v>0</v>
      </c>
      <c r="BJ63" s="6"/>
      <c r="BK63" s="6">
        <f>640380+5328030+2552156+764954+110696</f>
        <v>9396216</v>
      </c>
      <c r="BL63" s="6"/>
      <c r="BM63" s="6">
        <f t="shared" si="10"/>
        <v>9396216</v>
      </c>
      <c r="BN63" s="17" t="s">
        <v>345</v>
      </c>
    </row>
    <row r="64" spans="1:66" ht="12.75" hidden="1" customHeight="1" x14ac:dyDescent="0.2">
      <c r="A64" s="6" t="s">
        <v>81</v>
      </c>
      <c r="C64" s="6" t="s">
        <v>64</v>
      </c>
      <c r="D64" s="6"/>
      <c r="E64" s="6">
        <f t="shared" si="21"/>
        <v>0</v>
      </c>
      <c r="F64" s="6"/>
      <c r="G64" s="6"/>
      <c r="H64" s="6"/>
      <c r="I64" s="6"/>
      <c r="J64" s="6"/>
      <c r="K64" s="6">
        <f t="shared" si="22"/>
        <v>0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>
        <f t="shared" si="19"/>
        <v>0</v>
      </c>
      <c r="X64" s="6"/>
      <c r="Y64" s="6" t="s">
        <v>81</v>
      </c>
      <c r="Z64" s="18"/>
      <c r="AA64" s="6" t="s">
        <v>64</v>
      </c>
      <c r="AB64" s="6"/>
      <c r="AC64" s="6"/>
      <c r="AD64" s="6"/>
      <c r="AE64" s="6"/>
      <c r="AF64" s="6"/>
      <c r="AG64" s="6"/>
      <c r="AH64" s="6"/>
      <c r="AI64" s="8">
        <f t="shared" si="9"/>
        <v>0</v>
      </c>
      <c r="AJ64" s="8"/>
      <c r="AK64" s="6"/>
      <c r="AL64" s="6"/>
      <c r="AM64" s="6"/>
      <c r="AN64" s="6"/>
      <c r="AO64" s="6"/>
      <c r="AP64" s="6"/>
      <c r="AQ64" s="6"/>
      <c r="AR64" s="6"/>
      <c r="AS64" s="8">
        <f t="shared" si="18"/>
        <v>0</v>
      </c>
      <c r="AT64" s="8"/>
      <c r="AU64" s="6">
        <v>0</v>
      </c>
      <c r="AV64" s="6"/>
      <c r="AW64" s="6">
        <v>0</v>
      </c>
      <c r="AX64" s="6"/>
      <c r="AY64" s="6">
        <f t="shared" si="20"/>
        <v>0</v>
      </c>
      <c r="AZ64" s="6"/>
      <c r="BA64" s="6" t="s">
        <v>81</v>
      </c>
      <c r="BB64" s="18"/>
      <c r="BC64" s="6" t="s">
        <v>64</v>
      </c>
      <c r="BD64" s="6"/>
      <c r="BE64" s="6"/>
      <c r="BF64" s="6"/>
      <c r="BG64" s="6"/>
      <c r="BH64" s="6"/>
      <c r="BI64" s="6"/>
      <c r="BJ64" s="6"/>
      <c r="BK64" s="6"/>
      <c r="BL64" s="6"/>
      <c r="BM64" s="6">
        <f t="shared" si="10"/>
        <v>0</v>
      </c>
      <c r="BN64" s="17" t="s">
        <v>345</v>
      </c>
    </row>
    <row r="65" spans="1:67" ht="12.75" hidden="1" customHeight="1" x14ac:dyDescent="0.2">
      <c r="A65" s="6" t="s">
        <v>82</v>
      </c>
      <c r="C65" s="6" t="s">
        <v>43</v>
      </c>
      <c r="D65" s="6"/>
      <c r="E65" s="6">
        <f t="shared" si="21"/>
        <v>0</v>
      </c>
      <c r="F65" s="6"/>
      <c r="G65" s="6"/>
      <c r="H65" s="6"/>
      <c r="I65" s="6"/>
      <c r="J65" s="6"/>
      <c r="K65" s="6">
        <f t="shared" si="22"/>
        <v>0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>
        <f t="shared" si="19"/>
        <v>0</v>
      </c>
      <c r="X65" s="6"/>
      <c r="Y65" s="6" t="s">
        <v>82</v>
      </c>
      <c r="Z65" s="18"/>
      <c r="AA65" s="6" t="s">
        <v>43</v>
      </c>
      <c r="AB65" s="6"/>
      <c r="AC65" s="6"/>
      <c r="AD65" s="6"/>
      <c r="AE65" s="6"/>
      <c r="AF65" s="6"/>
      <c r="AG65" s="6"/>
      <c r="AH65" s="6"/>
      <c r="AI65" s="8">
        <f t="shared" si="9"/>
        <v>0</v>
      </c>
      <c r="AJ65" s="8"/>
      <c r="AK65" s="6"/>
      <c r="AL65" s="6"/>
      <c r="AM65" s="6"/>
      <c r="AN65" s="6"/>
      <c r="AO65" s="6"/>
      <c r="AP65" s="6"/>
      <c r="AQ65" s="6"/>
      <c r="AR65" s="6"/>
      <c r="AS65" s="8">
        <f t="shared" si="18"/>
        <v>0</v>
      </c>
      <c r="AT65" s="8"/>
      <c r="AU65" s="6">
        <v>0</v>
      </c>
      <c r="AV65" s="6"/>
      <c r="AW65" s="6">
        <v>0</v>
      </c>
      <c r="AX65" s="6"/>
      <c r="AY65" s="6">
        <f t="shared" si="20"/>
        <v>0</v>
      </c>
      <c r="AZ65" s="6"/>
      <c r="BA65" s="6" t="s">
        <v>82</v>
      </c>
      <c r="BB65" s="18"/>
      <c r="BC65" s="6" t="s">
        <v>43</v>
      </c>
      <c r="BD65" s="6"/>
      <c r="BE65" s="6"/>
      <c r="BF65" s="6"/>
      <c r="BG65" s="6"/>
      <c r="BH65" s="6"/>
      <c r="BI65" s="6"/>
      <c r="BJ65" s="6"/>
      <c r="BK65" s="6"/>
      <c r="BL65" s="6"/>
      <c r="BM65" s="6">
        <f t="shared" si="10"/>
        <v>0</v>
      </c>
      <c r="BN65" s="17" t="s">
        <v>345</v>
      </c>
      <c r="BO65" s="18" t="s">
        <v>369</v>
      </c>
    </row>
    <row r="66" spans="1:67" ht="12.75" hidden="1" customHeight="1" x14ac:dyDescent="0.2">
      <c r="A66" s="6" t="s">
        <v>83</v>
      </c>
      <c r="C66" s="6" t="s">
        <v>83</v>
      </c>
      <c r="D66" s="6"/>
      <c r="E66" s="6">
        <f t="shared" si="21"/>
        <v>0</v>
      </c>
      <c r="F66" s="6"/>
      <c r="G66" s="6"/>
      <c r="H66" s="6"/>
      <c r="I66" s="6"/>
      <c r="J66" s="6"/>
      <c r="K66" s="6">
        <f t="shared" si="22"/>
        <v>0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>
        <f t="shared" si="19"/>
        <v>0</v>
      </c>
      <c r="X66" s="6"/>
      <c r="Y66" s="6" t="s">
        <v>83</v>
      </c>
      <c r="Z66" s="18"/>
      <c r="AA66" s="6" t="s">
        <v>83</v>
      </c>
      <c r="AB66" s="6"/>
      <c r="AC66" s="6"/>
      <c r="AD66" s="6"/>
      <c r="AE66" s="6"/>
      <c r="AF66" s="6"/>
      <c r="AG66" s="6"/>
      <c r="AH66" s="6"/>
      <c r="AI66" s="8">
        <f t="shared" si="9"/>
        <v>0</v>
      </c>
      <c r="AJ66" s="8"/>
      <c r="AK66" s="6"/>
      <c r="AL66" s="6"/>
      <c r="AM66" s="6"/>
      <c r="AN66" s="6"/>
      <c r="AO66" s="6"/>
      <c r="AP66" s="6"/>
      <c r="AQ66" s="6"/>
      <c r="AR66" s="6"/>
      <c r="AS66" s="8">
        <f t="shared" si="18"/>
        <v>0</v>
      </c>
      <c r="AT66" s="8"/>
      <c r="AU66" s="6">
        <v>0</v>
      </c>
      <c r="AV66" s="6"/>
      <c r="AW66" s="6">
        <v>0</v>
      </c>
      <c r="AX66" s="6"/>
      <c r="AY66" s="6">
        <f t="shared" si="20"/>
        <v>0</v>
      </c>
      <c r="AZ66" s="6"/>
      <c r="BA66" s="6" t="s">
        <v>83</v>
      </c>
      <c r="BB66" s="18"/>
      <c r="BC66" s="6" t="s">
        <v>83</v>
      </c>
      <c r="BD66" s="6"/>
      <c r="BE66" s="6"/>
      <c r="BF66" s="6"/>
      <c r="BG66" s="6"/>
      <c r="BH66" s="6"/>
      <c r="BI66" s="6"/>
      <c r="BJ66" s="6"/>
      <c r="BK66" s="6"/>
      <c r="BL66" s="6"/>
      <c r="BM66" s="6">
        <f t="shared" si="10"/>
        <v>0</v>
      </c>
      <c r="BN66" s="17" t="s">
        <v>345</v>
      </c>
    </row>
    <row r="67" spans="1:67" ht="12.75" hidden="1" customHeight="1" x14ac:dyDescent="0.2">
      <c r="A67" s="6" t="s">
        <v>84</v>
      </c>
      <c r="C67" s="6" t="s">
        <v>84</v>
      </c>
      <c r="D67" s="6"/>
      <c r="E67" s="6">
        <f t="shared" si="21"/>
        <v>0</v>
      </c>
      <c r="F67" s="6"/>
      <c r="G67" s="6"/>
      <c r="H67" s="6"/>
      <c r="I67" s="6"/>
      <c r="J67" s="6"/>
      <c r="K67" s="6">
        <f t="shared" si="22"/>
        <v>0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>
        <f t="shared" si="19"/>
        <v>0</v>
      </c>
      <c r="X67" s="6"/>
      <c r="Y67" s="6" t="s">
        <v>84</v>
      </c>
      <c r="Z67" s="18"/>
      <c r="AA67" s="6" t="s">
        <v>84</v>
      </c>
      <c r="AB67" s="6"/>
      <c r="AC67" s="6"/>
      <c r="AD67" s="6"/>
      <c r="AE67" s="6"/>
      <c r="AF67" s="6"/>
      <c r="AG67" s="6"/>
      <c r="AH67" s="6"/>
      <c r="AI67" s="8">
        <f t="shared" si="9"/>
        <v>0</v>
      </c>
      <c r="AJ67" s="8"/>
      <c r="AK67" s="6"/>
      <c r="AL67" s="6"/>
      <c r="AM67" s="6"/>
      <c r="AN67" s="6"/>
      <c r="AO67" s="6"/>
      <c r="AP67" s="6"/>
      <c r="AQ67" s="6"/>
      <c r="AR67" s="6"/>
      <c r="AS67" s="8">
        <f t="shared" si="18"/>
        <v>0</v>
      </c>
      <c r="AT67" s="8"/>
      <c r="AU67" s="6">
        <v>0</v>
      </c>
      <c r="AV67" s="6"/>
      <c r="AW67" s="6">
        <v>0</v>
      </c>
      <c r="AX67" s="6"/>
      <c r="AY67" s="6">
        <f t="shared" si="20"/>
        <v>0</v>
      </c>
      <c r="AZ67" s="6"/>
      <c r="BA67" s="6" t="s">
        <v>84</v>
      </c>
      <c r="BB67" s="18"/>
      <c r="BC67" s="6" t="s">
        <v>84</v>
      </c>
      <c r="BD67" s="6"/>
      <c r="BE67" s="6"/>
      <c r="BF67" s="6"/>
      <c r="BG67" s="6"/>
      <c r="BH67" s="6"/>
      <c r="BI67" s="6"/>
      <c r="BJ67" s="6"/>
      <c r="BK67" s="6"/>
      <c r="BL67" s="6"/>
      <c r="BM67" s="6">
        <f t="shared" ref="BM67:BM100" si="28">SUM(BE67:BK67)</f>
        <v>0</v>
      </c>
      <c r="BN67" s="17" t="s">
        <v>345</v>
      </c>
    </row>
    <row r="68" spans="1:67" s="36" customFormat="1" ht="12.75" hidden="1" customHeight="1" x14ac:dyDescent="0.2">
      <c r="A68" s="19" t="s">
        <v>85</v>
      </c>
      <c r="C68" s="19" t="s">
        <v>86</v>
      </c>
      <c r="D68" s="19"/>
      <c r="E68" s="6">
        <f t="shared" si="21"/>
        <v>0</v>
      </c>
      <c r="F68" s="6"/>
      <c r="G68" s="6"/>
      <c r="H68" s="6"/>
      <c r="I68" s="6"/>
      <c r="J68" s="6"/>
      <c r="K68" s="6">
        <f t="shared" si="22"/>
        <v>0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>
        <f t="shared" si="19"/>
        <v>0</v>
      </c>
      <c r="X68" s="19"/>
      <c r="Y68" s="19" t="s">
        <v>85</v>
      </c>
      <c r="AA68" s="19" t="s">
        <v>86</v>
      </c>
      <c r="AB68" s="19"/>
      <c r="AC68" s="6"/>
      <c r="AD68" s="6"/>
      <c r="AE68" s="6"/>
      <c r="AF68" s="6"/>
      <c r="AG68" s="6"/>
      <c r="AH68" s="6"/>
      <c r="AI68" s="8">
        <f t="shared" si="9"/>
        <v>0</v>
      </c>
      <c r="AJ68" s="8"/>
      <c r="AK68" s="6"/>
      <c r="AL68" s="6"/>
      <c r="AM68" s="6"/>
      <c r="AN68" s="6"/>
      <c r="AO68" s="6"/>
      <c r="AP68" s="6"/>
      <c r="AQ68" s="6"/>
      <c r="AR68" s="6"/>
      <c r="AS68" s="8">
        <f t="shared" si="18"/>
        <v>0</v>
      </c>
      <c r="AT68" s="8"/>
      <c r="AU68" s="6">
        <v>0</v>
      </c>
      <c r="AV68" s="6"/>
      <c r="AW68" s="6">
        <v>0</v>
      </c>
      <c r="AX68" s="6"/>
      <c r="AY68" s="6">
        <f t="shared" si="20"/>
        <v>0</v>
      </c>
      <c r="AZ68" s="19"/>
      <c r="BA68" s="19" t="s">
        <v>85</v>
      </c>
      <c r="BC68" s="19" t="s">
        <v>86</v>
      </c>
      <c r="BD68" s="19"/>
      <c r="BE68" s="6"/>
      <c r="BF68" s="6"/>
      <c r="BG68" s="6"/>
      <c r="BH68" s="6"/>
      <c r="BI68" s="6"/>
      <c r="BJ68" s="6"/>
      <c r="BK68" s="6"/>
      <c r="BL68" s="19"/>
      <c r="BM68" s="19">
        <f t="shared" si="28"/>
        <v>0</v>
      </c>
      <c r="BN68" s="37" t="s">
        <v>345</v>
      </c>
    </row>
    <row r="69" spans="1:67" ht="12.75" customHeight="1" x14ac:dyDescent="0.2">
      <c r="A69" s="6" t="s">
        <v>392</v>
      </c>
      <c r="C69" s="6" t="s">
        <v>87</v>
      </c>
      <c r="D69" s="6"/>
      <c r="E69" s="6">
        <v>7769895</v>
      </c>
      <c r="F69" s="6"/>
      <c r="G69" s="6">
        <v>23252090</v>
      </c>
      <c r="H69" s="6"/>
      <c r="I69" s="6">
        <f>+E69+G69</f>
        <v>31021985</v>
      </c>
      <c r="J69" s="6"/>
      <c r="K69" s="6">
        <v>3792355</v>
      </c>
      <c r="L69" s="6"/>
      <c r="M69" s="6">
        <v>11818723</v>
      </c>
      <c r="N69" s="6"/>
      <c r="O69" s="6">
        <f>+K69+M69</f>
        <v>15611078</v>
      </c>
      <c r="P69" s="6"/>
      <c r="Q69" s="6">
        <v>7207698</v>
      </c>
      <c r="R69" s="6"/>
      <c r="S69" s="6">
        <f>913853+2036785</f>
        <v>2950638</v>
      </c>
      <c r="T69" s="6"/>
      <c r="U69" s="6">
        <v>5252571</v>
      </c>
      <c r="V69" s="6"/>
      <c r="W69" s="6">
        <f t="shared" si="19"/>
        <v>15410907</v>
      </c>
      <c r="X69" s="6"/>
      <c r="Y69" s="6" t="s">
        <v>392</v>
      </c>
      <c r="Z69" s="18"/>
      <c r="AA69" s="6" t="s">
        <v>87</v>
      </c>
      <c r="AB69" s="6"/>
      <c r="AC69" s="6">
        <v>22115136</v>
      </c>
      <c r="AD69" s="6"/>
      <c r="AE69" s="6">
        <f>21061142-861489</f>
        <v>20199653</v>
      </c>
      <c r="AF69" s="6"/>
      <c r="AG69" s="6">
        <v>861489</v>
      </c>
      <c r="AH69" s="6"/>
      <c r="AI69" s="8">
        <f t="shared" si="9"/>
        <v>1053994</v>
      </c>
      <c r="AJ69" s="8"/>
      <c r="AK69" s="6">
        <v>-972658</v>
      </c>
      <c r="AL69" s="6"/>
      <c r="AM69" s="6">
        <v>0</v>
      </c>
      <c r="AN69" s="6"/>
      <c r="AO69" s="6">
        <v>0</v>
      </c>
      <c r="AP69" s="6"/>
      <c r="AQ69" s="6">
        <v>0</v>
      </c>
      <c r="AR69" s="6"/>
      <c r="AS69" s="8">
        <f t="shared" si="18"/>
        <v>81336</v>
      </c>
      <c r="AT69" s="8"/>
      <c r="AU69" s="6">
        <v>0</v>
      </c>
      <c r="AV69" s="6"/>
      <c r="AW69" s="6">
        <v>0</v>
      </c>
      <c r="AX69" s="6"/>
      <c r="AY69" s="6">
        <f t="shared" si="20"/>
        <v>3977540</v>
      </c>
      <c r="AZ69" s="6"/>
      <c r="BA69" s="6" t="s">
        <v>392</v>
      </c>
      <c r="BB69" s="18"/>
      <c r="BC69" s="6" t="s">
        <v>87</v>
      </c>
      <c r="BD69" s="6"/>
      <c r="BE69" s="6">
        <f>6491726+305000</f>
        <v>6796726</v>
      </c>
      <c r="BF69" s="6"/>
      <c r="BG69" s="6">
        <f>5027468+700000</f>
        <v>5727468</v>
      </c>
      <c r="BH69" s="6"/>
      <c r="BI69" s="6">
        <v>0</v>
      </c>
      <c r="BJ69" s="6"/>
      <c r="BK69" s="6">
        <f>299529+105063</f>
        <v>404592</v>
      </c>
      <c r="BL69" s="6"/>
      <c r="BM69" s="6">
        <f t="shared" si="28"/>
        <v>12928786</v>
      </c>
      <c r="BN69" s="17" t="s">
        <v>345</v>
      </c>
      <c r="BO69" s="18" t="s">
        <v>313</v>
      </c>
    </row>
    <row r="70" spans="1:67" ht="12.75" hidden="1" customHeight="1" x14ac:dyDescent="0.2">
      <c r="A70" s="6" t="s">
        <v>88</v>
      </c>
      <c r="C70" s="6" t="s">
        <v>41</v>
      </c>
      <c r="D70" s="6"/>
      <c r="E70" s="6">
        <f t="shared" si="21"/>
        <v>0</v>
      </c>
      <c r="F70" s="6"/>
      <c r="G70" s="6"/>
      <c r="H70" s="6"/>
      <c r="I70" s="6"/>
      <c r="J70" s="6"/>
      <c r="K70" s="6">
        <f t="shared" si="22"/>
        <v>0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>
        <f t="shared" si="19"/>
        <v>0</v>
      </c>
      <c r="X70" s="6"/>
      <c r="Y70" s="6" t="s">
        <v>88</v>
      </c>
      <c r="Z70" s="18"/>
      <c r="AA70" s="6" t="s">
        <v>41</v>
      </c>
      <c r="AB70" s="6"/>
      <c r="AC70" s="6"/>
      <c r="AD70" s="6"/>
      <c r="AE70" s="6"/>
      <c r="AF70" s="6"/>
      <c r="AG70" s="6"/>
      <c r="AH70" s="6"/>
      <c r="AI70" s="8">
        <f t="shared" si="9"/>
        <v>0</v>
      </c>
      <c r="AJ70" s="8"/>
      <c r="AK70" s="6"/>
      <c r="AL70" s="6"/>
      <c r="AM70" s="6"/>
      <c r="AN70" s="6"/>
      <c r="AO70" s="6"/>
      <c r="AP70" s="6"/>
      <c r="AQ70" s="6"/>
      <c r="AR70" s="6"/>
      <c r="AS70" s="8">
        <f t="shared" si="18"/>
        <v>0</v>
      </c>
      <c r="AT70" s="8"/>
      <c r="AU70" s="6">
        <v>0</v>
      </c>
      <c r="AV70" s="6"/>
      <c r="AW70" s="6">
        <v>0</v>
      </c>
      <c r="AX70" s="6"/>
      <c r="AY70" s="6">
        <f t="shared" si="20"/>
        <v>0</v>
      </c>
      <c r="AZ70" s="6"/>
      <c r="BA70" s="6" t="s">
        <v>88</v>
      </c>
      <c r="BB70" s="18"/>
      <c r="BC70" s="6" t="s">
        <v>41</v>
      </c>
      <c r="BD70" s="6"/>
      <c r="BE70" s="6"/>
      <c r="BF70" s="6"/>
      <c r="BG70" s="6"/>
      <c r="BH70" s="6"/>
      <c r="BI70" s="6"/>
      <c r="BJ70" s="6"/>
      <c r="BK70" s="6"/>
      <c r="BL70" s="6"/>
      <c r="BM70" s="6">
        <f t="shared" si="28"/>
        <v>0</v>
      </c>
      <c r="BN70" s="17" t="s">
        <v>345</v>
      </c>
    </row>
    <row r="71" spans="1:67" ht="12.75" hidden="1" customHeight="1" x14ac:dyDescent="0.2">
      <c r="A71" s="6" t="s">
        <v>91</v>
      </c>
      <c r="C71" s="6" t="s">
        <v>92</v>
      </c>
      <c r="D71" s="6"/>
      <c r="E71" s="6">
        <f t="shared" si="21"/>
        <v>0</v>
      </c>
      <c r="F71" s="6"/>
      <c r="G71" s="6"/>
      <c r="H71" s="6"/>
      <c r="I71" s="6"/>
      <c r="J71" s="6"/>
      <c r="K71" s="6">
        <f t="shared" si="22"/>
        <v>0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>
        <f t="shared" si="19"/>
        <v>0</v>
      </c>
      <c r="X71" s="6"/>
      <c r="Y71" s="6" t="s">
        <v>91</v>
      </c>
      <c r="Z71" s="18"/>
      <c r="AA71" s="6" t="s">
        <v>92</v>
      </c>
      <c r="AB71" s="6"/>
      <c r="AC71" s="6"/>
      <c r="AD71" s="6"/>
      <c r="AE71" s="6"/>
      <c r="AF71" s="6"/>
      <c r="AG71" s="6"/>
      <c r="AH71" s="6"/>
      <c r="AI71" s="8">
        <f t="shared" si="9"/>
        <v>0</v>
      </c>
      <c r="AJ71" s="8"/>
      <c r="AK71" s="6"/>
      <c r="AL71" s="6"/>
      <c r="AM71" s="6"/>
      <c r="AN71" s="6"/>
      <c r="AO71" s="6"/>
      <c r="AP71" s="6"/>
      <c r="AQ71" s="6"/>
      <c r="AR71" s="6"/>
      <c r="AS71" s="8">
        <f t="shared" si="18"/>
        <v>0</v>
      </c>
      <c r="AT71" s="8"/>
      <c r="AU71" s="6">
        <v>0</v>
      </c>
      <c r="AV71" s="6"/>
      <c r="AW71" s="6">
        <v>0</v>
      </c>
      <c r="AX71" s="6"/>
      <c r="AY71" s="6">
        <f t="shared" si="20"/>
        <v>0</v>
      </c>
      <c r="AZ71" s="6"/>
      <c r="BA71" s="6" t="s">
        <v>91</v>
      </c>
      <c r="BB71" s="18"/>
      <c r="BC71" s="6" t="s">
        <v>92</v>
      </c>
      <c r="BD71" s="6"/>
      <c r="BE71" s="6"/>
      <c r="BF71" s="6"/>
      <c r="BG71" s="6"/>
      <c r="BH71" s="6"/>
      <c r="BI71" s="6"/>
      <c r="BJ71" s="6"/>
      <c r="BK71" s="6"/>
      <c r="BL71" s="6"/>
      <c r="BM71" s="6">
        <f t="shared" si="28"/>
        <v>0</v>
      </c>
      <c r="BN71" s="17" t="s">
        <v>345</v>
      </c>
    </row>
    <row r="72" spans="1:67" ht="12.75" hidden="1" customHeight="1" x14ac:dyDescent="0.2">
      <c r="A72" s="6" t="s">
        <v>93</v>
      </c>
      <c r="C72" s="6" t="s">
        <v>92</v>
      </c>
      <c r="D72" s="6"/>
      <c r="E72" s="6">
        <f t="shared" si="21"/>
        <v>0</v>
      </c>
      <c r="F72" s="6"/>
      <c r="G72" s="6"/>
      <c r="H72" s="6"/>
      <c r="I72" s="6"/>
      <c r="J72" s="6"/>
      <c r="K72" s="6">
        <f t="shared" si="22"/>
        <v>0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>
        <f t="shared" si="19"/>
        <v>0</v>
      </c>
      <c r="X72" s="6"/>
      <c r="Y72" s="6" t="s">
        <v>93</v>
      </c>
      <c r="Z72" s="18"/>
      <c r="AA72" s="6" t="s">
        <v>92</v>
      </c>
      <c r="AB72" s="6"/>
      <c r="AC72" s="6"/>
      <c r="AD72" s="6"/>
      <c r="AE72" s="6"/>
      <c r="AF72" s="6"/>
      <c r="AG72" s="6"/>
      <c r="AH72" s="6"/>
      <c r="AI72" s="8">
        <f t="shared" si="9"/>
        <v>0</v>
      </c>
      <c r="AJ72" s="8"/>
      <c r="AK72" s="6"/>
      <c r="AL72" s="6"/>
      <c r="AM72" s="6"/>
      <c r="AN72" s="6"/>
      <c r="AO72" s="6"/>
      <c r="AP72" s="6"/>
      <c r="AQ72" s="6"/>
      <c r="AR72" s="6"/>
      <c r="AS72" s="8">
        <f t="shared" si="18"/>
        <v>0</v>
      </c>
      <c r="AT72" s="8"/>
      <c r="AU72" s="6">
        <v>0</v>
      </c>
      <c r="AV72" s="6"/>
      <c r="AW72" s="6">
        <v>0</v>
      </c>
      <c r="AX72" s="6"/>
      <c r="AY72" s="6">
        <f t="shared" si="20"/>
        <v>0</v>
      </c>
      <c r="AZ72" s="6"/>
      <c r="BA72" s="6" t="s">
        <v>93</v>
      </c>
      <c r="BB72" s="18"/>
      <c r="BC72" s="6" t="s">
        <v>92</v>
      </c>
      <c r="BD72" s="6"/>
      <c r="BE72" s="6"/>
      <c r="BF72" s="6"/>
      <c r="BG72" s="6"/>
      <c r="BH72" s="6"/>
      <c r="BI72" s="6"/>
      <c r="BJ72" s="6"/>
      <c r="BK72" s="6"/>
      <c r="BL72" s="6"/>
      <c r="BM72" s="6">
        <f t="shared" si="28"/>
        <v>0</v>
      </c>
      <c r="BN72" s="17" t="s">
        <v>345</v>
      </c>
    </row>
    <row r="73" spans="1:67" ht="12.75" hidden="1" customHeight="1" x14ac:dyDescent="0.2">
      <c r="A73" s="6" t="s">
        <v>89</v>
      </c>
      <c r="C73" s="6" t="s">
        <v>90</v>
      </c>
      <c r="D73" s="6"/>
      <c r="E73" s="6">
        <f t="shared" si="21"/>
        <v>0</v>
      </c>
      <c r="F73" s="6"/>
      <c r="G73" s="6"/>
      <c r="H73" s="6"/>
      <c r="I73" s="6"/>
      <c r="J73" s="6"/>
      <c r="K73" s="6">
        <f t="shared" si="22"/>
        <v>0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>
        <f t="shared" si="19"/>
        <v>0</v>
      </c>
      <c r="X73" s="6"/>
      <c r="Y73" s="6" t="s">
        <v>89</v>
      </c>
      <c r="Z73" s="18"/>
      <c r="AA73" s="6" t="s">
        <v>90</v>
      </c>
      <c r="AB73" s="6"/>
      <c r="AC73" s="6"/>
      <c r="AD73" s="6"/>
      <c r="AE73" s="6"/>
      <c r="AF73" s="6"/>
      <c r="AG73" s="6"/>
      <c r="AH73" s="6"/>
      <c r="AI73" s="8">
        <f t="shared" si="9"/>
        <v>0</v>
      </c>
      <c r="AJ73" s="8"/>
      <c r="AK73" s="6"/>
      <c r="AL73" s="6"/>
      <c r="AM73" s="6"/>
      <c r="AN73" s="6"/>
      <c r="AO73" s="6"/>
      <c r="AP73" s="6"/>
      <c r="AQ73" s="6"/>
      <c r="AR73" s="6"/>
      <c r="AS73" s="8">
        <f t="shared" si="18"/>
        <v>0</v>
      </c>
      <c r="AT73" s="8"/>
      <c r="AU73" s="6">
        <v>0</v>
      </c>
      <c r="AV73" s="6"/>
      <c r="AW73" s="6">
        <v>0</v>
      </c>
      <c r="AX73" s="6"/>
      <c r="AY73" s="6">
        <f t="shared" si="20"/>
        <v>0</v>
      </c>
      <c r="AZ73" s="6"/>
      <c r="BA73" s="6" t="s">
        <v>89</v>
      </c>
      <c r="BB73" s="18"/>
      <c r="BC73" s="6" t="s">
        <v>90</v>
      </c>
      <c r="BD73" s="6"/>
      <c r="BE73" s="6"/>
      <c r="BF73" s="6"/>
      <c r="BG73" s="6"/>
      <c r="BH73" s="6"/>
      <c r="BI73" s="6"/>
      <c r="BJ73" s="6"/>
      <c r="BK73" s="6"/>
      <c r="BL73" s="6"/>
      <c r="BM73" s="6">
        <f t="shared" si="28"/>
        <v>0</v>
      </c>
      <c r="BN73" s="17" t="s">
        <v>345</v>
      </c>
    </row>
    <row r="74" spans="1:67" ht="12.75" hidden="1" customHeight="1" x14ac:dyDescent="0.2">
      <c r="A74" s="6" t="s">
        <v>94</v>
      </c>
      <c r="C74" s="6" t="s">
        <v>95</v>
      </c>
      <c r="D74" s="6"/>
      <c r="E74" s="6">
        <f t="shared" si="21"/>
        <v>0</v>
      </c>
      <c r="F74" s="6"/>
      <c r="G74" s="6"/>
      <c r="H74" s="6"/>
      <c r="I74" s="6"/>
      <c r="J74" s="6"/>
      <c r="K74" s="6">
        <f t="shared" si="22"/>
        <v>0</v>
      </c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>
        <f t="shared" si="19"/>
        <v>0</v>
      </c>
      <c r="X74" s="6"/>
      <c r="Y74" s="6" t="s">
        <v>94</v>
      </c>
      <c r="Z74" s="18"/>
      <c r="AA74" s="6" t="s">
        <v>95</v>
      </c>
      <c r="AB74" s="6"/>
      <c r="AC74" s="6"/>
      <c r="AD74" s="6"/>
      <c r="AE74" s="6"/>
      <c r="AF74" s="6"/>
      <c r="AG74" s="6"/>
      <c r="AH74" s="6"/>
      <c r="AI74" s="8">
        <f t="shared" si="9"/>
        <v>0</v>
      </c>
      <c r="AJ74" s="8"/>
      <c r="AK74" s="6"/>
      <c r="AL74" s="6"/>
      <c r="AM74" s="6"/>
      <c r="AN74" s="6"/>
      <c r="AO74" s="6"/>
      <c r="AP74" s="6"/>
      <c r="AQ74" s="6"/>
      <c r="AR74" s="6"/>
      <c r="AS74" s="8">
        <f t="shared" si="18"/>
        <v>0</v>
      </c>
      <c r="AT74" s="8"/>
      <c r="AU74" s="6">
        <v>0</v>
      </c>
      <c r="AV74" s="6"/>
      <c r="AW74" s="6">
        <v>0</v>
      </c>
      <c r="AX74" s="6"/>
      <c r="AY74" s="6">
        <f t="shared" si="20"/>
        <v>0</v>
      </c>
      <c r="AZ74" s="6"/>
      <c r="BA74" s="6" t="s">
        <v>94</v>
      </c>
      <c r="BB74" s="18"/>
      <c r="BC74" s="6" t="s">
        <v>95</v>
      </c>
      <c r="BD74" s="6"/>
      <c r="BE74" s="6"/>
      <c r="BF74" s="6"/>
      <c r="BG74" s="6"/>
      <c r="BH74" s="6"/>
      <c r="BI74" s="6"/>
      <c r="BJ74" s="6"/>
      <c r="BK74" s="6"/>
      <c r="BL74" s="6"/>
      <c r="BM74" s="6">
        <f t="shared" si="28"/>
        <v>0</v>
      </c>
      <c r="BN74" s="17" t="s">
        <v>345</v>
      </c>
    </row>
    <row r="75" spans="1:67" ht="12.75" hidden="1" customHeight="1" x14ac:dyDescent="0.2">
      <c r="A75" s="6" t="s">
        <v>96</v>
      </c>
      <c r="C75" s="6" t="s">
        <v>15</v>
      </c>
      <c r="D75" s="6"/>
      <c r="E75" s="6">
        <f t="shared" si="21"/>
        <v>0</v>
      </c>
      <c r="F75" s="6"/>
      <c r="G75" s="6"/>
      <c r="H75" s="6"/>
      <c r="I75" s="6"/>
      <c r="J75" s="6"/>
      <c r="K75" s="6">
        <f t="shared" si="22"/>
        <v>0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>
        <f t="shared" si="19"/>
        <v>0</v>
      </c>
      <c r="X75" s="6"/>
      <c r="Y75" s="6" t="s">
        <v>96</v>
      </c>
      <c r="Z75" s="18"/>
      <c r="AA75" s="6" t="s">
        <v>15</v>
      </c>
      <c r="AB75" s="6"/>
      <c r="AC75" s="6"/>
      <c r="AD75" s="6"/>
      <c r="AE75" s="6"/>
      <c r="AF75" s="6"/>
      <c r="AG75" s="6"/>
      <c r="AH75" s="6"/>
      <c r="AI75" s="8">
        <f t="shared" si="9"/>
        <v>0</v>
      </c>
      <c r="AJ75" s="8"/>
      <c r="AK75" s="6"/>
      <c r="AL75" s="6"/>
      <c r="AM75" s="6"/>
      <c r="AN75" s="6"/>
      <c r="AO75" s="6"/>
      <c r="AP75" s="6"/>
      <c r="AQ75" s="6"/>
      <c r="AR75" s="6"/>
      <c r="AS75" s="8">
        <f t="shared" si="18"/>
        <v>0</v>
      </c>
      <c r="AT75" s="8"/>
      <c r="AU75" s="6">
        <v>0</v>
      </c>
      <c r="AV75" s="6"/>
      <c r="AW75" s="6">
        <v>0</v>
      </c>
      <c r="AX75" s="6"/>
      <c r="AY75" s="6">
        <f t="shared" si="20"/>
        <v>0</v>
      </c>
      <c r="AZ75" s="6"/>
      <c r="BA75" s="6" t="s">
        <v>96</v>
      </c>
      <c r="BB75" s="18"/>
      <c r="BC75" s="6" t="s">
        <v>15</v>
      </c>
      <c r="BD75" s="6"/>
      <c r="BE75" s="6"/>
      <c r="BF75" s="6"/>
      <c r="BG75" s="6"/>
      <c r="BH75" s="6"/>
      <c r="BI75" s="6"/>
      <c r="BJ75" s="6"/>
      <c r="BK75" s="6"/>
      <c r="BL75" s="6"/>
      <c r="BM75" s="6">
        <f t="shared" si="28"/>
        <v>0</v>
      </c>
      <c r="BN75" s="17" t="s">
        <v>345</v>
      </c>
    </row>
    <row r="76" spans="1:67" ht="12.75" hidden="1" customHeight="1" x14ac:dyDescent="0.2">
      <c r="A76" s="6" t="s">
        <v>97</v>
      </c>
      <c r="C76" s="6" t="s">
        <v>64</v>
      </c>
      <c r="D76" s="6"/>
      <c r="E76" s="6">
        <f t="shared" si="21"/>
        <v>0</v>
      </c>
      <c r="F76" s="6"/>
      <c r="G76" s="6"/>
      <c r="H76" s="6"/>
      <c r="I76" s="6"/>
      <c r="J76" s="6"/>
      <c r="K76" s="6">
        <f t="shared" si="22"/>
        <v>0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>
        <f t="shared" si="19"/>
        <v>0</v>
      </c>
      <c r="X76" s="6"/>
      <c r="Y76" s="6" t="s">
        <v>97</v>
      </c>
      <c r="Z76" s="18"/>
      <c r="AA76" s="6" t="s">
        <v>64</v>
      </c>
      <c r="AB76" s="6"/>
      <c r="AC76" s="6"/>
      <c r="AD76" s="6"/>
      <c r="AE76" s="6"/>
      <c r="AF76" s="6"/>
      <c r="AG76" s="6"/>
      <c r="AH76" s="6"/>
      <c r="AI76" s="8">
        <f t="shared" si="9"/>
        <v>0</v>
      </c>
      <c r="AJ76" s="8"/>
      <c r="AK76" s="6"/>
      <c r="AL76" s="6"/>
      <c r="AM76" s="6"/>
      <c r="AN76" s="6"/>
      <c r="AO76" s="6"/>
      <c r="AP76" s="6"/>
      <c r="AQ76" s="6"/>
      <c r="AR76" s="6"/>
      <c r="AS76" s="8">
        <f t="shared" si="18"/>
        <v>0</v>
      </c>
      <c r="AT76" s="8"/>
      <c r="AU76" s="6">
        <v>0</v>
      </c>
      <c r="AV76" s="6"/>
      <c r="AW76" s="6">
        <v>0</v>
      </c>
      <c r="AX76" s="6"/>
      <c r="AY76" s="6">
        <f t="shared" si="20"/>
        <v>0</v>
      </c>
      <c r="AZ76" s="6"/>
      <c r="BA76" s="6" t="s">
        <v>97</v>
      </c>
      <c r="BB76" s="18"/>
      <c r="BC76" s="6" t="s">
        <v>64</v>
      </c>
      <c r="BD76" s="6"/>
      <c r="BE76" s="6"/>
      <c r="BF76" s="6"/>
      <c r="BG76" s="6"/>
      <c r="BH76" s="6"/>
      <c r="BI76" s="6"/>
      <c r="BJ76" s="6"/>
      <c r="BK76" s="6"/>
      <c r="BL76" s="6"/>
      <c r="BM76" s="6">
        <f t="shared" si="28"/>
        <v>0</v>
      </c>
      <c r="BN76" s="17" t="s">
        <v>345</v>
      </c>
    </row>
    <row r="77" spans="1:67" ht="12.75" hidden="1" customHeight="1" x14ac:dyDescent="0.2">
      <c r="A77" s="6" t="s">
        <v>98</v>
      </c>
      <c r="C77" s="6" t="s">
        <v>25</v>
      </c>
      <c r="D77" s="6"/>
      <c r="E77" s="6">
        <f t="shared" si="21"/>
        <v>0</v>
      </c>
      <c r="F77" s="6"/>
      <c r="G77" s="6"/>
      <c r="H77" s="6"/>
      <c r="I77" s="6"/>
      <c r="J77" s="6"/>
      <c r="K77" s="6">
        <f t="shared" si="22"/>
        <v>0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>
        <f t="shared" si="19"/>
        <v>0</v>
      </c>
      <c r="X77" s="6"/>
      <c r="Y77" s="6" t="s">
        <v>98</v>
      </c>
      <c r="Z77" s="18"/>
      <c r="AA77" s="6" t="s">
        <v>25</v>
      </c>
      <c r="AB77" s="6"/>
      <c r="AC77" s="6"/>
      <c r="AD77" s="6"/>
      <c r="AE77" s="6"/>
      <c r="AF77" s="6"/>
      <c r="AG77" s="6"/>
      <c r="AH77" s="6"/>
      <c r="AI77" s="8">
        <f t="shared" si="9"/>
        <v>0</v>
      </c>
      <c r="AJ77" s="8"/>
      <c r="AK77" s="6"/>
      <c r="AL77" s="6"/>
      <c r="AM77" s="6"/>
      <c r="AN77" s="6"/>
      <c r="AO77" s="6"/>
      <c r="AP77" s="6"/>
      <c r="AQ77" s="6"/>
      <c r="AR77" s="6"/>
      <c r="AS77" s="8">
        <f t="shared" si="18"/>
        <v>0</v>
      </c>
      <c r="AT77" s="8"/>
      <c r="AU77" s="6">
        <v>0</v>
      </c>
      <c r="AV77" s="6"/>
      <c r="AW77" s="6">
        <v>0</v>
      </c>
      <c r="AX77" s="6"/>
      <c r="AY77" s="6">
        <f t="shared" si="20"/>
        <v>0</v>
      </c>
      <c r="AZ77" s="6"/>
      <c r="BA77" s="6" t="s">
        <v>98</v>
      </c>
      <c r="BB77" s="18"/>
      <c r="BC77" s="6" t="s">
        <v>25</v>
      </c>
      <c r="BD77" s="6"/>
      <c r="BE77" s="6"/>
      <c r="BF77" s="6"/>
      <c r="BG77" s="6"/>
      <c r="BH77" s="6"/>
      <c r="BI77" s="6"/>
      <c r="BJ77" s="6"/>
      <c r="BK77" s="6"/>
      <c r="BL77" s="6"/>
      <c r="BM77" s="6">
        <f t="shared" si="28"/>
        <v>0</v>
      </c>
      <c r="BN77" s="17" t="s">
        <v>345</v>
      </c>
    </row>
    <row r="78" spans="1:67" ht="12.75" hidden="1" customHeight="1" x14ac:dyDescent="0.2">
      <c r="A78" s="6" t="s">
        <v>99</v>
      </c>
      <c r="C78" s="6" t="s">
        <v>28</v>
      </c>
      <c r="D78" s="6"/>
      <c r="E78" s="6">
        <f t="shared" si="21"/>
        <v>0</v>
      </c>
      <c r="F78" s="6"/>
      <c r="G78" s="6"/>
      <c r="H78" s="6"/>
      <c r="I78" s="6"/>
      <c r="J78" s="6"/>
      <c r="K78" s="6">
        <f t="shared" si="22"/>
        <v>0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>
        <f t="shared" si="19"/>
        <v>0</v>
      </c>
      <c r="X78" s="6"/>
      <c r="Y78" s="6" t="s">
        <v>99</v>
      </c>
      <c r="Z78" s="18"/>
      <c r="AA78" s="6" t="s">
        <v>28</v>
      </c>
      <c r="AB78" s="6"/>
      <c r="AC78" s="6"/>
      <c r="AD78" s="6"/>
      <c r="AE78" s="6"/>
      <c r="AF78" s="6"/>
      <c r="AG78" s="6"/>
      <c r="AH78" s="6"/>
      <c r="AI78" s="8">
        <f t="shared" si="9"/>
        <v>0</v>
      </c>
      <c r="AJ78" s="8"/>
      <c r="AK78" s="6"/>
      <c r="AL78" s="6"/>
      <c r="AM78" s="6"/>
      <c r="AN78" s="6"/>
      <c r="AO78" s="6"/>
      <c r="AP78" s="6"/>
      <c r="AQ78" s="6"/>
      <c r="AR78" s="6"/>
      <c r="AS78" s="8">
        <f t="shared" si="18"/>
        <v>0</v>
      </c>
      <c r="AT78" s="8"/>
      <c r="AU78" s="6">
        <v>0</v>
      </c>
      <c r="AV78" s="6"/>
      <c r="AW78" s="6">
        <v>0</v>
      </c>
      <c r="AX78" s="6"/>
      <c r="AY78" s="6">
        <f t="shared" si="20"/>
        <v>0</v>
      </c>
      <c r="AZ78" s="6"/>
      <c r="BA78" s="6" t="s">
        <v>99</v>
      </c>
      <c r="BB78" s="18"/>
      <c r="BC78" s="6" t="s">
        <v>28</v>
      </c>
      <c r="BD78" s="6"/>
      <c r="BE78" s="6"/>
      <c r="BF78" s="6"/>
      <c r="BG78" s="6"/>
      <c r="BH78" s="6"/>
      <c r="BI78" s="6"/>
      <c r="BJ78" s="6"/>
      <c r="BK78" s="6"/>
      <c r="BL78" s="6"/>
      <c r="BM78" s="6">
        <f t="shared" si="28"/>
        <v>0</v>
      </c>
      <c r="BN78" s="17" t="s">
        <v>345</v>
      </c>
    </row>
    <row r="79" spans="1:67" ht="12.75" hidden="1" customHeight="1" x14ac:dyDescent="0.2">
      <c r="A79" s="6" t="s">
        <v>100</v>
      </c>
      <c r="C79" s="6" t="s">
        <v>101</v>
      </c>
      <c r="D79" s="6"/>
      <c r="E79" s="6">
        <f t="shared" si="21"/>
        <v>0</v>
      </c>
      <c r="F79" s="6"/>
      <c r="G79" s="6"/>
      <c r="H79" s="6"/>
      <c r="I79" s="6"/>
      <c r="J79" s="6"/>
      <c r="K79" s="6">
        <f t="shared" si="22"/>
        <v>0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>
        <f t="shared" si="19"/>
        <v>0</v>
      </c>
      <c r="X79" s="6"/>
      <c r="Y79" s="6" t="s">
        <v>100</v>
      </c>
      <c r="Z79" s="18"/>
      <c r="AA79" s="6" t="s">
        <v>101</v>
      </c>
      <c r="AB79" s="6"/>
      <c r="AC79" s="6"/>
      <c r="AD79" s="6"/>
      <c r="AE79" s="6"/>
      <c r="AF79" s="6"/>
      <c r="AG79" s="6"/>
      <c r="AH79" s="6"/>
      <c r="AI79" s="8">
        <f t="shared" si="9"/>
        <v>0</v>
      </c>
      <c r="AJ79" s="8"/>
      <c r="AK79" s="6"/>
      <c r="AL79" s="6"/>
      <c r="AM79" s="6"/>
      <c r="AN79" s="6"/>
      <c r="AO79" s="6"/>
      <c r="AP79" s="6"/>
      <c r="AQ79" s="6"/>
      <c r="AR79" s="6"/>
      <c r="AS79" s="8">
        <f t="shared" si="18"/>
        <v>0</v>
      </c>
      <c r="AT79" s="8"/>
      <c r="AU79" s="6">
        <v>0</v>
      </c>
      <c r="AV79" s="6"/>
      <c r="AW79" s="6">
        <v>0</v>
      </c>
      <c r="AX79" s="6"/>
      <c r="AY79" s="6">
        <f t="shared" si="20"/>
        <v>0</v>
      </c>
      <c r="AZ79" s="6"/>
      <c r="BA79" s="6" t="s">
        <v>100</v>
      </c>
      <c r="BB79" s="18"/>
      <c r="BC79" s="6" t="s">
        <v>101</v>
      </c>
      <c r="BD79" s="6"/>
      <c r="BE79" s="6"/>
      <c r="BF79" s="6"/>
      <c r="BG79" s="6"/>
      <c r="BH79" s="6"/>
      <c r="BI79" s="6"/>
      <c r="BJ79" s="6"/>
      <c r="BK79" s="6"/>
      <c r="BL79" s="6"/>
      <c r="BM79" s="6">
        <f t="shared" si="28"/>
        <v>0</v>
      </c>
      <c r="BN79" s="17" t="s">
        <v>345</v>
      </c>
    </row>
    <row r="80" spans="1:67" ht="12.75" hidden="1" customHeight="1" x14ac:dyDescent="0.2">
      <c r="A80" s="6" t="s">
        <v>102</v>
      </c>
      <c r="C80" s="6" t="s">
        <v>11</v>
      </c>
      <c r="D80" s="6"/>
      <c r="E80" s="6">
        <f t="shared" si="21"/>
        <v>0</v>
      </c>
      <c r="F80" s="6"/>
      <c r="G80" s="6"/>
      <c r="H80" s="6"/>
      <c r="I80" s="6"/>
      <c r="J80" s="6"/>
      <c r="K80" s="6">
        <f t="shared" si="22"/>
        <v>0</v>
      </c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>
        <f t="shared" si="19"/>
        <v>0</v>
      </c>
      <c r="X80" s="6"/>
      <c r="Y80" s="6" t="s">
        <v>102</v>
      </c>
      <c r="Z80" s="18"/>
      <c r="AA80" s="6" t="s">
        <v>11</v>
      </c>
      <c r="AB80" s="6"/>
      <c r="AC80" s="6"/>
      <c r="AD80" s="6"/>
      <c r="AE80" s="6"/>
      <c r="AF80" s="6"/>
      <c r="AG80" s="6"/>
      <c r="AH80" s="6"/>
      <c r="AI80" s="8">
        <f t="shared" si="9"/>
        <v>0</v>
      </c>
      <c r="AJ80" s="8"/>
      <c r="AK80" s="6"/>
      <c r="AL80" s="6"/>
      <c r="AM80" s="6"/>
      <c r="AN80" s="6"/>
      <c r="AO80" s="6"/>
      <c r="AP80" s="6"/>
      <c r="AQ80" s="6"/>
      <c r="AR80" s="6"/>
      <c r="AS80" s="8">
        <f t="shared" si="18"/>
        <v>0</v>
      </c>
      <c r="AT80" s="8"/>
      <c r="AU80" s="6">
        <v>0</v>
      </c>
      <c r="AV80" s="6"/>
      <c r="AW80" s="6">
        <v>0</v>
      </c>
      <c r="AX80" s="6"/>
      <c r="AY80" s="6">
        <f t="shared" si="20"/>
        <v>0</v>
      </c>
      <c r="AZ80" s="6"/>
      <c r="BA80" s="6" t="s">
        <v>102</v>
      </c>
      <c r="BB80" s="18"/>
      <c r="BC80" s="6" t="s">
        <v>11</v>
      </c>
      <c r="BD80" s="6"/>
      <c r="BE80" s="6"/>
      <c r="BF80" s="6"/>
      <c r="BG80" s="6"/>
      <c r="BH80" s="6"/>
      <c r="BI80" s="6"/>
      <c r="BJ80" s="6"/>
      <c r="BK80" s="6"/>
      <c r="BL80" s="6"/>
      <c r="BM80" s="6">
        <f t="shared" si="28"/>
        <v>0</v>
      </c>
      <c r="BN80" s="17" t="s">
        <v>345</v>
      </c>
    </row>
    <row r="81" spans="1:67" ht="12.75" hidden="1" customHeight="1" x14ac:dyDescent="0.2">
      <c r="A81" s="6" t="s">
        <v>103</v>
      </c>
      <c r="C81" s="6" t="s">
        <v>25</v>
      </c>
      <c r="D81" s="6"/>
      <c r="E81" s="6">
        <f t="shared" si="21"/>
        <v>0</v>
      </c>
      <c r="F81" s="6"/>
      <c r="G81" s="6"/>
      <c r="H81" s="6"/>
      <c r="I81" s="6"/>
      <c r="J81" s="6"/>
      <c r="K81" s="6">
        <f t="shared" si="22"/>
        <v>0</v>
      </c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>
        <f t="shared" si="19"/>
        <v>0</v>
      </c>
      <c r="X81" s="6"/>
      <c r="Y81" s="6" t="s">
        <v>103</v>
      </c>
      <c r="Z81" s="18"/>
      <c r="AA81" s="6" t="s">
        <v>25</v>
      </c>
      <c r="AB81" s="6"/>
      <c r="AC81" s="6"/>
      <c r="AD81" s="6"/>
      <c r="AE81" s="6"/>
      <c r="AF81" s="6"/>
      <c r="AG81" s="6"/>
      <c r="AH81" s="6"/>
      <c r="AI81" s="8">
        <f t="shared" si="9"/>
        <v>0</v>
      </c>
      <c r="AJ81" s="8"/>
      <c r="AK81" s="6"/>
      <c r="AL81" s="6"/>
      <c r="AM81" s="6"/>
      <c r="AN81" s="6"/>
      <c r="AO81" s="6"/>
      <c r="AP81" s="6"/>
      <c r="AQ81" s="6"/>
      <c r="AR81" s="6"/>
      <c r="AS81" s="8">
        <f t="shared" si="18"/>
        <v>0</v>
      </c>
      <c r="AT81" s="8"/>
      <c r="AU81" s="6">
        <v>0</v>
      </c>
      <c r="AV81" s="6"/>
      <c r="AW81" s="6">
        <v>0</v>
      </c>
      <c r="AX81" s="6"/>
      <c r="AY81" s="6">
        <f t="shared" si="20"/>
        <v>0</v>
      </c>
      <c r="AZ81" s="6"/>
      <c r="BA81" s="6" t="s">
        <v>103</v>
      </c>
      <c r="BB81" s="18"/>
      <c r="BC81" s="6" t="s">
        <v>25</v>
      </c>
      <c r="BD81" s="6"/>
      <c r="BE81" s="6"/>
      <c r="BF81" s="6"/>
      <c r="BG81" s="6"/>
      <c r="BH81" s="6"/>
      <c r="BI81" s="6"/>
      <c r="BJ81" s="6"/>
      <c r="BK81" s="6"/>
      <c r="BL81" s="6"/>
      <c r="BM81" s="6">
        <f t="shared" si="28"/>
        <v>0</v>
      </c>
      <c r="BN81" s="17" t="s">
        <v>345</v>
      </c>
    </row>
    <row r="82" spans="1:67" ht="12.75" hidden="1" customHeight="1" x14ac:dyDescent="0.2">
      <c r="A82" s="6" t="s">
        <v>104</v>
      </c>
      <c r="C82" s="6" t="s">
        <v>105</v>
      </c>
      <c r="D82" s="6"/>
      <c r="E82" s="6">
        <f t="shared" si="21"/>
        <v>0</v>
      </c>
      <c r="F82" s="6"/>
      <c r="G82" s="6"/>
      <c r="H82" s="6"/>
      <c r="I82" s="6"/>
      <c r="J82" s="6"/>
      <c r="K82" s="6">
        <f t="shared" si="22"/>
        <v>0</v>
      </c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>
        <f t="shared" si="19"/>
        <v>0</v>
      </c>
      <c r="X82" s="6"/>
      <c r="Y82" s="6" t="s">
        <v>104</v>
      </c>
      <c r="Z82" s="18"/>
      <c r="AA82" s="6" t="s">
        <v>105</v>
      </c>
      <c r="AB82" s="6"/>
      <c r="AC82" s="6"/>
      <c r="AD82" s="6"/>
      <c r="AE82" s="6"/>
      <c r="AF82" s="6"/>
      <c r="AG82" s="6"/>
      <c r="AH82" s="6"/>
      <c r="AI82" s="8">
        <f t="shared" si="9"/>
        <v>0</v>
      </c>
      <c r="AJ82" s="8"/>
      <c r="AK82" s="6"/>
      <c r="AL82" s="6"/>
      <c r="AM82" s="6"/>
      <c r="AN82" s="6"/>
      <c r="AO82" s="6"/>
      <c r="AP82" s="6"/>
      <c r="AQ82" s="6"/>
      <c r="AR82" s="6"/>
      <c r="AS82" s="8">
        <f t="shared" si="18"/>
        <v>0</v>
      </c>
      <c r="AT82" s="8"/>
      <c r="AU82" s="6">
        <v>0</v>
      </c>
      <c r="AV82" s="6"/>
      <c r="AW82" s="6">
        <v>0</v>
      </c>
      <c r="AX82" s="6"/>
      <c r="AY82" s="6">
        <f t="shared" si="20"/>
        <v>0</v>
      </c>
      <c r="AZ82" s="6"/>
      <c r="BA82" s="6" t="s">
        <v>104</v>
      </c>
      <c r="BB82" s="18"/>
      <c r="BC82" s="6" t="s">
        <v>105</v>
      </c>
      <c r="BD82" s="6"/>
      <c r="BE82" s="6"/>
      <c r="BF82" s="6"/>
      <c r="BG82" s="6"/>
      <c r="BH82" s="6"/>
      <c r="BI82" s="6"/>
      <c r="BJ82" s="6"/>
      <c r="BK82" s="6"/>
      <c r="BL82" s="6"/>
      <c r="BM82" s="6">
        <f t="shared" si="28"/>
        <v>0</v>
      </c>
      <c r="BN82" s="17" t="s">
        <v>345</v>
      </c>
    </row>
    <row r="83" spans="1:67" ht="12.75" hidden="1" customHeight="1" x14ac:dyDescent="0.2">
      <c r="A83" s="6" t="s">
        <v>106</v>
      </c>
      <c r="C83" s="6" t="s">
        <v>43</v>
      </c>
      <c r="D83" s="6"/>
      <c r="E83" s="6">
        <f t="shared" si="21"/>
        <v>0</v>
      </c>
      <c r="F83" s="6"/>
      <c r="G83" s="6"/>
      <c r="H83" s="6"/>
      <c r="I83" s="6"/>
      <c r="J83" s="6"/>
      <c r="K83" s="6">
        <f t="shared" si="22"/>
        <v>0</v>
      </c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>
        <f t="shared" si="19"/>
        <v>0</v>
      </c>
      <c r="X83" s="6"/>
      <c r="Y83" s="6" t="s">
        <v>106</v>
      </c>
      <c r="Z83" s="18"/>
      <c r="AA83" s="6" t="s">
        <v>43</v>
      </c>
      <c r="AB83" s="6"/>
      <c r="AC83" s="6"/>
      <c r="AD83" s="6"/>
      <c r="AE83" s="6"/>
      <c r="AF83" s="6"/>
      <c r="AG83" s="6"/>
      <c r="AH83" s="6"/>
      <c r="AI83" s="8">
        <f t="shared" si="9"/>
        <v>0</v>
      </c>
      <c r="AJ83" s="8"/>
      <c r="AK83" s="6"/>
      <c r="AL83" s="6"/>
      <c r="AM83" s="6"/>
      <c r="AN83" s="6"/>
      <c r="AO83" s="6"/>
      <c r="AP83" s="6"/>
      <c r="AQ83" s="6"/>
      <c r="AR83" s="6"/>
      <c r="AS83" s="8">
        <f t="shared" si="18"/>
        <v>0</v>
      </c>
      <c r="AT83" s="8"/>
      <c r="AU83" s="6">
        <v>0</v>
      </c>
      <c r="AV83" s="6"/>
      <c r="AW83" s="6">
        <v>0</v>
      </c>
      <c r="AX83" s="6"/>
      <c r="AY83" s="6">
        <f t="shared" si="20"/>
        <v>0</v>
      </c>
      <c r="AZ83" s="6"/>
      <c r="BA83" s="6" t="s">
        <v>106</v>
      </c>
      <c r="BB83" s="18"/>
      <c r="BC83" s="6" t="s">
        <v>43</v>
      </c>
      <c r="BD83" s="6"/>
      <c r="BE83" s="6"/>
      <c r="BF83" s="6"/>
      <c r="BG83" s="6"/>
      <c r="BH83" s="6"/>
      <c r="BI83" s="6"/>
      <c r="BJ83" s="6"/>
      <c r="BK83" s="6"/>
      <c r="BL83" s="6"/>
      <c r="BM83" s="6">
        <f t="shared" si="28"/>
        <v>0</v>
      </c>
      <c r="BN83" s="17" t="s">
        <v>345</v>
      </c>
    </row>
    <row r="84" spans="1:67" ht="12.75" hidden="1" customHeight="1" x14ac:dyDescent="0.2">
      <c r="A84" s="6" t="s">
        <v>107</v>
      </c>
      <c r="C84" s="6" t="s">
        <v>108</v>
      </c>
      <c r="D84" s="6"/>
      <c r="E84" s="6">
        <f t="shared" si="21"/>
        <v>0</v>
      </c>
      <c r="F84" s="6"/>
      <c r="G84" s="6"/>
      <c r="H84" s="6"/>
      <c r="I84" s="6"/>
      <c r="J84" s="6"/>
      <c r="K84" s="6">
        <f t="shared" si="22"/>
        <v>0</v>
      </c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>
        <f t="shared" si="19"/>
        <v>0</v>
      </c>
      <c r="X84" s="6"/>
      <c r="Y84" s="6" t="s">
        <v>107</v>
      </c>
      <c r="Z84" s="18"/>
      <c r="AA84" s="6" t="s">
        <v>108</v>
      </c>
      <c r="AB84" s="6"/>
      <c r="AC84" s="6"/>
      <c r="AD84" s="6"/>
      <c r="AE84" s="6"/>
      <c r="AF84" s="6"/>
      <c r="AG84" s="6"/>
      <c r="AH84" s="6"/>
      <c r="AI84" s="8">
        <f t="shared" si="9"/>
        <v>0</v>
      </c>
      <c r="AJ84" s="8"/>
      <c r="AK84" s="6"/>
      <c r="AL84" s="6"/>
      <c r="AM84" s="6"/>
      <c r="AN84" s="6"/>
      <c r="AO84" s="6"/>
      <c r="AP84" s="6"/>
      <c r="AQ84" s="6"/>
      <c r="AR84" s="6"/>
      <c r="AS84" s="8">
        <f t="shared" si="18"/>
        <v>0</v>
      </c>
      <c r="AT84" s="8"/>
      <c r="AU84" s="6">
        <v>0</v>
      </c>
      <c r="AV84" s="6"/>
      <c r="AW84" s="6">
        <v>0</v>
      </c>
      <c r="AX84" s="6"/>
      <c r="AY84" s="6">
        <f t="shared" si="20"/>
        <v>0</v>
      </c>
      <c r="AZ84" s="6"/>
      <c r="BA84" s="6" t="s">
        <v>107</v>
      </c>
      <c r="BB84" s="18"/>
      <c r="BC84" s="6" t="s">
        <v>108</v>
      </c>
      <c r="BD84" s="6"/>
      <c r="BE84" s="6"/>
      <c r="BF84" s="6"/>
      <c r="BG84" s="6"/>
      <c r="BH84" s="6"/>
      <c r="BI84" s="6"/>
      <c r="BJ84" s="6"/>
      <c r="BK84" s="6"/>
      <c r="BL84" s="6"/>
      <c r="BM84" s="6">
        <f t="shared" si="28"/>
        <v>0</v>
      </c>
      <c r="BN84" s="17" t="s">
        <v>345</v>
      </c>
    </row>
    <row r="85" spans="1:67" ht="12.75" hidden="1" customHeight="1" x14ac:dyDescent="0.2">
      <c r="A85" s="6" t="s">
        <v>41</v>
      </c>
      <c r="C85" s="6" t="s">
        <v>109</v>
      </c>
      <c r="D85" s="6"/>
      <c r="E85" s="6">
        <f t="shared" si="21"/>
        <v>0</v>
      </c>
      <c r="F85" s="6"/>
      <c r="G85" s="6"/>
      <c r="H85" s="6"/>
      <c r="I85" s="6"/>
      <c r="J85" s="6"/>
      <c r="K85" s="6">
        <f t="shared" si="22"/>
        <v>0</v>
      </c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>
        <f t="shared" si="19"/>
        <v>0</v>
      </c>
      <c r="X85" s="6"/>
      <c r="Y85" s="6" t="s">
        <v>41</v>
      </c>
      <c r="Z85" s="18"/>
      <c r="AA85" s="6" t="s">
        <v>109</v>
      </c>
      <c r="AB85" s="6"/>
      <c r="AC85" s="6"/>
      <c r="AD85" s="6"/>
      <c r="AE85" s="6"/>
      <c r="AF85" s="6"/>
      <c r="AG85" s="6"/>
      <c r="AH85" s="6"/>
      <c r="AI85" s="8">
        <f t="shared" si="9"/>
        <v>0</v>
      </c>
      <c r="AJ85" s="8"/>
      <c r="AK85" s="6"/>
      <c r="AL85" s="6"/>
      <c r="AM85" s="6"/>
      <c r="AN85" s="6"/>
      <c r="AO85" s="6"/>
      <c r="AP85" s="6"/>
      <c r="AQ85" s="6"/>
      <c r="AR85" s="6"/>
      <c r="AS85" s="8">
        <f t="shared" si="18"/>
        <v>0</v>
      </c>
      <c r="AT85" s="8"/>
      <c r="AU85" s="6">
        <v>0</v>
      </c>
      <c r="AV85" s="6"/>
      <c r="AW85" s="6">
        <v>0</v>
      </c>
      <c r="AX85" s="6"/>
      <c r="AY85" s="6">
        <f t="shared" si="20"/>
        <v>0</v>
      </c>
      <c r="AZ85" s="6"/>
      <c r="BA85" s="6" t="s">
        <v>41</v>
      </c>
      <c r="BB85" s="18"/>
      <c r="BC85" s="6" t="s">
        <v>109</v>
      </c>
      <c r="BD85" s="6"/>
      <c r="BE85" s="6"/>
      <c r="BF85" s="6"/>
      <c r="BG85" s="6"/>
      <c r="BH85" s="6"/>
      <c r="BI85" s="6"/>
      <c r="BJ85" s="6"/>
      <c r="BK85" s="6"/>
      <c r="BL85" s="6"/>
      <c r="BM85" s="6">
        <f t="shared" si="28"/>
        <v>0</v>
      </c>
      <c r="BN85" s="17" t="s">
        <v>345</v>
      </c>
    </row>
    <row r="86" spans="1:67" ht="12.75" hidden="1" customHeight="1" x14ac:dyDescent="0.2">
      <c r="A86" s="6" t="s">
        <v>110</v>
      </c>
      <c r="C86" s="6" t="s">
        <v>74</v>
      </c>
      <c r="D86" s="6"/>
      <c r="E86" s="6">
        <f t="shared" si="21"/>
        <v>0</v>
      </c>
      <c r="F86" s="6"/>
      <c r="G86" s="6"/>
      <c r="H86" s="6"/>
      <c r="I86" s="6"/>
      <c r="J86" s="6"/>
      <c r="K86" s="6">
        <f t="shared" si="22"/>
        <v>0</v>
      </c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>
        <f t="shared" si="19"/>
        <v>0</v>
      </c>
      <c r="X86" s="6"/>
      <c r="Y86" s="6" t="s">
        <v>110</v>
      </c>
      <c r="Z86" s="18"/>
      <c r="AA86" s="6" t="s">
        <v>74</v>
      </c>
      <c r="AB86" s="6"/>
      <c r="AC86" s="6"/>
      <c r="AD86" s="6"/>
      <c r="AE86" s="6"/>
      <c r="AF86" s="6"/>
      <c r="AG86" s="6"/>
      <c r="AH86" s="6"/>
      <c r="AI86" s="8">
        <f t="shared" si="9"/>
        <v>0</v>
      </c>
      <c r="AJ86" s="8"/>
      <c r="AK86" s="6"/>
      <c r="AL86" s="6"/>
      <c r="AM86" s="6"/>
      <c r="AN86" s="6"/>
      <c r="AO86" s="6"/>
      <c r="AP86" s="6"/>
      <c r="AQ86" s="6"/>
      <c r="AR86" s="6"/>
      <c r="AS86" s="8">
        <f t="shared" si="18"/>
        <v>0</v>
      </c>
      <c r="AT86" s="8"/>
      <c r="AU86" s="6">
        <v>0</v>
      </c>
      <c r="AV86" s="6"/>
      <c r="AW86" s="6">
        <v>0</v>
      </c>
      <c r="AX86" s="6"/>
      <c r="AY86" s="6">
        <f t="shared" si="20"/>
        <v>0</v>
      </c>
      <c r="AZ86" s="6"/>
      <c r="BA86" s="6" t="s">
        <v>110</v>
      </c>
      <c r="BB86" s="18"/>
      <c r="BC86" s="6" t="s">
        <v>74</v>
      </c>
      <c r="BD86" s="6"/>
      <c r="BE86" s="6"/>
      <c r="BF86" s="6"/>
      <c r="BG86" s="6"/>
      <c r="BH86" s="6"/>
      <c r="BI86" s="6"/>
      <c r="BJ86" s="6"/>
      <c r="BK86" s="6"/>
      <c r="BL86" s="6"/>
      <c r="BM86" s="6">
        <f t="shared" si="28"/>
        <v>0</v>
      </c>
      <c r="BN86" s="17" t="s">
        <v>345</v>
      </c>
    </row>
    <row r="87" spans="1:67" ht="12.75" hidden="1" customHeight="1" x14ac:dyDescent="0.2">
      <c r="A87" s="6" t="s">
        <v>111</v>
      </c>
      <c r="C87" s="6" t="s">
        <v>41</v>
      </c>
      <c r="D87" s="6"/>
      <c r="E87" s="6">
        <f t="shared" si="21"/>
        <v>0</v>
      </c>
      <c r="F87" s="6"/>
      <c r="G87" s="6"/>
      <c r="H87" s="6"/>
      <c r="I87" s="6"/>
      <c r="J87" s="6"/>
      <c r="K87" s="6">
        <f t="shared" si="22"/>
        <v>0</v>
      </c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>
        <f t="shared" si="19"/>
        <v>0</v>
      </c>
      <c r="X87" s="6"/>
      <c r="Y87" s="6" t="s">
        <v>111</v>
      </c>
      <c r="Z87" s="18"/>
      <c r="AA87" s="6" t="s">
        <v>41</v>
      </c>
      <c r="AB87" s="6"/>
      <c r="AC87" s="6"/>
      <c r="AD87" s="6"/>
      <c r="AE87" s="6"/>
      <c r="AF87" s="6"/>
      <c r="AG87" s="6"/>
      <c r="AH87" s="6"/>
      <c r="AI87" s="8">
        <f t="shared" si="9"/>
        <v>0</v>
      </c>
      <c r="AJ87" s="8"/>
      <c r="AK87" s="6"/>
      <c r="AL87" s="6"/>
      <c r="AM87" s="6"/>
      <c r="AN87" s="6"/>
      <c r="AO87" s="6"/>
      <c r="AP87" s="6"/>
      <c r="AQ87" s="6"/>
      <c r="AR87" s="6"/>
      <c r="AS87" s="8">
        <f t="shared" si="18"/>
        <v>0</v>
      </c>
      <c r="AT87" s="8"/>
      <c r="AU87" s="6">
        <v>0</v>
      </c>
      <c r="AV87" s="6"/>
      <c r="AW87" s="6">
        <v>0</v>
      </c>
      <c r="AX87" s="6"/>
      <c r="AY87" s="6">
        <f t="shared" si="20"/>
        <v>0</v>
      </c>
      <c r="AZ87" s="6"/>
      <c r="BA87" s="6" t="s">
        <v>111</v>
      </c>
      <c r="BB87" s="18"/>
      <c r="BC87" s="6" t="s">
        <v>41</v>
      </c>
      <c r="BD87" s="6"/>
      <c r="BE87" s="6"/>
      <c r="BF87" s="6"/>
      <c r="BG87" s="6"/>
      <c r="BH87" s="6"/>
      <c r="BI87" s="6"/>
      <c r="BJ87" s="6"/>
      <c r="BK87" s="6"/>
      <c r="BL87" s="6"/>
      <c r="BM87" s="6">
        <f t="shared" si="28"/>
        <v>0</v>
      </c>
      <c r="BN87" s="17" t="s">
        <v>345</v>
      </c>
    </row>
    <row r="88" spans="1:67" ht="12.75" customHeight="1" x14ac:dyDescent="0.2">
      <c r="A88" s="7" t="s">
        <v>483</v>
      </c>
      <c r="C88" s="6" t="s">
        <v>55</v>
      </c>
      <c r="D88" s="6"/>
      <c r="E88" s="6">
        <v>12690328</v>
      </c>
      <c r="F88" s="6"/>
      <c r="G88" s="6">
        <v>9817203</v>
      </c>
      <c r="H88" s="6"/>
      <c r="I88" s="6">
        <f>+E88+G88</f>
        <v>22507531</v>
      </c>
      <c r="J88" s="6"/>
      <c r="K88" s="6">
        <v>2118352</v>
      </c>
      <c r="L88" s="6"/>
      <c r="M88" s="6">
        <v>10657201</v>
      </c>
      <c r="N88" s="6"/>
      <c r="O88" s="6">
        <f>+K88+M88</f>
        <v>12775553</v>
      </c>
      <c r="P88" s="6"/>
      <c r="Q88" s="6">
        <v>2676503</v>
      </c>
      <c r="R88" s="6"/>
      <c r="S88" s="6">
        <v>0</v>
      </c>
      <c r="T88" s="6"/>
      <c r="U88" s="6">
        <v>7055475</v>
      </c>
      <c r="V88" s="6"/>
      <c r="W88" s="6">
        <f t="shared" si="19"/>
        <v>9731978</v>
      </c>
      <c r="X88" s="6"/>
      <c r="Y88" s="7" t="s">
        <v>483</v>
      </c>
      <c r="Z88" s="18"/>
      <c r="AA88" s="6" t="s">
        <v>55</v>
      </c>
      <c r="AB88" s="6"/>
      <c r="AC88" s="6">
        <v>11941375</v>
      </c>
      <c r="AD88" s="6"/>
      <c r="AE88" s="6">
        <f>10128404-202960</f>
        <v>9925444</v>
      </c>
      <c r="AF88" s="6"/>
      <c r="AG88" s="6">
        <v>202960</v>
      </c>
      <c r="AH88" s="6"/>
      <c r="AI88" s="8">
        <f t="shared" si="9"/>
        <v>1812971</v>
      </c>
      <c r="AJ88" s="8"/>
      <c r="AK88" s="6">
        <v>-564690</v>
      </c>
      <c r="AL88" s="6"/>
      <c r="AM88" s="6">
        <v>0</v>
      </c>
      <c r="AN88" s="6"/>
      <c r="AO88" s="6">
        <v>0</v>
      </c>
      <c r="AP88" s="6"/>
      <c r="AQ88" s="6">
        <v>0</v>
      </c>
      <c r="AR88" s="6"/>
      <c r="AS88" s="8">
        <f t="shared" si="18"/>
        <v>1248281</v>
      </c>
      <c r="AT88" s="8"/>
      <c r="AU88" s="6">
        <v>0</v>
      </c>
      <c r="AV88" s="6"/>
      <c r="AW88" s="6">
        <v>0</v>
      </c>
      <c r="AX88" s="6"/>
      <c r="AY88" s="6">
        <f t="shared" si="20"/>
        <v>10571976</v>
      </c>
      <c r="AZ88" s="6"/>
      <c r="BA88" s="7" t="s">
        <v>483</v>
      </c>
      <c r="BB88" s="18"/>
      <c r="BC88" s="6" t="s">
        <v>55</v>
      </c>
      <c r="BD88" s="6"/>
      <c r="BE88" s="6">
        <f>8314000+767000</f>
        <v>9081000</v>
      </c>
      <c r="BF88" s="6"/>
      <c r="BG88" s="6">
        <v>0</v>
      </c>
      <c r="BH88" s="6"/>
      <c r="BI88" s="6">
        <v>2078472</v>
      </c>
      <c r="BJ88" s="6"/>
      <c r="BK88" s="6">
        <f>119423+145306+52148</f>
        <v>316877</v>
      </c>
      <c r="BL88" s="6"/>
      <c r="BM88" s="6">
        <f>SUM(BE88:BK88)</f>
        <v>11476349</v>
      </c>
      <c r="BN88" s="17" t="s">
        <v>345</v>
      </c>
      <c r="BO88" s="18" t="s">
        <v>313</v>
      </c>
    </row>
    <row r="89" spans="1:67" ht="12.75" hidden="1" customHeight="1" x14ac:dyDescent="0.2">
      <c r="A89" s="6" t="s">
        <v>112</v>
      </c>
      <c r="C89" s="6" t="s">
        <v>25</v>
      </c>
      <c r="D89" s="6"/>
      <c r="E89" s="6">
        <f t="shared" si="21"/>
        <v>0</v>
      </c>
      <c r="F89" s="6"/>
      <c r="G89" s="6"/>
      <c r="H89" s="6"/>
      <c r="I89" s="6"/>
      <c r="J89" s="6"/>
      <c r="K89" s="6">
        <f t="shared" si="22"/>
        <v>0</v>
      </c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>
        <f t="shared" si="19"/>
        <v>0</v>
      </c>
      <c r="X89" s="6"/>
      <c r="Y89" s="6" t="s">
        <v>112</v>
      </c>
      <c r="Z89" s="18"/>
      <c r="AA89" s="6" t="s">
        <v>25</v>
      </c>
      <c r="AB89" s="6"/>
      <c r="AC89" s="6"/>
      <c r="AD89" s="6"/>
      <c r="AE89" s="6"/>
      <c r="AF89" s="6"/>
      <c r="AG89" s="6"/>
      <c r="AH89" s="6"/>
      <c r="AI89" s="8">
        <f t="shared" si="9"/>
        <v>0</v>
      </c>
      <c r="AJ89" s="8"/>
      <c r="AK89" s="6"/>
      <c r="AL89" s="6"/>
      <c r="AM89" s="6"/>
      <c r="AN89" s="6"/>
      <c r="AO89" s="6"/>
      <c r="AP89" s="6"/>
      <c r="AQ89" s="6"/>
      <c r="AR89" s="6"/>
      <c r="AS89" s="8">
        <f t="shared" si="18"/>
        <v>0</v>
      </c>
      <c r="AT89" s="8"/>
      <c r="AU89" s="6">
        <v>0</v>
      </c>
      <c r="AV89" s="6"/>
      <c r="AW89" s="6">
        <v>0</v>
      </c>
      <c r="AX89" s="6"/>
      <c r="AY89" s="6">
        <f t="shared" si="20"/>
        <v>0</v>
      </c>
      <c r="AZ89" s="6"/>
      <c r="BA89" s="6" t="s">
        <v>112</v>
      </c>
      <c r="BB89" s="18"/>
      <c r="BC89" s="6" t="s">
        <v>25</v>
      </c>
      <c r="BD89" s="6"/>
      <c r="BE89" s="6"/>
      <c r="BF89" s="6"/>
      <c r="BG89" s="6"/>
      <c r="BH89" s="6"/>
      <c r="BI89" s="6"/>
      <c r="BJ89" s="6"/>
      <c r="BK89" s="6"/>
      <c r="BL89" s="6"/>
      <c r="BM89" s="6">
        <f t="shared" si="28"/>
        <v>0</v>
      </c>
      <c r="BN89" s="17" t="s">
        <v>345</v>
      </c>
    </row>
    <row r="90" spans="1:67" ht="12.75" hidden="1" customHeight="1" x14ac:dyDescent="0.2">
      <c r="A90" s="6" t="s">
        <v>113</v>
      </c>
      <c r="C90" s="6" t="s">
        <v>17</v>
      </c>
      <c r="D90" s="6"/>
      <c r="E90" s="6">
        <f t="shared" si="21"/>
        <v>0</v>
      </c>
      <c r="F90" s="6"/>
      <c r="G90" s="6"/>
      <c r="H90" s="6"/>
      <c r="I90" s="6"/>
      <c r="J90" s="6"/>
      <c r="K90" s="6">
        <f t="shared" si="22"/>
        <v>0</v>
      </c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>
        <f t="shared" si="19"/>
        <v>0</v>
      </c>
      <c r="X90" s="6"/>
      <c r="Y90" s="6" t="s">
        <v>113</v>
      </c>
      <c r="Z90" s="18"/>
      <c r="AA90" s="6" t="s">
        <v>17</v>
      </c>
      <c r="AB90" s="6"/>
      <c r="AC90" s="6"/>
      <c r="AD90" s="6"/>
      <c r="AE90" s="6"/>
      <c r="AF90" s="6"/>
      <c r="AG90" s="6"/>
      <c r="AH90" s="6"/>
      <c r="AI90" s="8">
        <f t="shared" si="9"/>
        <v>0</v>
      </c>
      <c r="AJ90" s="8"/>
      <c r="AK90" s="6"/>
      <c r="AL90" s="6"/>
      <c r="AM90" s="6"/>
      <c r="AN90" s="6"/>
      <c r="AO90" s="6"/>
      <c r="AP90" s="6"/>
      <c r="AQ90" s="6"/>
      <c r="AR90" s="6"/>
      <c r="AS90" s="8">
        <f t="shared" si="18"/>
        <v>0</v>
      </c>
      <c r="AT90" s="8"/>
      <c r="AU90" s="6">
        <v>0</v>
      </c>
      <c r="AV90" s="6"/>
      <c r="AW90" s="6">
        <v>0</v>
      </c>
      <c r="AX90" s="6"/>
      <c r="AY90" s="6">
        <f t="shared" si="20"/>
        <v>0</v>
      </c>
      <c r="AZ90" s="6"/>
      <c r="BA90" s="6" t="s">
        <v>113</v>
      </c>
      <c r="BB90" s="18"/>
      <c r="BC90" s="6" t="s">
        <v>17</v>
      </c>
      <c r="BD90" s="6"/>
      <c r="BE90" s="6"/>
      <c r="BF90" s="6"/>
      <c r="BG90" s="6"/>
      <c r="BH90" s="6"/>
      <c r="BI90" s="6"/>
      <c r="BJ90" s="6"/>
      <c r="BK90" s="6"/>
      <c r="BL90" s="6"/>
      <c r="BM90" s="6">
        <f t="shared" si="28"/>
        <v>0</v>
      </c>
      <c r="BN90" s="17" t="s">
        <v>345</v>
      </c>
    </row>
    <row r="91" spans="1:67" ht="12.75" hidden="1" customHeight="1" x14ac:dyDescent="0.2">
      <c r="A91" s="6" t="s">
        <v>114</v>
      </c>
      <c r="C91" s="6" t="s">
        <v>78</v>
      </c>
      <c r="D91" s="6"/>
      <c r="E91" s="6">
        <f t="shared" si="21"/>
        <v>0</v>
      </c>
      <c r="F91" s="6"/>
      <c r="G91" s="6"/>
      <c r="H91" s="6"/>
      <c r="I91" s="6"/>
      <c r="J91" s="6"/>
      <c r="K91" s="6">
        <f t="shared" si="22"/>
        <v>0</v>
      </c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>
        <f t="shared" si="19"/>
        <v>0</v>
      </c>
      <c r="X91" s="6"/>
      <c r="Y91" s="6" t="s">
        <v>114</v>
      </c>
      <c r="Z91" s="18"/>
      <c r="AA91" s="6" t="s">
        <v>78</v>
      </c>
      <c r="AB91" s="6"/>
      <c r="AC91" s="6"/>
      <c r="AD91" s="6"/>
      <c r="AE91" s="6"/>
      <c r="AF91" s="6"/>
      <c r="AG91" s="6"/>
      <c r="AH91" s="6"/>
      <c r="AI91" s="8">
        <f t="shared" si="9"/>
        <v>0</v>
      </c>
      <c r="AJ91" s="8"/>
      <c r="AK91" s="6"/>
      <c r="AL91" s="6"/>
      <c r="AM91" s="6"/>
      <c r="AN91" s="6"/>
      <c r="AO91" s="6"/>
      <c r="AP91" s="6"/>
      <c r="AQ91" s="6"/>
      <c r="AR91" s="6"/>
      <c r="AS91" s="8">
        <f t="shared" si="18"/>
        <v>0</v>
      </c>
      <c r="AT91" s="8"/>
      <c r="AU91" s="6">
        <v>0</v>
      </c>
      <c r="AV91" s="6"/>
      <c r="AW91" s="6">
        <v>0</v>
      </c>
      <c r="AX91" s="6"/>
      <c r="AY91" s="6">
        <f t="shared" si="20"/>
        <v>0</v>
      </c>
      <c r="AZ91" s="6"/>
      <c r="BA91" s="6" t="s">
        <v>114</v>
      </c>
      <c r="BB91" s="18"/>
      <c r="BC91" s="6" t="s">
        <v>78</v>
      </c>
      <c r="BD91" s="6"/>
      <c r="BE91" s="6"/>
      <c r="BF91" s="6"/>
      <c r="BG91" s="6"/>
      <c r="BH91" s="6"/>
      <c r="BI91" s="6"/>
      <c r="BJ91" s="6"/>
      <c r="BK91" s="6"/>
      <c r="BL91" s="6"/>
      <c r="BM91" s="6">
        <f t="shared" si="28"/>
        <v>0</v>
      </c>
      <c r="BN91" s="17" t="s">
        <v>345</v>
      </c>
    </row>
    <row r="92" spans="1:67" ht="12.75" hidden="1" customHeight="1" x14ac:dyDescent="0.2">
      <c r="A92" s="7" t="s">
        <v>115</v>
      </c>
      <c r="C92" s="6" t="s">
        <v>41</v>
      </c>
      <c r="D92" s="6"/>
      <c r="E92" s="6">
        <f t="shared" si="21"/>
        <v>0</v>
      </c>
      <c r="F92" s="6"/>
      <c r="G92" s="6"/>
      <c r="H92" s="6"/>
      <c r="I92" s="6"/>
      <c r="J92" s="6"/>
      <c r="K92" s="6">
        <f t="shared" si="22"/>
        <v>0</v>
      </c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>
        <f t="shared" si="19"/>
        <v>0</v>
      </c>
      <c r="X92" s="6"/>
      <c r="Y92" s="7" t="s">
        <v>115</v>
      </c>
      <c r="Z92" s="18"/>
      <c r="AA92" s="6" t="s">
        <v>41</v>
      </c>
      <c r="AB92" s="6"/>
      <c r="AC92" s="6"/>
      <c r="AD92" s="6"/>
      <c r="AE92" s="6"/>
      <c r="AF92" s="6"/>
      <c r="AG92" s="6"/>
      <c r="AH92" s="6"/>
      <c r="AI92" s="8">
        <f t="shared" si="9"/>
        <v>0</v>
      </c>
      <c r="AJ92" s="8"/>
      <c r="AK92" s="6"/>
      <c r="AL92" s="6"/>
      <c r="AM92" s="6"/>
      <c r="AN92" s="6"/>
      <c r="AO92" s="6"/>
      <c r="AP92" s="6"/>
      <c r="AQ92" s="6"/>
      <c r="AR92" s="6"/>
      <c r="AS92" s="8">
        <f t="shared" si="18"/>
        <v>0</v>
      </c>
      <c r="AT92" s="8"/>
      <c r="AU92" s="6">
        <v>0</v>
      </c>
      <c r="AV92" s="6"/>
      <c r="AW92" s="6">
        <v>0</v>
      </c>
      <c r="AX92" s="6"/>
      <c r="AY92" s="6">
        <f t="shared" si="20"/>
        <v>0</v>
      </c>
      <c r="AZ92" s="6"/>
      <c r="BA92" s="7" t="s">
        <v>115</v>
      </c>
      <c r="BB92" s="18"/>
      <c r="BC92" s="6" t="s">
        <v>41</v>
      </c>
      <c r="BD92" s="6"/>
      <c r="BE92" s="6"/>
      <c r="BF92" s="6"/>
      <c r="BG92" s="6"/>
      <c r="BH92" s="6"/>
      <c r="BI92" s="6"/>
      <c r="BJ92" s="6"/>
      <c r="BK92" s="6"/>
      <c r="BL92" s="6"/>
      <c r="BM92" s="6">
        <f t="shared" si="28"/>
        <v>0</v>
      </c>
      <c r="BN92" s="17" t="s">
        <v>345</v>
      </c>
    </row>
    <row r="93" spans="1:67" ht="12.75" hidden="1" customHeight="1" x14ac:dyDescent="0.2">
      <c r="A93" s="6" t="s">
        <v>116</v>
      </c>
      <c r="C93" s="6" t="s">
        <v>11</v>
      </c>
      <c r="D93" s="6"/>
      <c r="E93" s="6">
        <f t="shared" si="21"/>
        <v>0</v>
      </c>
      <c r="F93" s="6"/>
      <c r="G93" s="6"/>
      <c r="H93" s="6"/>
      <c r="I93" s="6"/>
      <c r="J93" s="6"/>
      <c r="K93" s="6">
        <f t="shared" si="22"/>
        <v>0</v>
      </c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>
        <f t="shared" si="19"/>
        <v>0</v>
      </c>
      <c r="X93" s="6"/>
      <c r="Y93" s="6" t="s">
        <v>116</v>
      </c>
      <c r="Z93" s="18"/>
      <c r="AA93" s="6" t="s">
        <v>11</v>
      </c>
      <c r="AB93" s="6"/>
      <c r="AC93" s="6"/>
      <c r="AD93" s="6"/>
      <c r="AE93" s="6"/>
      <c r="AF93" s="6"/>
      <c r="AG93" s="6"/>
      <c r="AH93" s="6"/>
      <c r="AI93" s="8">
        <f t="shared" si="9"/>
        <v>0</v>
      </c>
      <c r="AJ93" s="8"/>
      <c r="AK93" s="6"/>
      <c r="AL93" s="6"/>
      <c r="AM93" s="6"/>
      <c r="AN93" s="6"/>
      <c r="AO93" s="6"/>
      <c r="AP93" s="6"/>
      <c r="AQ93" s="6"/>
      <c r="AR93" s="6"/>
      <c r="AS93" s="8">
        <f t="shared" si="18"/>
        <v>0</v>
      </c>
      <c r="AT93" s="8"/>
      <c r="AU93" s="6">
        <v>0</v>
      </c>
      <c r="AV93" s="6"/>
      <c r="AW93" s="6">
        <v>0</v>
      </c>
      <c r="AX93" s="6"/>
      <c r="AY93" s="6">
        <f t="shared" si="20"/>
        <v>0</v>
      </c>
      <c r="AZ93" s="6"/>
      <c r="BA93" s="6" t="s">
        <v>116</v>
      </c>
      <c r="BB93" s="18"/>
      <c r="BC93" s="6" t="s">
        <v>11</v>
      </c>
      <c r="BD93" s="6"/>
      <c r="BE93" s="6"/>
      <c r="BF93" s="6"/>
      <c r="BG93" s="6"/>
      <c r="BH93" s="6"/>
      <c r="BI93" s="6"/>
      <c r="BJ93" s="6"/>
      <c r="BK93" s="6"/>
      <c r="BL93" s="6"/>
      <c r="BM93" s="6">
        <f t="shared" si="28"/>
        <v>0</v>
      </c>
      <c r="BN93" s="17" t="s">
        <v>345</v>
      </c>
    </row>
    <row r="94" spans="1:67" ht="12.75" hidden="1" customHeight="1" x14ac:dyDescent="0.2">
      <c r="A94" s="6" t="s">
        <v>118</v>
      </c>
      <c r="C94" s="6" t="s">
        <v>119</v>
      </c>
      <c r="D94" s="6"/>
      <c r="E94" s="6">
        <f t="shared" si="21"/>
        <v>0</v>
      </c>
      <c r="F94" s="6"/>
      <c r="G94" s="6"/>
      <c r="H94" s="6"/>
      <c r="I94" s="6"/>
      <c r="J94" s="6"/>
      <c r="K94" s="6">
        <f t="shared" si="22"/>
        <v>0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>
        <f t="shared" si="19"/>
        <v>0</v>
      </c>
      <c r="X94" s="6"/>
      <c r="Y94" s="6" t="s">
        <v>118</v>
      </c>
      <c r="Z94" s="18"/>
      <c r="AA94" s="6" t="s">
        <v>119</v>
      </c>
      <c r="AB94" s="6"/>
      <c r="AC94" s="6"/>
      <c r="AD94" s="6"/>
      <c r="AE94" s="6"/>
      <c r="AF94" s="6"/>
      <c r="AG94" s="6"/>
      <c r="AH94" s="6"/>
      <c r="AI94" s="8">
        <f t="shared" si="9"/>
        <v>0</v>
      </c>
      <c r="AJ94" s="8"/>
      <c r="AK94" s="6"/>
      <c r="AL94" s="6"/>
      <c r="AM94" s="6"/>
      <c r="AN94" s="6"/>
      <c r="AO94" s="6"/>
      <c r="AP94" s="6"/>
      <c r="AQ94" s="6"/>
      <c r="AR94" s="6"/>
      <c r="AS94" s="8">
        <f t="shared" si="18"/>
        <v>0</v>
      </c>
      <c r="AT94" s="8"/>
      <c r="AU94" s="6">
        <v>0</v>
      </c>
      <c r="AV94" s="6"/>
      <c r="AW94" s="6">
        <v>0</v>
      </c>
      <c r="AX94" s="6"/>
      <c r="AY94" s="6">
        <f t="shared" si="20"/>
        <v>0</v>
      </c>
      <c r="AZ94" s="6"/>
      <c r="BA94" s="6" t="s">
        <v>118</v>
      </c>
      <c r="BB94" s="18"/>
      <c r="BC94" s="6" t="s">
        <v>119</v>
      </c>
      <c r="BD94" s="6"/>
      <c r="BE94" s="6"/>
      <c r="BF94" s="6"/>
      <c r="BG94" s="6"/>
      <c r="BH94" s="6"/>
      <c r="BI94" s="6"/>
      <c r="BJ94" s="6"/>
      <c r="BK94" s="6"/>
      <c r="BL94" s="6"/>
      <c r="BM94" s="6">
        <f t="shared" si="28"/>
        <v>0</v>
      </c>
      <c r="BN94" s="17" t="s">
        <v>345</v>
      </c>
      <c r="BO94" s="18" t="s">
        <v>369</v>
      </c>
    </row>
    <row r="95" spans="1:67" ht="12.75" hidden="1" customHeight="1" x14ac:dyDescent="0.2">
      <c r="A95" s="6" t="s">
        <v>120</v>
      </c>
      <c r="C95" s="6" t="s">
        <v>41</v>
      </c>
      <c r="D95" s="6"/>
      <c r="E95" s="6">
        <f t="shared" si="21"/>
        <v>0</v>
      </c>
      <c r="F95" s="6"/>
      <c r="G95" s="6"/>
      <c r="H95" s="6"/>
      <c r="I95" s="6"/>
      <c r="J95" s="6"/>
      <c r="K95" s="6">
        <f t="shared" si="22"/>
        <v>0</v>
      </c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>
        <f t="shared" si="19"/>
        <v>0</v>
      </c>
      <c r="X95" s="6"/>
      <c r="Y95" s="6" t="s">
        <v>120</v>
      </c>
      <c r="Z95" s="18"/>
      <c r="AA95" s="6" t="s">
        <v>41</v>
      </c>
      <c r="AB95" s="6"/>
      <c r="AC95" s="6"/>
      <c r="AD95" s="6"/>
      <c r="AE95" s="6"/>
      <c r="AF95" s="6"/>
      <c r="AG95" s="6"/>
      <c r="AH95" s="6"/>
      <c r="AI95" s="8">
        <f t="shared" si="9"/>
        <v>0</v>
      </c>
      <c r="AJ95" s="8"/>
      <c r="AK95" s="6"/>
      <c r="AL95" s="6"/>
      <c r="AM95" s="6"/>
      <c r="AN95" s="6"/>
      <c r="AO95" s="6"/>
      <c r="AP95" s="6"/>
      <c r="AQ95" s="6"/>
      <c r="AR95" s="6"/>
      <c r="AS95" s="8">
        <f t="shared" si="18"/>
        <v>0</v>
      </c>
      <c r="AT95" s="8"/>
      <c r="AU95" s="6">
        <v>0</v>
      </c>
      <c r="AV95" s="6"/>
      <c r="AW95" s="6">
        <v>0</v>
      </c>
      <c r="AX95" s="6"/>
      <c r="AY95" s="6">
        <f t="shared" si="20"/>
        <v>0</v>
      </c>
      <c r="AZ95" s="6"/>
      <c r="BA95" s="6" t="s">
        <v>120</v>
      </c>
      <c r="BB95" s="18"/>
      <c r="BC95" s="6" t="s">
        <v>41</v>
      </c>
      <c r="BD95" s="6"/>
      <c r="BE95" s="6"/>
      <c r="BF95" s="6"/>
      <c r="BG95" s="6"/>
      <c r="BH95" s="6"/>
      <c r="BI95" s="6"/>
      <c r="BJ95" s="6"/>
      <c r="BK95" s="6"/>
      <c r="BL95" s="6"/>
      <c r="BM95" s="6">
        <f t="shared" si="28"/>
        <v>0</v>
      </c>
      <c r="BN95" s="17" t="s">
        <v>345</v>
      </c>
    </row>
    <row r="96" spans="1:67" ht="12.75" hidden="1" customHeight="1" x14ac:dyDescent="0.2">
      <c r="A96" s="6" t="s">
        <v>494</v>
      </c>
      <c r="C96" s="6" t="s">
        <v>41</v>
      </c>
      <c r="D96" s="6"/>
      <c r="E96" s="6">
        <f t="shared" si="21"/>
        <v>0</v>
      </c>
      <c r="F96" s="6"/>
      <c r="G96" s="6"/>
      <c r="H96" s="6"/>
      <c r="I96" s="6"/>
      <c r="J96" s="6"/>
      <c r="K96" s="6">
        <f t="shared" si="22"/>
        <v>0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>
        <f t="shared" si="19"/>
        <v>0</v>
      </c>
      <c r="X96" s="6"/>
      <c r="Y96" s="6" t="s">
        <v>494</v>
      </c>
      <c r="Z96" s="14"/>
      <c r="AA96" s="6" t="s">
        <v>41</v>
      </c>
      <c r="AB96" s="6"/>
      <c r="AC96" s="6"/>
      <c r="AD96" s="6"/>
      <c r="AE96" s="6"/>
      <c r="AF96" s="6"/>
      <c r="AG96" s="6"/>
      <c r="AH96" s="6"/>
      <c r="AI96" s="8">
        <f t="shared" si="9"/>
        <v>0</v>
      </c>
      <c r="AJ96" s="8"/>
      <c r="AK96" s="6"/>
      <c r="AL96" s="6"/>
      <c r="AM96" s="6"/>
      <c r="AN96" s="6"/>
      <c r="AO96" s="6"/>
      <c r="AP96" s="6"/>
      <c r="AQ96" s="6"/>
      <c r="AR96" s="6"/>
      <c r="AS96" s="8">
        <f t="shared" si="18"/>
        <v>0</v>
      </c>
      <c r="AT96" s="8"/>
      <c r="AU96" s="6"/>
      <c r="AV96" s="6"/>
      <c r="AW96" s="6"/>
      <c r="AX96" s="6"/>
      <c r="AY96" s="6">
        <f t="shared" si="20"/>
        <v>0</v>
      </c>
      <c r="AZ96" s="6"/>
      <c r="BA96" s="6" t="s">
        <v>494</v>
      </c>
      <c r="BB96" s="14"/>
      <c r="BC96" s="6" t="s">
        <v>41</v>
      </c>
      <c r="BD96" s="6"/>
      <c r="BE96" s="6"/>
      <c r="BF96" s="6"/>
      <c r="BG96" s="6"/>
      <c r="BH96" s="6"/>
      <c r="BI96" s="6"/>
      <c r="BJ96" s="6"/>
      <c r="BK96" s="6"/>
      <c r="BL96" s="6"/>
      <c r="BM96" s="6">
        <f t="shared" si="28"/>
        <v>0</v>
      </c>
      <c r="BN96" s="17"/>
    </row>
    <row r="97" spans="1:67" ht="12.75" customHeight="1" x14ac:dyDescent="0.2">
      <c r="A97" s="7" t="s">
        <v>43</v>
      </c>
      <c r="C97" s="6" t="s">
        <v>101</v>
      </c>
      <c r="D97" s="6"/>
      <c r="E97" s="6">
        <v>45510204</v>
      </c>
      <c r="F97" s="6"/>
      <c r="G97" s="6">
        <v>128567414</v>
      </c>
      <c r="H97" s="6"/>
      <c r="I97" s="6">
        <v>178445122</v>
      </c>
      <c r="J97" s="6"/>
      <c r="K97" s="6">
        <v>18109611</v>
      </c>
      <c r="L97" s="6"/>
      <c r="M97" s="6">
        <v>146861381</v>
      </c>
      <c r="N97" s="6"/>
      <c r="O97" s="6">
        <v>164800181</v>
      </c>
      <c r="P97" s="6"/>
      <c r="Q97" s="6">
        <v>-25228826</v>
      </c>
      <c r="R97" s="6"/>
      <c r="S97" s="6">
        <f>6162186+4000000</f>
        <v>10162186</v>
      </c>
      <c r="T97" s="6"/>
      <c r="U97" s="6">
        <v>27970368</v>
      </c>
      <c r="V97" s="6"/>
      <c r="W97" s="6">
        <f t="shared" si="19"/>
        <v>12903728</v>
      </c>
      <c r="X97" s="6"/>
      <c r="Y97" s="7" t="s">
        <v>43</v>
      </c>
      <c r="Z97" s="18"/>
      <c r="AA97" s="6" t="s">
        <v>101</v>
      </c>
      <c r="AB97" s="6"/>
      <c r="AC97" s="6">
        <v>62172965</v>
      </c>
      <c r="AD97" s="6"/>
      <c r="AE97" s="6">
        <f>52721306-11252662</f>
        <v>41468644</v>
      </c>
      <c r="AF97" s="6"/>
      <c r="AG97" s="6">
        <v>11252662</v>
      </c>
      <c r="AH97" s="6"/>
      <c r="AI97" s="8">
        <f t="shared" si="9"/>
        <v>9451659</v>
      </c>
      <c r="AJ97" s="8"/>
      <c r="AK97" s="6">
        <v>-7532881</v>
      </c>
      <c r="AL97" s="6"/>
      <c r="AM97" s="6">
        <v>0</v>
      </c>
      <c r="AN97" s="6"/>
      <c r="AO97" s="6">
        <v>0</v>
      </c>
      <c r="AP97" s="6"/>
      <c r="AQ97" s="6">
        <v>200000</v>
      </c>
      <c r="AR97" s="6"/>
      <c r="AS97" s="8">
        <f t="shared" si="18"/>
        <v>2118778</v>
      </c>
      <c r="AT97" s="8"/>
      <c r="AU97" s="6">
        <v>0</v>
      </c>
      <c r="AV97" s="6"/>
      <c r="AW97" s="6">
        <v>0</v>
      </c>
      <c r="AX97" s="6"/>
      <c r="AY97" s="6">
        <f t="shared" si="20"/>
        <v>27400593</v>
      </c>
      <c r="AZ97" s="6"/>
      <c r="BA97" s="7" t="s">
        <v>43</v>
      </c>
      <c r="BB97" s="18"/>
      <c r="BC97" s="6" t="s">
        <v>101</v>
      </c>
      <c r="BD97" s="6"/>
      <c r="BE97" s="6">
        <v>0</v>
      </c>
      <c r="BF97" s="6"/>
      <c r="BG97" s="6">
        <f>146074110+7700000</f>
        <v>153774110</v>
      </c>
      <c r="BH97" s="6"/>
      <c r="BI97" s="6">
        <v>0</v>
      </c>
      <c r="BJ97" s="6"/>
      <c r="BK97" s="6">
        <f>787271+571582</f>
        <v>1358853</v>
      </c>
      <c r="BL97" s="6"/>
      <c r="BM97" s="6">
        <f t="shared" si="28"/>
        <v>155132963</v>
      </c>
      <c r="BN97" s="17" t="s">
        <v>345</v>
      </c>
      <c r="BO97" s="18" t="s">
        <v>313</v>
      </c>
    </row>
    <row r="98" spans="1:67" ht="12.75" hidden="1" customHeight="1" x14ac:dyDescent="0.2">
      <c r="A98" s="7" t="s">
        <v>121</v>
      </c>
      <c r="C98" s="6" t="s">
        <v>43</v>
      </c>
      <c r="D98" s="6"/>
      <c r="E98" s="6">
        <f t="shared" si="21"/>
        <v>0</v>
      </c>
      <c r="F98" s="6"/>
      <c r="G98" s="6"/>
      <c r="H98" s="6"/>
      <c r="I98" s="6"/>
      <c r="J98" s="6"/>
      <c r="K98" s="6">
        <f t="shared" si="22"/>
        <v>0</v>
      </c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>
        <f t="shared" si="19"/>
        <v>0</v>
      </c>
      <c r="X98" s="6"/>
      <c r="Y98" s="7" t="s">
        <v>121</v>
      </c>
      <c r="Z98" s="18"/>
      <c r="AA98" s="6" t="s">
        <v>43</v>
      </c>
      <c r="AB98" s="6"/>
      <c r="AC98" s="6"/>
      <c r="AD98" s="6"/>
      <c r="AE98" s="6"/>
      <c r="AF98" s="6"/>
      <c r="AG98" s="6"/>
      <c r="AH98" s="6"/>
      <c r="AI98" s="8">
        <f t="shared" si="9"/>
        <v>0</v>
      </c>
      <c r="AJ98" s="8"/>
      <c r="AK98" s="6"/>
      <c r="AL98" s="6"/>
      <c r="AM98" s="6"/>
      <c r="AN98" s="6"/>
      <c r="AO98" s="6"/>
      <c r="AP98" s="6"/>
      <c r="AQ98" s="6"/>
      <c r="AR98" s="6"/>
      <c r="AS98" s="8">
        <f t="shared" si="18"/>
        <v>0</v>
      </c>
      <c r="AT98" s="8"/>
      <c r="AU98" s="6">
        <v>0</v>
      </c>
      <c r="AV98" s="6"/>
      <c r="AW98" s="6">
        <v>0</v>
      </c>
      <c r="AX98" s="6"/>
      <c r="AY98" s="6">
        <f t="shared" si="20"/>
        <v>0</v>
      </c>
      <c r="AZ98" s="6"/>
      <c r="BA98" s="7" t="s">
        <v>121</v>
      </c>
      <c r="BB98" s="18"/>
      <c r="BC98" s="6" t="s">
        <v>43</v>
      </c>
      <c r="BD98" s="6"/>
      <c r="BE98" s="6"/>
      <c r="BF98" s="6"/>
      <c r="BG98" s="6"/>
      <c r="BH98" s="6"/>
      <c r="BI98" s="6"/>
      <c r="BJ98" s="6"/>
      <c r="BK98" s="6"/>
      <c r="BL98" s="6"/>
      <c r="BM98" s="6">
        <f t="shared" si="28"/>
        <v>0</v>
      </c>
      <c r="BN98" s="17" t="s">
        <v>345</v>
      </c>
    </row>
    <row r="99" spans="1:67" ht="12.75" hidden="1" customHeight="1" x14ac:dyDescent="0.2">
      <c r="A99" s="6" t="s">
        <v>122</v>
      </c>
      <c r="C99" s="6" t="s">
        <v>123</v>
      </c>
      <c r="D99" s="6"/>
      <c r="E99" s="6">
        <f t="shared" si="21"/>
        <v>0</v>
      </c>
      <c r="F99" s="6"/>
      <c r="G99" s="6"/>
      <c r="H99" s="6"/>
      <c r="I99" s="6"/>
      <c r="J99" s="6"/>
      <c r="K99" s="6">
        <f t="shared" si="22"/>
        <v>0</v>
      </c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>
        <f t="shared" si="19"/>
        <v>0</v>
      </c>
      <c r="X99" s="6"/>
      <c r="Y99" s="6" t="s">
        <v>122</v>
      </c>
      <c r="Z99" s="18"/>
      <c r="AA99" s="6" t="s">
        <v>123</v>
      </c>
      <c r="AB99" s="6"/>
      <c r="AC99" s="6"/>
      <c r="AD99" s="6"/>
      <c r="AE99" s="6"/>
      <c r="AF99" s="6"/>
      <c r="AG99" s="6"/>
      <c r="AH99" s="6"/>
      <c r="AI99" s="8">
        <f t="shared" si="9"/>
        <v>0</v>
      </c>
      <c r="AJ99" s="8"/>
      <c r="AK99" s="6"/>
      <c r="AL99" s="6"/>
      <c r="AM99" s="6"/>
      <c r="AN99" s="6"/>
      <c r="AO99" s="6"/>
      <c r="AP99" s="6"/>
      <c r="AQ99" s="6"/>
      <c r="AR99" s="6"/>
      <c r="AS99" s="8">
        <f t="shared" si="18"/>
        <v>0</v>
      </c>
      <c r="AT99" s="8"/>
      <c r="AU99" s="6">
        <v>0</v>
      </c>
      <c r="AV99" s="6"/>
      <c r="AW99" s="6">
        <v>0</v>
      </c>
      <c r="AX99" s="6"/>
      <c r="AY99" s="6">
        <f t="shared" si="20"/>
        <v>0</v>
      </c>
      <c r="AZ99" s="6"/>
      <c r="BA99" s="6" t="s">
        <v>122</v>
      </c>
      <c r="BB99" s="18"/>
      <c r="BC99" s="6" t="s">
        <v>123</v>
      </c>
      <c r="BD99" s="6"/>
      <c r="BE99" s="6"/>
      <c r="BF99" s="6"/>
      <c r="BG99" s="6"/>
      <c r="BH99" s="6"/>
      <c r="BI99" s="6"/>
      <c r="BJ99" s="6"/>
      <c r="BK99" s="6"/>
      <c r="BL99" s="6"/>
      <c r="BM99" s="6">
        <f t="shared" si="28"/>
        <v>0</v>
      </c>
      <c r="BN99" s="17" t="s">
        <v>345</v>
      </c>
    </row>
    <row r="100" spans="1:67" ht="12.75" hidden="1" customHeight="1" x14ac:dyDescent="0.2">
      <c r="A100" s="6" t="s">
        <v>124</v>
      </c>
      <c r="C100" s="6" t="s">
        <v>25</v>
      </c>
      <c r="D100" s="6"/>
      <c r="E100" s="6">
        <f t="shared" si="21"/>
        <v>0</v>
      </c>
      <c r="F100" s="6"/>
      <c r="G100" s="6"/>
      <c r="H100" s="6"/>
      <c r="I100" s="6"/>
      <c r="J100" s="6"/>
      <c r="K100" s="6">
        <f t="shared" si="22"/>
        <v>0</v>
      </c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>
        <f t="shared" si="19"/>
        <v>0</v>
      </c>
      <c r="X100" s="6"/>
      <c r="Y100" s="6" t="s">
        <v>124</v>
      </c>
      <c r="Z100" s="18"/>
      <c r="AA100" s="6" t="s">
        <v>25</v>
      </c>
      <c r="AB100" s="6"/>
      <c r="AC100" s="6"/>
      <c r="AD100" s="6"/>
      <c r="AE100" s="6"/>
      <c r="AF100" s="6"/>
      <c r="AG100" s="6"/>
      <c r="AH100" s="6"/>
      <c r="AI100" s="8">
        <f t="shared" si="9"/>
        <v>0</v>
      </c>
      <c r="AJ100" s="8"/>
      <c r="AK100" s="6"/>
      <c r="AL100" s="6"/>
      <c r="AM100" s="6"/>
      <c r="AN100" s="6"/>
      <c r="AO100" s="6"/>
      <c r="AP100" s="6"/>
      <c r="AQ100" s="6"/>
      <c r="AR100" s="6"/>
      <c r="AS100" s="8">
        <f t="shared" si="18"/>
        <v>0</v>
      </c>
      <c r="AT100" s="8"/>
      <c r="AU100" s="6">
        <v>0</v>
      </c>
      <c r="AV100" s="6"/>
      <c r="AW100" s="6">
        <v>0</v>
      </c>
      <c r="AX100" s="6"/>
      <c r="AY100" s="6">
        <f t="shared" si="20"/>
        <v>0</v>
      </c>
      <c r="AZ100" s="6"/>
      <c r="BA100" s="6" t="s">
        <v>124</v>
      </c>
      <c r="BB100" s="18"/>
      <c r="BC100" s="6" t="s">
        <v>25</v>
      </c>
      <c r="BD100" s="6"/>
      <c r="BE100" s="6"/>
      <c r="BF100" s="6"/>
      <c r="BG100" s="6"/>
      <c r="BH100" s="6"/>
      <c r="BI100" s="6"/>
      <c r="BJ100" s="6"/>
      <c r="BK100" s="6"/>
      <c r="BL100" s="6"/>
      <c r="BM100" s="6">
        <f t="shared" si="28"/>
        <v>0</v>
      </c>
      <c r="BN100" s="17" t="s">
        <v>345</v>
      </c>
    </row>
    <row r="101" spans="1:67" ht="12.75" hidden="1" customHeight="1" x14ac:dyDescent="0.2">
      <c r="A101" s="6" t="s">
        <v>125</v>
      </c>
      <c r="C101" s="6" t="s">
        <v>41</v>
      </c>
      <c r="D101" s="6"/>
      <c r="E101" s="6">
        <f t="shared" si="21"/>
        <v>0</v>
      </c>
      <c r="F101" s="6"/>
      <c r="G101" s="6"/>
      <c r="H101" s="6"/>
      <c r="I101" s="6"/>
      <c r="J101" s="6"/>
      <c r="K101" s="6">
        <f t="shared" si="22"/>
        <v>0</v>
      </c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>
        <f t="shared" si="19"/>
        <v>0</v>
      </c>
      <c r="X101" s="6"/>
      <c r="Y101" s="6" t="s">
        <v>125</v>
      </c>
      <c r="Z101" s="18"/>
      <c r="AA101" s="6" t="s">
        <v>41</v>
      </c>
      <c r="AB101" s="6"/>
      <c r="AC101" s="6"/>
      <c r="AD101" s="6"/>
      <c r="AE101" s="6"/>
      <c r="AF101" s="6"/>
      <c r="AG101" s="6"/>
      <c r="AH101" s="6"/>
      <c r="AI101" s="8">
        <f t="shared" ref="AI101:AI165" si="29">+AC101-AE101-AG101</f>
        <v>0</v>
      </c>
      <c r="AJ101" s="8"/>
      <c r="AK101" s="6"/>
      <c r="AL101" s="6"/>
      <c r="AM101" s="6"/>
      <c r="AN101" s="6"/>
      <c r="AO101" s="6"/>
      <c r="AP101" s="6"/>
      <c r="AQ101" s="6"/>
      <c r="AR101" s="6"/>
      <c r="AS101" s="8">
        <f t="shared" si="18"/>
        <v>0</v>
      </c>
      <c r="AT101" s="8"/>
      <c r="AU101" s="6">
        <v>0</v>
      </c>
      <c r="AV101" s="6"/>
      <c r="AW101" s="6">
        <v>0</v>
      </c>
      <c r="AX101" s="6"/>
      <c r="AY101" s="6">
        <f t="shared" si="20"/>
        <v>0</v>
      </c>
      <c r="AZ101" s="6"/>
      <c r="BA101" s="6" t="s">
        <v>125</v>
      </c>
      <c r="BB101" s="18"/>
      <c r="BC101" s="6" t="s">
        <v>41</v>
      </c>
      <c r="BD101" s="6"/>
      <c r="BE101" s="6"/>
      <c r="BF101" s="6"/>
      <c r="BG101" s="6"/>
      <c r="BH101" s="6"/>
      <c r="BI101" s="6"/>
      <c r="BJ101" s="6"/>
      <c r="BK101" s="6"/>
      <c r="BL101" s="6"/>
      <c r="BM101" s="6">
        <f t="shared" ref="BM101:BM132" si="30">SUM(BE101:BK101)</f>
        <v>0</v>
      </c>
      <c r="BN101" s="17" t="s">
        <v>345</v>
      </c>
    </row>
    <row r="102" spans="1:67" ht="12.75" hidden="1" customHeight="1" x14ac:dyDescent="0.2">
      <c r="A102" s="6" t="s">
        <v>126</v>
      </c>
      <c r="C102" s="6" t="s">
        <v>117</v>
      </c>
      <c r="D102" s="6"/>
      <c r="E102" s="6">
        <f t="shared" si="21"/>
        <v>0</v>
      </c>
      <c r="F102" s="6"/>
      <c r="G102" s="6"/>
      <c r="H102" s="6"/>
      <c r="I102" s="6"/>
      <c r="J102" s="6"/>
      <c r="K102" s="6">
        <f t="shared" si="22"/>
        <v>0</v>
      </c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>
        <f t="shared" si="19"/>
        <v>0</v>
      </c>
      <c r="X102" s="6"/>
      <c r="Y102" s="6" t="s">
        <v>126</v>
      </c>
      <c r="Z102" s="18"/>
      <c r="AA102" s="6" t="s">
        <v>117</v>
      </c>
      <c r="AB102" s="6"/>
      <c r="AC102" s="6"/>
      <c r="AD102" s="6"/>
      <c r="AE102" s="6"/>
      <c r="AF102" s="6"/>
      <c r="AG102" s="6"/>
      <c r="AH102" s="6"/>
      <c r="AI102" s="8">
        <f t="shared" si="29"/>
        <v>0</v>
      </c>
      <c r="AJ102" s="8"/>
      <c r="AK102" s="6"/>
      <c r="AL102" s="6"/>
      <c r="AM102" s="6"/>
      <c r="AN102" s="6"/>
      <c r="AO102" s="6"/>
      <c r="AP102" s="6"/>
      <c r="AQ102" s="6"/>
      <c r="AR102" s="6"/>
      <c r="AS102" s="8">
        <f t="shared" si="18"/>
        <v>0</v>
      </c>
      <c r="AT102" s="8"/>
      <c r="AU102" s="6">
        <v>0</v>
      </c>
      <c r="AV102" s="6"/>
      <c r="AW102" s="6">
        <v>0</v>
      </c>
      <c r="AX102" s="6"/>
      <c r="AY102" s="6">
        <f t="shared" si="20"/>
        <v>0</v>
      </c>
      <c r="AZ102" s="6"/>
      <c r="BA102" s="6" t="s">
        <v>126</v>
      </c>
      <c r="BB102" s="18"/>
      <c r="BC102" s="6" t="s">
        <v>117</v>
      </c>
      <c r="BD102" s="6"/>
      <c r="BE102" s="6"/>
      <c r="BF102" s="6"/>
      <c r="BG102" s="6"/>
      <c r="BH102" s="6"/>
      <c r="BI102" s="6"/>
      <c r="BJ102" s="6"/>
      <c r="BK102" s="6"/>
      <c r="BL102" s="6"/>
      <c r="BM102" s="6">
        <f t="shared" si="30"/>
        <v>0</v>
      </c>
      <c r="BN102" s="17" t="s">
        <v>345</v>
      </c>
    </row>
    <row r="103" spans="1:67" ht="12.75" customHeight="1" x14ac:dyDescent="0.2">
      <c r="A103" s="6" t="s">
        <v>127</v>
      </c>
      <c r="B103" s="18"/>
      <c r="C103" s="6" t="s">
        <v>78</v>
      </c>
      <c r="D103" s="6"/>
      <c r="E103" s="6">
        <v>5152588</v>
      </c>
      <c r="F103" s="6"/>
      <c r="G103" s="6">
        <v>4818398</v>
      </c>
      <c r="H103" s="6"/>
      <c r="I103" s="6">
        <f>+E103+G103</f>
        <v>9970986</v>
      </c>
      <c r="J103" s="6"/>
      <c r="K103" s="6">
        <v>2477424</v>
      </c>
      <c r="L103" s="6"/>
      <c r="M103" s="6">
        <v>572985</v>
      </c>
      <c r="N103" s="6"/>
      <c r="O103" s="6">
        <f>+K103+M103</f>
        <v>3050409</v>
      </c>
      <c r="P103" s="6"/>
      <c r="Q103" s="6">
        <v>1997681</v>
      </c>
      <c r="R103" s="6"/>
      <c r="S103" s="6">
        <v>0</v>
      </c>
      <c r="T103" s="6"/>
      <c r="U103" s="6">
        <v>4922896</v>
      </c>
      <c r="V103" s="6"/>
      <c r="W103" s="6">
        <f t="shared" si="19"/>
        <v>6920577</v>
      </c>
      <c r="X103" s="6"/>
      <c r="Y103" s="6" t="s">
        <v>127</v>
      </c>
      <c r="Z103" s="18"/>
      <c r="AA103" s="6" t="s">
        <v>78</v>
      </c>
      <c r="AB103" s="6"/>
      <c r="AC103" s="6">
        <v>6211101</v>
      </c>
      <c r="AD103" s="6"/>
      <c r="AE103" s="6">
        <f>5879253-362338</f>
        <v>5516915</v>
      </c>
      <c r="AF103" s="6"/>
      <c r="AG103" s="6">
        <v>362338</v>
      </c>
      <c r="AH103" s="6"/>
      <c r="AI103" s="8">
        <f t="shared" si="29"/>
        <v>331848</v>
      </c>
      <c r="AJ103" s="8"/>
      <c r="AK103" s="6">
        <v>-208096</v>
      </c>
      <c r="AL103" s="6"/>
      <c r="AM103" s="6">
        <v>0</v>
      </c>
      <c r="AN103" s="6"/>
      <c r="AO103" s="6">
        <v>0</v>
      </c>
      <c r="AP103" s="6"/>
      <c r="AQ103" s="6">
        <v>0</v>
      </c>
      <c r="AR103" s="6"/>
      <c r="AS103" s="8">
        <f t="shared" si="18"/>
        <v>123752</v>
      </c>
      <c r="AT103" s="8"/>
      <c r="AU103" s="6">
        <v>0</v>
      </c>
      <c r="AV103" s="6"/>
      <c r="AW103" s="6">
        <v>0</v>
      </c>
      <c r="AX103" s="6"/>
      <c r="AY103" s="6">
        <f t="shared" si="20"/>
        <v>2675164</v>
      </c>
      <c r="AZ103" s="6"/>
      <c r="BA103" s="6" t="s">
        <v>127</v>
      </c>
      <c r="BB103" s="18"/>
      <c r="BC103" s="6" t="s">
        <v>78</v>
      </c>
      <c r="BD103" s="6"/>
      <c r="BE103" s="6">
        <v>0</v>
      </c>
      <c r="BF103" s="6"/>
      <c r="BG103" s="6">
        <v>0</v>
      </c>
      <c r="BH103" s="6"/>
      <c r="BI103" s="6">
        <v>0</v>
      </c>
      <c r="BJ103" s="6"/>
      <c r="BK103" s="6">
        <f>519645+53340+57558+40030</f>
        <v>670573</v>
      </c>
      <c r="BL103" s="6"/>
      <c r="BM103" s="6">
        <f t="shared" si="30"/>
        <v>670573</v>
      </c>
      <c r="BN103" s="17" t="s">
        <v>345</v>
      </c>
    </row>
    <row r="104" spans="1:67" hidden="1" x14ac:dyDescent="0.2">
      <c r="A104" s="6" t="s">
        <v>128</v>
      </c>
      <c r="C104" s="6" t="s">
        <v>64</v>
      </c>
      <c r="D104" s="6"/>
      <c r="E104" s="6">
        <f t="shared" si="21"/>
        <v>0</v>
      </c>
      <c r="F104" s="6"/>
      <c r="G104" s="6"/>
      <c r="H104" s="6"/>
      <c r="I104" s="6"/>
      <c r="J104" s="6"/>
      <c r="K104" s="6">
        <f t="shared" si="22"/>
        <v>0</v>
      </c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>
        <f t="shared" si="19"/>
        <v>0</v>
      </c>
      <c r="X104" s="6"/>
      <c r="Y104" s="6" t="s">
        <v>128</v>
      </c>
      <c r="Z104" s="18"/>
      <c r="AA104" s="6" t="s">
        <v>64</v>
      </c>
      <c r="AB104" s="6"/>
      <c r="AC104" s="6"/>
      <c r="AD104" s="6"/>
      <c r="AE104" s="6"/>
      <c r="AF104" s="6"/>
      <c r="AG104" s="6"/>
      <c r="AH104" s="6"/>
      <c r="AI104" s="8">
        <f t="shared" si="29"/>
        <v>0</v>
      </c>
      <c r="AJ104" s="8"/>
      <c r="AK104" s="6"/>
      <c r="AL104" s="6"/>
      <c r="AM104" s="6"/>
      <c r="AN104" s="6"/>
      <c r="AO104" s="6"/>
      <c r="AP104" s="6"/>
      <c r="AQ104" s="6"/>
      <c r="AR104" s="6"/>
      <c r="AS104" s="8">
        <f t="shared" si="18"/>
        <v>0</v>
      </c>
      <c r="AT104" s="8"/>
      <c r="AU104" s="6">
        <v>0</v>
      </c>
      <c r="AV104" s="6"/>
      <c r="AW104" s="6">
        <v>0</v>
      </c>
      <c r="AX104" s="6"/>
      <c r="AY104" s="6">
        <f t="shared" si="20"/>
        <v>0</v>
      </c>
      <c r="AZ104" s="6"/>
      <c r="BA104" s="6" t="s">
        <v>128</v>
      </c>
      <c r="BB104" s="18"/>
      <c r="BC104" s="6" t="s">
        <v>64</v>
      </c>
      <c r="BD104" s="6"/>
      <c r="BE104" s="6"/>
      <c r="BF104" s="6"/>
      <c r="BG104" s="6"/>
      <c r="BH104" s="6"/>
      <c r="BI104" s="6"/>
      <c r="BJ104" s="6"/>
      <c r="BK104" s="6"/>
      <c r="BL104" s="6"/>
      <c r="BM104" s="6">
        <f t="shared" si="30"/>
        <v>0</v>
      </c>
      <c r="BN104" s="17" t="s">
        <v>345</v>
      </c>
    </row>
    <row r="105" spans="1:67" ht="12.75" customHeight="1" x14ac:dyDescent="0.2">
      <c r="A105" s="6" t="s">
        <v>129</v>
      </c>
      <c r="C105" s="6" t="s">
        <v>11</v>
      </c>
      <c r="D105" s="6"/>
      <c r="E105" s="6">
        <v>17143944</v>
      </c>
      <c r="F105" s="6"/>
      <c r="G105" s="6">
        <v>8815733</v>
      </c>
      <c r="H105" s="6"/>
      <c r="I105" s="6">
        <v>26589049</v>
      </c>
      <c r="J105" s="6"/>
      <c r="K105" s="6">
        <v>1953445</v>
      </c>
      <c r="L105" s="6"/>
      <c r="M105" s="6">
        <v>2447770</v>
      </c>
      <c r="N105" s="6"/>
      <c r="O105" s="6">
        <v>4750235</v>
      </c>
      <c r="P105" s="6"/>
      <c r="Q105" s="6">
        <v>6077329</v>
      </c>
      <c r="R105" s="6"/>
      <c r="S105" s="6">
        <v>0</v>
      </c>
      <c r="T105" s="6"/>
      <c r="U105" s="6">
        <v>15481133</v>
      </c>
      <c r="V105" s="6"/>
      <c r="W105" s="6">
        <f t="shared" si="19"/>
        <v>21558462</v>
      </c>
      <c r="X105" s="6"/>
      <c r="Y105" s="6" t="s">
        <v>129</v>
      </c>
      <c r="Z105" s="18"/>
      <c r="AA105" s="6" t="s">
        <v>11</v>
      </c>
      <c r="AB105" s="6"/>
      <c r="AC105" s="6">
        <v>18207998</v>
      </c>
      <c r="AD105" s="6"/>
      <c r="AE105" s="6">
        <f>18433580-449004</f>
        <v>17984576</v>
      </c>
      <c r="AF105" s="6"/>
      <c r="AG105" s="6">
        <v>449004</v>
      </c>
      <c r="AH105" s="6"/>
      <c r="AI105" s="8">
        <f t="shared" si="29"/>
        <v>-225582</v>
      </c>
      <c r="AJ105" s="8"/>
      <c r="AK105" s="6">
        <v>-54770</v>
      </c>
      <c r="AL105" s="6"/>
      <c r="AM105" s="6">
        <v>0</v>
      </c>
      <c r="AN105" s="6"/>
      <c r="AO105" s="6">
        <v>0</v>
      </c>
      <c r="AP105" s="6"/>
      <c r="AQ105" s="6">
        <v>0</v>
      </c>
      <c r="AR105" s="6"/>
      <c r="AS105" s="8">
        <f t="shared" ref="AS105:AS169" si="31">+AI105+AK105+AM105-AO105+AQ105</f>
        <v>-280352</v>
      </c>
      <c r="AT105" s="8"/>
      <c r="AU105" s="6">
        <v>0</v>
      </c>
      <c r="AV105" s="6"/>
      <c r="AW105" s="6">
        <v>0</v>
      </c>
      <c r="AX105" s="6"/>
      <c r="AY105" s="6">
        <f t="shared" si="20"/>
        <v>15190499</v>
      </c>
      <c r="AZ105" s="6"/>
      <c r="BA105" s="6" t="s">
        <v>129</v>
      </c>
      <c r="BB105" s="18"/>
      <c r="BC105" s="6" t="s">
        <v>11</v>
      </c>
      <c r="BD105" s="6"/>
      <c r="BE105" s="6">
        <f>2014647+152000</f>
        <v>2166647</v>
      </c>
      <c r="BF105" s="6"/>
      <c r="BG105" s="6">
        <v>0</v>
      </c>
      <c r="BH105" s="6"/>
      <c r="BI105" s="6">
        <v>0</v>
      </c>
      <c r="BJ105" s="6"/>
      <c r="BK105" s="6">
        <f>433123+280154</f>
        <v>713277</v>
      </c>
      <c r="BL105" s="6"/>
      <c r="BM105" s="6">
        <f t="shared" si="30"/>
        <v>2879924</v>
      </c>
      <c r="BN105" s="17" t="s">
        <v>345</v>
      </c>
    </row>
    <row r="106" spans="1:67" ht="12.75" customHeight="1" x14ac:dyDescent="0.2">
      <c r="A106" s="6" t="s">
        <v>36</v>
      </c>
      <c r="C106" s="6" t="s">
        <v>130</v>
      </c>
      <c r="D106" s="6"/>
      <c r="E106" s="6">
        <f t="shared" ref="E106:E170" si="32">I106-G106</f>
        <v>144344</v>
      </c>
      <c r="F106" s="6"/>
      <c r="G106" s="6">
        <v>81833</v>
      </c>
      <c r="H106" s="6"/>
      <c r="I106" s="6">
        <v>226177</v>
      </c>
      <c r="J106" s="6"/>
      <c r="K106" s="6">
        <f t="shared" ref="K106:K170" si="33">O106-M106</f>
        <v>8018</v>
      </c>
      <c r="L106" s="6"/>
      <c r="M106" s="6">
        <v>0</v>
      </c>
      <c r="N106" s="6"/>
      <c r="O106" s="6">
        <v>8018</v>
      </c>
      <c r="P106" s="6"/>
      <c r="Q106" s="6">
        <v>81833</v>
      </c>
      <c r="R106" s="6"/>
      <c r="S106" s="6">
        <v>0</v>
      </c>
      <c r="T106" s="6"/>
      <c r="U106" s="6">
        <v>136326</v>
      </c>
      <c r="V106" s="6"/>
      <c r="W106" s="6">
        <f t="shared" ref="W106:W170" si="34">SUM(Q106:U106)</f>
        <v>218159</v>
      </c>
      <c r="X106" s="6"/>
      <c r="Y106" s="6" t="s">
        <v>36</v>
      </c>
      <c r="Z106" s="18"/>
      <c r="AA106" s="6" t="s">
        <v>130</v>
      </c>
      <c r="AB106" s="6"/>
      <c r="AC106" s="6">
        <v>128287</v>
      </c>
      <c r="AD106" s="6"/>
      <c r="AE106" s="6">
        <f>135935-2976</f>
        <v>132959</v>
      </c>
      <c r="AF106" s="6"/>
      <c r="AG106" s="6">
        <v>2976</v>
      </c>
      <c r="AH106" s="6"/>
      <c r="AI106" s="8">
        <f t="shared" si="29"/>
        <v>-7648</v>
      </c>
      <c r="AJ106" s="8"/>
      <c r="AK106" s="6">
        <v>0</v>
      </c>
      <c r="AL106" s="6"/>
      <c r="AM106" s="6">
        <v>0</v>
      </c>
      <c r="AN106" s="6"/>
      <c r="AO106" s="6">
        <v>0</v>
      </c>
      <c r="AP106" s="6"/>
      <c r="AQ106" s="6">
        <v>0</v>
      </c>
      <c r="AR106" s="6"/>
      <c r="AS106" s="8">
        <f t="shared" si="31"/>
        <v>-7648</v>
      </c>
      <c r="AT106" s="8"/>
      <c r="AU106" s="6">
        <v>0</v>
      </c>
      <c r="AV106" s="6"/>
      <c r="AW106" s="6">
        <v>0</v>
      </c>
      <c r="AX106" s="6"/>
      <c r="AY106" s="6">
        <f t="shared" ref="AY106:AY170" si="35">+E106-K106</f>
        <v>136326</v>
      </c>
      <c r="AZ106" s="6"/>
      <c r="BA106" s="6" t="s">
        <v>36</v>
      </c>
      <c r="BB106" s="18"/>
      <c r="BC106" s="6" t="s">
        <v>130</v>
      </c>
      <c r="BD106" s="6"/>
      <c r="BE106" s="6">
        <v>0</v>
      </c>
      <c r="BF106" s="6"/>
      <c r="BG106" s="6">
        <v>0</v>
      </c>
      <c r="BH106" s="6"/>
      <c r="BI106" s="6">
        <v>0</v>
      </c>
      <c r="BJ106" s="6"/>
      <c r="BK106" s="6">
        <v>0</v>
      </c>
      <c r="BL106" s="6"/>
      <c r="BM106" s="6">
        <f t="shared" si="30"/>
        <v>0</v>
      </c>
      <c r="BN106" s="17" t="s">
        <v>345</v>
      </c>
    </row>
    <row r="107" spans="1:67" ht="12.75" hidden="1" customHeight="1" x14ac:dyDescent="0.2">
      <c r="A107" s="6" t="s">
        <v>131</v>
      </c>
      <c r="C107" s="6" t="s">
        <v>25</v>
      </c>
      <c r="D107" s="6"/>
      <c r="E107" s="6">
        <f t="shared" si="32"/>
        <v>0</v>
      </c>
      <c r="F107" s="6"/>
      <c r="G107" s="6"/>
      <c r="H107" s="6"/>
      <c r="I107" s="6"/>
      <c r="J107" s="6"/>
      <c r="K107" s="6">
        <f t="shared" si="33"/>
        <v>0</v>
      </c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>
        <f t="shared" si="34"/>
        <v>0</v>
      </c>
      <c r="X107" s="6"/>
      <c r="Y107" s="6" t="s">
        <v>131</v>
      </c>
      <c r="Z107" s="18"/>
      <c r="AA107" s="6" t="s">
        <v>25</v>
      </c>
      <c r="AB107" s="6"/>
      <c r="AC107" s="6"/>
      <c r="AD107" s="6"/>
      <c r="AE107" s="6"/>
      <c r="AF107" s="6"/>
      <c r="AG107" s="6"/>
      <c r="AH107" s="6"/>
      <c r="AI107" s="8">
        <f t="shared" si="29"/>
        <v>0</v>
      </c>
      <c r="AJ107" s="8"/>
      <c r="AK107" s="6"/>
      <c r="AL107" s="6"/>
      <c r="AM107" s="6"/>
      <c r="AN107" s="6"/>
      <c r="AO107" s="6"/>
      <c r="AP107" s="6"/>
      <c r="AQ107" s="6"/>
      <c r="AR107" s="6"/>
      <c r="AS107" s="8">
        <f t="shared" si="31"/>
        <v>0</v>
      </c>
      <c r="AT107" s="8"/>
      <c r="AU107" s="6">
        <v>0</v>
      </c>
      <c r="AV107" s="6"/>
      <c r="AW107" s="6">
        <v>0</v>
      </c>
      <c r="AX107" s="6"/>
      <c r="AY107" s="6">
        <f t="shared" si="35"/>
        <v>0</v>
      </c>
      <c r="AZ107" s="6"/>
      <c r="BA107" s="6" t="s">
        <v>131</v>
      </c>
      <c r="BB107" s="18"/>
      <c r="BC107" s="6" t="s">
        <v>25</v>
      </c>
      <c r="BD107" s="6"/>
      <c r="BE107" s="6"/>
      <c r="BF107" s="6"/>
      <c r="BG107" s="6"/>
      <c r="BH107" s="6"/>
      <c r="BI107" s="6"/>
      <c r="BJ107" s="6"/>
      <c r="BK107" s="6"/>
      <c r="BL107" s="6"/>
      <c r="BM107" s="6">
        <f t="shared" si="30"/>
        <v>0</v>
      </c>
      <c r="BN107" s="17" t="s">
        <v>345</v>
      </c>
    </row>
    <row r="108" spans="1:67" ht="12.75" hidden="1" customHeight="1" x14ac:dyDescent="0.2">
      <c r="A108" s="6" t="s">
        <v>132</v>
      </c>
      <c r="B108" s="18"/>
      <c r="C108" s="6" t="s">
        <v>133</v>
      </c>
      <c r="D108" s="6"/>
      <c r="E108" s="6">
        <f t="shared" si="32"/>
        <v>0</v>
      </c>
      <c r="F108" s="6"/>
      <c r="G108" s="6"/>
      <c r="H108" s="6"/>
      <c r="I108" s="6"/>
      <c r="J108" s="6"/>
      <c r="K108" s="6">
        <f t="shared" si="33"/>
        <v>0</v>
      </c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>
        <f t="shared" si="34"/>
        <v>0</v>
      </c>
      <c r="X108" s="6"/>
      <c r="Y108" s="6" t="s">
        <v>132</v>
      </c>
      <c r="Z108" s="18"/>
      <c r="AA108" s="6" t="s">
        <v>133</v>
      </c>
      <c r="AB108" s="6"/>
      <c r="AC108" s="6"/>
      <c r="AD108" s="6"/>
      <c r="AE108" s="6"/>
      <c r="AF108" s="6"/>
      <c r="AG108" s="6"/>
      <c r="AH108" s="6"/>
      <c r="AI108" s="8">
        <f t="shared" si="29"/>
        <v>0</v>
      </c>
      <c r="AJ108" s="8"/>
      <c r="AK108" s="6"/>
      <c r="AL108" s="6"/>
      <c r="AM108" s="6"/>
      <c r="AN108" s="6"/>
      <c r="AO108" s="6"/>
      <c r="AP108" s="6"/>
      <c r="AQ108" s="6"/>
      <c r="AR108" s="6"/>
      <c r="AS108" s="8">
        <f t="shared" si="31"/>
        <v>0</v>
      </c>
      <c r="AT108" s="8"/>
      <c r="AU108" s="6"/>
      <c r="AV108" s="6"/>
      <c r="AW108" s="6"/>
      <c r="AX108" s="6"/>
      <c r="AY108" s="6">
        <f t="shared" si="35"/>
        <v>0</v>
      </c>
      <c r="AZ108" s="6"/>
      <c r="BA108" s="6" t="s">
        <v>132</v>
      </c>
      <c r="BB108" s="18"/>
      <c r="BC108" s="6" t="s">
        <v>133</v>
      </c>
      <c r="BD108" s="6"/>
      <c r="BE108" s="6"/>
      <c r="BF108" s="6"/>
      <c r="BG108" s="6"/>
      <c r="BH108" s="6"/>
      <c r="BI108" s="6"/>
      <c r="BJ108" s="6"/>
      <c r="BK108" s="6"/>
      <c r="BL108" s="6"/>
      <c r="BM108" s="6">
        <f t="shared" si="30"/>
        <v>0</v>
      </c>
      <c r="BN108" s="17"/>
    </row>
    <row r="109" spans="1:67" ht="12.75" customHeight="1" x14ac:dyDescent="0.2">
      <c r="A109" s="6" t="s">
        <v>134</v>
      </c>
      <c r="C109" s="6" t="s">
        <v>134</v>
      </c>
      <c r="D109" s="6"/>
      <c r="E109" s="6">
        <v>14891411</v>
      </c>
      <c r="F109" s="6"/>
      <c r="G109" s="6">
        <v>8188678</v>
      </c>
      <c r="H109" s="6"/>
      <c r="I109" s="6">
        <v>22746836</v>
      </c>
      <c r="J109" s="6"/>
      <c r="K109" s="6">
        <v>1372317</v>
      </c>
      <c r="L109" s="6"/>
      <c r="M109" s="6">
        <v>5432388</v>
      </c>
      <c r="N109" s="6"/>
      <c r="O109" s="6">
        <v>7494097</v>
      </c>
      <c r="P109" s="6"/>
      <c r="Q109" s="6">
        <v>4578095</v>
      </c>
      <c r="R109" s="6"/>
      <c r="S109" s="6">
        <v>0</v>
      </c>
      <c r="T109" s="6"/>
      <c r="U109" s="6">
        <v>12395007</v>
      </c>
      <c r="V109" s="6"/>
      <c r="W109" s="6">
        <f t="shared" si="34"/>
        <v>16973102</v>
      </c>
      <c r="X109" s="6"/>
      <c r="Y109" s="6" t="s">
        <v>134</v>
      </c>
      <c r="Z109" s="18"/>
      <c r="AA109" s="6" t="s">
        <v>134</v>
      </c>
      <c r="AB109" s="6"/>
      <c r="AC109" s="6">
        <v>16928363</v>
      </c>
      <c r="AD109" s="6"/>
      <c r="AE109" s="6">
        <f>15594937-279254</f>
        <v>15315683</v>
      </c>
      <c r="AF109" s="6"/>
      <c r="AG109" s="6">
        <v>279254</v>
      </c>
      <c r="AH109" s="6"/>
      <c r="AI109" s="8">
        <f t="shared" si="29"/>
        <v>1333426</v>
      </c>
      <c r="AJ109" s="8"/>
      <c r="AK109" s="6">
        <v>-199728</v>
      </c>
      <c r="AL109" s="6"/>
      <c r="AM109" s="6">
        <v>0</v>
      </c>
      <c r="AN109" s="6"/>
      <c r="AO109" s="6">
        <v>0</v>
      </c>
      <c r="AP109" s="6"/>
      <c r="AQ109" s="6">
        <v>0</v>
      </c>
      <c r="AR109" s="6"/>
      <c r="AS109" s="8">
        <f t="shared" si="31"/>
        <v>1133698</v>
      </c>
      <c r="AT109" s="8"/>
      <c r="AU109" s="6">
        <v>0</v>
      </c>
      <c r="AV109" s="6"/>
      <c r="AW109" s="6">
        <v>0</v>
      </c>
      <c r="AX109" s="6"/>
      <c r="AY109" s="6">
        <f t="shared" si="35"/>
        <v>13519094</v>
      </c>
      <c r="AZ109" s="6"/>
      <c r="BA109" s="6" t="s">
        <v>134</v>
      </c>
      <c r="BB109" s="18"/>
      <c r="BC109" s="6" t="s">
        <v>134</v>
      </c>
      <c r="BD109" s="6"/>
      <c r="BE109" s="6">
        <v>0</v>
      </c>
      <c r="BF109" s="6"/>
      <c r="BG109" s="6">
        <f>3285583+325000</f>
        <v>3610583</v>
      </c>
      <c r="BH109" s="6"/>
      <c r="BI109" s="6">
        <v>0</v>
      </c>
      <c r="BJ109" s="6"/>
      <c r="BK109" s="6">
        <f>217411+1929394+482348+66531</f>
        <v>2695684</v>
      </c>
      <c r="BL109" s="6"/>
      <c r="BM109" s="6">
        <f t="shared" si="30"/>
        <v>6306267</v>
      </c>
      <c r="BN109" s="17" t="s">
        <v>345</v>
      </c>
    </row>
    <row r="110" spans="1:67" ht="12.75" hidden="1" customHeight="1" x14ac:dyDescent="0.2">
      <c r="A110" s="6" t="s">
        <v>135</v>
      </c>
      <c r="C110" s="6" t="s">
        <v>20</v>
      </c>
      <c r="D110" s="6"/>
      <c r="E110" s="6">
        <f t="shared" si="32"/>
        <v>0</v>
      </c>
      <c r="F110" s="6"/>
      <c r="G110" s="6"/>
      <c r="H110" s="6"/>
      <c r="I110" s="6"/>
      <c r="J110" s="6"/>
      <c r="K110" s="6">
        <f t="shared" si="33"/>
        <v>0</v>
      </c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>
        <f t="shared" si="34"/>
        <v>0</v>
      </c>
      <c r="X110" s="6"/>
      <c r="Y110" s="6" t="s">
        <v>135</v>
      </c>
      <c r="Z110" s="18"/>
      <c r="AA110" s="6" t="s">
        <v>20</v>
      </c>
      <c r="AB110" s="6"/>
      <c r="AC110" s="6"/>
      <c r="AD110" s="6"/>
      <c r="AE110" s="6"/>
      <c r="AF110" s="6"/>
      <c r="AG110" s="6"/>
      <c r="AH110" s="6"/>
      <c r="AI110" s="8">
        <f t="shared" si="29"/>
        <v>0</v>
      </c>
      <c r="AJ110" s="8"/>
      <c r="AK110" s="6"/>
      <c r="AL110" s="6"/>
      <c r="AM110" s="6"/>
      <c r="AN110" s="6"/>
      <c r="AO110" s="6"/>
      <c r="AP110" s="6"/>
      <c r="AQ110" s="6"/>
      <c r="AR110" s="6"/>
      <c r="AS110" s="8">
        <f t="shared" si="31"/>
        <v>0</v>
      </c>
      <c r="AT110" s="8"/>
      <c r="AU110" s="6">
        <v>0</v>
      </c>
      <c r="AV110" s="6"/>
      <c r="AW110" s="6">
        <v>0</v>
      </c>
      <c r="AX110" s="6"/>
      <c r="AY110" s="6">
        <f t="shared" si="35"/>
        <v>0</v>
      </c>
      <c r="AZ110" s="6"/>
      <c r="BA110" s="6" t="s">
        <v>135</v>
      </c>
      <c r="BB110" s="18"/>
      <c r="BC110" s="6" t="s">
        <v>20</v>
      </c>
      <c r="BD110" s="6"/>
      <c r="BE110" s="6"/>
      <c r="BF110" s="6"/>
      <c r="BG110" s="6"/>
      <c r="BH110" s="6"/>
      <c r="BI110" s="6"/>
      <c r="BJ110" s="6"/>
      <c r="BK110" s="6"/>
      <c r="BL110" s="6"/>
      <c r="BM110" s="6">
        <f t="shared" si="30"/>
        <v>0</v>
      </c>
      <c r="BN110" s="17" t="s">
        <v>345</v>
      </c>
    </row>
    <row r="111" spans="1:67" ht="12.75" hidden="1" customHeight="1" x14ac:dyDescent="0.2">
      <c r="A111" s="6" t="s">
        <v>136</v>
      </c>
      <c r="C111" s="6" t="s">
        <v>137</v>
      </c>
      <c r="D111" s="6"/>
      <c r="E111" s="6">
        <f t="shared" si="32"/>
        <v>0</v>
      </c>
      <c r="F111" s="6"/>
      <c r="G111" s="6"/>
      <c r="H111" s="6"/>
      <c r="I111" s="6"/>
      <c r="J111" s="6"/>
      <c r="K111" s="6">
        <f t="shared" si="33"/>
        <v>0</v>
      </c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>
        <f t="shared" si="34"/>
        <v>0</v>
      </c>
      <c r="X111" s="6"/>
      <c r="Y111" s="6" t="s">
        <v>136</v>
      </c>
      <c r="Z111" s="18"/>
      <c r="AA111" s="6" t="s">
        <v>137</v>
      </c>
      <c r="AB111" s="6"/>
      <c r="AC111" s="6"/>
      <c r="AD111" s="6"/>
      <c r="AE111" s="6"/>
      <c r="AF111" s="6"/>
      <c r="AG111" s="6"/>
      <c r="AH111" s="6"/>
      <c r="AI111" s="8">
        <f t="shared" si="29"/>
        <v>0</v>
      </c>
      <c r="AJ111" s="8"/>
      <c r="AK111" s="6"/>
      <c r="AL111" s="6"/>
      <c r="AM111" s="6"/>
      <c r="AN111" s="6"/>
      <c r="AO111" s="6"/>
      <c r="AP111" s="6"/>
      <c r="AQ111" s="6"/>
      <c r="AR111" s="6"/>
      <c r="AS111" s="8">
        <f t="shared" si="31"/>
        <v>0</v>
      </c>
      <c r="AT111" s="8"/>
      <c r="AU111" s="6">
        <v>0</v>
      </c>
      <c r="AV111" s="6"/>
      <c r="AW111" s="6">
        <v>0</v>
      </c>
      <c r="AX111" s="6"/>
      <c r="AY111" s="6">
        <f t="shared" si="35"/>
        <v>0</v>
      </c>
      <c r="AZ111" s="6"/>
      <c r="BA111" s="6" t="s">
        <v>136</v>
      </c>
      <c r="BB111" s="18"/>
      <c r="BC111" s="6" t="s">
        <v>137</v>
      </c>
      <c r="BD111" s="6"/>
      <c r="BE111" s="6"/>
      <c r="BF111" s="6"/>
      <c r="BG111" s="6"/>
      <c r="BH111" s="6"/>
      <c r="BI111" s="6"/>
      <c r="BJ111" s="6"/>
      <c r="BK111" s="6"/>
      <c r="BL111" s="6"/>
      <c r="BM111" s="6">
        <f t="shared" si="30"/>
        <v>0</v>
      </c>
      <c r="BN111" s="17" t="s">
        <v>345</v>
      </c>
    </row>
    <row r="112" spans="1:67" ht="12.75" hidden="1" customHeight="1" x14ac:dyDescent="0.2">
      <c r="A112" s="6" t="s">
        <v>138</v>
      </c>
      <c r="C112" s="6" t="s">
        <v>64</v>
      </c>
      <c r="D112" s="6"/>
      <c r="E112" s="6">
        <f t="shared" si="32"/>
        <v>0</v>
      </c>
      <c r="F112" s="6"/>
      <c r="G112" s="6"/>
      <c r="H112" s="6"/>
      <c r="I112" s="6"/>
      <c r="J112" s="6"/>
      <c r="K112" s="6">
        <f t="shared" si="33"/>
        <v>0</v>
      </c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>
        <f t="shared" si="34"/>
        <v>0</v>
      </c>
      <c r="X112" s="6"/>
      <c r="Y112" s="6" t="s">
        <v>138</v>
      </c>
      <c r="Z112" s="18"/>
      <c r="AA112" s="6" t="s">
        <v>64</v>
      </c>
      <c r="AB112" s="6"/>
      <c r="AC112" s="6"/>
      <c r="AD112" s="6"/>
      <c r="AE112" s="6"/>
      <c r="AF112" s="6"/>
      <c r="AG112" s="6"/>
      <c r="AH112" s="6"/>
      <c r="AI112" s="8">
        <f t="shared" si="29"/>
        <v>0</v>
      </c>
      <c r="AJ112" s="8"/>
      <c r="AK112" s="6"/>
      <c r="AL112" s="6"/>
      <c r="AM112" s="6"/>
      <c r="AN112" s="6"/>
      <c r="AO112" s="6"/>
      <c r="AP112" s="6"/>
      <c r="AQ112" s="6"/>
      <c r="AR112" s="6"/>
      <c r="AS112" s="8">
        <f t="shared" si="31"/>
        <v>0</v>
      </c>
      <c r="AT112" s="8"/>
      <c r="AU112" s="6">
        <v>0</v>
      </c>
      <c r="AV112" s="6"/>
      <c r="AW112" s="6">
        <v>0</v>
      </c>
      <c r="AX112" s="6"/>
      <c r="AY112" s="6">
        <f t="shared" si="35"/>
        <v>0</v>
      </c>
      <c r="AZ112" s="6"/>
      <c r="BA112" s="6" t="s">
        <v>138</v>
      </c>
      <c r="BB112" s="18"/>
      <c r="BC112" s="6" t="s">
        <v>64</v>
      </c>
      <c r="BD112" s="6"/>
      <c r="BE112" s="6"/>
      <c r="BF112" s="6"/>
      <c r="BG112" s="6"/>
      <c r="BH112" s="6"/>
      <c r="BI112" s="6"/>
      <c r="BJ112" s="6"/>
      <c r="BK112" s="6"/>
      <c r="BL112" s="6"/>
      <c r="BM112" s="6">
        <f t="shared" si="30"/>
        <v>0</v>
      </c>
      <c r="BN112" s="17" t="s">
        <v>345</v>
      </c>
    </row>
    <row r="113" spans="1:67" ht="12.75" hidden="1" customHeight="1" x14ac:dyDescent="0.2">
      <c r="A113" s="6" t="s">
        <v>139</v>
      </c>
      <c r="C113" s="6" t="s">
        <v>25</v>
      </c>
      <c r="D113" s="6"/>
      <c r="E113" s="6">
        <f t="shared" si="32"/>
        <v>0</v>
      </c>
      <c r="F113" s="6"/>
      <c r="G113" s="6"/>
      <c r="H113" s="6"/>
      <c r="I113" s="6"/>
      <c r="J113" s="6"/>
      <c r="K113" s="6">
        <f t="shared" si="33"/>
        <v>0</v>
      </c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>
        <f t="shared" si="34"/>
        <v>0</v>
      </c>
      <c r="X113" s="6"/>
      <c r="Y113" s="6" t="s">
        <v>139</v>
      </c>
      <c r="Z113" s="18"/>
      <c r="AA113" s="6" t="s">
        <v>25</v>
      </c>
      <c r="AB113" s="6"/>
      <c r="AC113" s="6"/>
      <c r="AD113" s="6"/>
      <c r="AE113" s="6"/>
      <c r="AF113" s="6"/>
      <c r="AG113" s="6"/>
      <c r="AH113" s="6"/>
      <c r="AI113" s="8">
        <f t="shared" si="29"/>
        <v>0</v>
      </c>
      <c r="AJ113" s="8"/>
      <c r="AK113" s="6"/>
      <c r="AL113" s="6"/>
      <c r="AM113" s="6"/>
      <c r="AN113" s="6"/>
      <c r="AO113" s="6"/>
      <c r="AP113" s="6"/>
      <c r="AQ113" s="6"/>
      <c r="AR113" s="6"/>
      <c r="AS113" s="8">
        <f t="shared" si="31"/>
        <v>0</v>
      </c>
      <c r="AT113" s="8"/>
      <c r="AU113" s="6">
        <v>0</v>
      </c>
      <c r="AV113" s="6"/>
      <c r="AW113" s="6">
        <v>0</v>
      </c>
      <c r="AX113" s="6"/>
      <c r="AY113" s="6">
        <f t="shared" si="35"/>
        <v>0</v>
      </c>
      <c r="AZ113" s="6"/>
      <c r="BA113" s="6" t="s">
        <v>139</v>
      </c>
      <c r="BB113" s="18"/>
      <c r="BC113" s="6" t="s">
        <v>25</v>
      </c>
      <c r="BD113" s="6"/>
      <c r="BE113" s="6"/>
      <c r="BF113" s="6"/>
      <c r="BG113" s="6"/>
      <c r="BH113" s="6"/>
      <c r="BI113" s="6"/>
      <c r="BJ113" s="6"/>
      <c r="BK113" s="6"/>
      <c r="BL113" s="6"/>
      <c r="BM113" s="6">
        <f t="shared" si="30"/>
        <v>0</v>
      </c>
      <c r="BN113" s="17" t="s">
        <v>345</v>
      </c>
      <c r="BO113" s="18" t="s">
        <v>370</v>
      </c>
    </row>
    <row r="114" spans="1:67" ht="12.75" hidden="1" customHeight="1" x14ac:dyDescent="0.2">
      <c r="A114" s="6" t="s">
        <v>140</v>
      </c>
      <c r="C114" s="6" t="s">
        <v>100</v>
      </c>
      <c r="D114" s="6"/>
      <c r="E114" s="6">
        <f t="shared" si="32"/>
        <v>0</v>
      </c>
      <c r="F114" s="6"/>
      <c r="G114" s="6"/>
      <c r="H114" s="6"/>
      <c r="I114" s="6"/>
      <c r="J114" s="6"/>
      <c r="K114" s="6">
        <f t="shared" si="33"/>
        <v>0</v>
      </c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>
        <f t="shared" si="34"/>
        <v>0</v>
      </c>
      <c r="X114" s="6"/>
      <c r="Y114" s="6" t="s">
        <v>140</v>
      </c>
      <c r="Z114" s="18"/>
      <c r="AA114" s="6" t="s">
        <v>100</v>
      </c>
      <c r="AB114" s="6"/>
      <c r="AC114" s="6"/>
      <c r="AD114" s="6"/>
      <c r="AE114" s="6"/>
      <c r="AF114" s="6"/>
      <c r="AG114" s="6"/>
      <c r="AH114" s="6"/>
      <c r="AI114" s="8">
        <f t="shared" si="29"/>
        <v>0</v>
      </c>
      <c r="AJ114" s="8"/>
      <c r="AK114" s="6"/>
      <c r="AL114" s="6"/>
      <c r="AM114" s="6"/>
      <c r="AN114" s="6"/>
      <c r="AO114" s="6"/>
      <c r="AP114" s="6"/>
      <c r="AQ114" s="6"/>
      <c r="AR114" s="6"/>
      <c r="AS114" s="8">
        <f t="shared" si="31"/>
        <v>0</v>
      </c>
      <c r="AT114" s="8"/>
      <c r="AU114" s="6">
        <v>0</v>
      </c>
      <c r="AV114" s="6"/>
      <c r="AW114" s="6">
        <v>0</v>
      </c>
      <c r="AX114" s="6"/>
      <c r="AY114" s="6">
        <f t="shared" si="35"/>
        <v>0</v>
      </c>
      <c r="AZ114" s="6"/>
      <c r="BA114" s="6" t="s">
        <v>140</v>
      </c>
      <c r="BB114" s="18"/>
      <c r="BC114" s="6" t="s">
        <v>100</v>
      </c>
      <c r="BD114" s="6"/>
      <c r="BE114" s="6"/>
      <c r="BF114" s="6"/>
      <c r="BG114" s="6"/>
      <c r="BH114" s="6"/>
      <c r="BI114" s="6"/>
      <c r="BJ114" s="6"/>
      <c r="BK114" s="6"/>
      <c r="BL114" s="6"/>
      <c r="BM114" s="6">
        <f t="shared" si="30"/>
        <v>0</v>
      </c>
      <c r="BN114" s="17" t="s">
        <v>345</v>
      </c>
      <c r="BO114" s="18" t="s">
        <v>370</v>
      </c>
    </row>
    <row r="115" spans="1:67" ht="12.75" customHeight="1" x14ac:dyDescent="0.2">
      <c r="A115" s="6" t="s">
        <v>141</v>
      </c>
      <c r="C115" s="6" t="s">
        <v>109</v>
      </c>
      <c r="D115" s="6"/>
      <c r="E115" s="6">
        <v>18608498</v>
      </c>
      <c r="F115" s="6"/>
      <c r="G115" s="6">
        <v>21500320</v>
      </c>
      <c r="H115" s="6"/>
      <c r="I115" s="6">
        <f>+E115+G115</f>
        <v>40108818</v>
      </c>
      <c r="J115" s="6"/>
      <c r="K115" s="6">
        <v>735085</v>
      </c>
      <c r="L115" s="6"/>
      <c r="M115" s="6">
        <v>15334992</v>
      </c>
      <c r="N115" s="6"/>
      <c r="O115" s="6">
        <f>+K115+M115</f>
        <v>16070077</v>
      </c>
      <c r="P115" s="6"/>
      <c r="Q115" s="6">
        <v>2285121</v>
      </c>
      <c r="R115" s="6"/>
      <c r="S115" s="6">
        <f>3522546+492500</f>
        <v>4015046</v>
      </c>
      <c r="T115" s="6"/>
      <c r="U115" s="6">
        <v>18353073</v>
      </c>
      <c r="V115" s="6"/>
      <c r="W115" s="6">
        <f t="shared" si="34"/>
        <v>24653240</v>
      </c>
      <c r="X115" s="6"/>
      <c r="Y115" s="6" t="s">
        <v>141</v>
      </c>
      <c r="Z115" s="18"/>
      <c r="AA115" s="6" t="s">
        <v>109</v>
      </c>
      <c r="AB115" s="6"/>
      <c r="AC115" s="6">
        <v>28996330</v>
      </c>
      <c r="AD115" s="6"/>
      <c r="AE115" s="6">
        <f>27683748-1200696</f>
        <v>26483052</v>
      </c>
      <c r="AF115" s="6"/>
      <c r="AG115" s="6">
        <v>1200696</v>
      </c>
      <c r="AH115" s="6"/>
      <c r="AI115" s="8">
        <f t="shared" si="29"/>
        <v>1312582</v>
      </c>
      <c r="AJ115" s="8"/>
      <c r="AK115" s="6">
        <v>799922</v>
      </c>
      <c r="AL115" s="6"/>
      <c r="AM115" s="6">
        <v>0</v>
      </c>
      <c r="AN115" s="6"/>
      <c r="AO115" s="6">
        <v>0</v>
      </c>
      <c r="AP115" s="6"/>
      <c r="AQ115" s="6">
        <v>0</v>
      </c>
      <c r="AR115" s="6"/>
      <c r="AS115" s="8">
        <f t="shared" si="31"/>
        <v>2112504</v>
      </c>
      <c r="AT115" s="8"/>
      <c r="AU115" s="6">
        <v>0</v>
      </c>
      <c r="AV115" s="6"/>
      <c r="AW115" s="6">
        <v>0</v>
      </c>
      <c r="AX115" s="6"/>
      <c r="AY115" s="6">
        <f t="shared" si="35"/>
        <v>17873413</v>
      </c>
      <c r="AZ115" s="6"/>
      <c r="BA115" s="6" t="s">
        <v>141</v>
      </c>
      <c r="BB115" s="18"/>
      <c r="BC115" s="6" t="s">
        <v>109</v>
      </c>
      <c r="BD115" s="6"/>
      <c r="BE115" s="6">
        <v>0</v>
      </c>
      <c r="BF115" s="6"/>
      <c r="BG115" s="6">
        <f>1390000+13331196</f>
        <v>14721196</v>
      </c>
      <c r="BH115" s="6"/>
      <c r="BI115" s="6">
        <v>0</v>
      </c>
      <c r="BJ115" s="6"/>
      <c r="BK115" s="6">
        <f>478957+43870+134839</f>
        <v>657666</v>
      </c>
      <c r="BL115" s="6"/>
      <c r="BM115" s="6">
        <f t="shared" si="30"/>
        <v>15378862</v>
      </c>
      <c r="BN115" s="17" t="s">
        <v>345</v>
      </c>
      <c r="BO115" s="18" t="s">
        <v>313</v>
      </c>
    </row>
    <row r="116" spans="1:67" ht="12.75" hidden="1" customHeight="1" x14ac:dyDescent="0.2">
      <c r="A116" s="6" t="s">
        <v>142</v>
      </c>
      <c r="C116" s="6" t="s">
        <v>86</v>
      </c>
      <c r="D116" s="6"/>
      <c r="E116" s="6">
        <f t="shared" si="32"/>
        <v>0</v>
      </c>
      <c r="F116" s="6"/>
      <c r="G116" s="6"/>
      <c r="H116" s="6"/>
      <c r="I116" s="6"/>
      <c r="J116" s="6"/>
      <c r="K116" s="6">
        <f t="shared" si="33"/>
        <v>0</v>
      </c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>
        <f t="shared" si="34"/>
        <v>0</v>
      </c>
      <c r="X116" s="6"/>
      <c r="Y116" s="6" t="s">
        <v>142</v>
      </c>
      <c r="Z116" s="18"/>
      <c r="AA116" s="6" t="s">
        <v>86</v>
      </c>
      <c r="AB116" s="6"/>
      <c r="AC116" s="6"/>
      <c r="AD116" s="6"/>
      <c r="AE116" s="6"/>
      <c r="AF116" s="6"/>
      <c r="AG116" s="6"/>
      <c r="AH116" s="6"/>
      <c r="AI116" s="8">
        <f t="shared" si="29"/>
        <v>0</v>
      </c>
      <c r="AJ116" s="8"/>
      <c r="AK116" s="6"/>
      <c r="AL116" s="6"/>
      <c r="AM116" s="6"/>
      <c r="AN116" s="6"/>
      <c r="AO116" s="6"/>
      <c r="AP116" s="6"/>
      <c r="AQ116" s="6"/>
      <c r="AR116" s="6"/>
      <c r="AS116" s="8">
        <f t="shared" si="31"/>
        <v>0</v>
      </c>
      <c r="AT116" s="8"/>
      <c r="AU116" s="6">
        <v>0</v>
      </c>
      <c r="AV116" s="6"/>
      <c r="AW116" s="6">
        <v>0</v>
      </c>
      <c r="AX116" s="6"/>
      <c r="AY116" s="6">
        <f t="shared" si="35"/>
        <v>0</v>
      </c>
      <c r="AZ116" s="6"/>
      <c r="BA116" s="6" t="s">
        <v>142</v>
      </c>
      <c r="BB116" s="18"/>
      <c r="BC116" s="6" t="s">
        <v>86</v>
      </c>
      <c r="BD116" s="6"/>
      <c r="BE116" s="6"/>
      <c r="BF116" s="6"/>
      <c r="BG116" s="6"/>
      <c r="BH116" s="6"/>
      <c r="BI116" s="6"/>
      <c r="BJ116" s="6"/>
      <c r="BK116" s="6"/>
      <c r="BL116" s="6"/>
      <c r="BM116" s="6">
        <f t="shared" si="30"/>
        <v>0</v>
      </c>
      <c r="BN116" s="17" t="s">
        <v>345</v>
      </c>
    </row>
    <row r="117" spans="1:67" ht="12.75" hidden="1" customHeight="1" x14ac:dyDescent="0.2">
      <c r="A117" s="6" t="s">
        <v>34</v>
      </c>
      <c r="C117" s="6" t="s">
        <v>143</v>
      </c>
      <c r="D117" s="6"/>
      <c r="E117" s="6">
        <f t="shared" si="32"/>
        <v>0</v>
      </c>
      <c r="F117" s="6"/>
      <c r="G117" s="6"/>
      <c r="H117" s="6"/>
      <c r="I117" s="6"/>
      <c r="J117" s="6"/>
      <c r="K117" s="6">
        <f t="shared" si="33"/>
        <v>0</v>
      </c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>
        <f t="shared" si="34"/>
        <v>0</v>
      </c>
      <c r="X117" s="6"/>
      <c r="Y117" s="6" t="s">
        <v>34</v>
      </c>
      <c r="Z117" s="18"/>
      <c r="AA117" s="6" t="s">
        <v>143</v>
      </c>
      <c r="AB117" s="6"/>
      <c r="AC117" s="6"/>
      <c r="AD117" s="6"/>
      <c r="AE117" s="6"/>
      <c r="AF117" s="6"/>
      <c r="AG117" s="6"/>
      <c r="AH117" s="6"/>
      <c r="AI117" s="8">
        <f t="shared" si="29"/>
        <v>0</v>
      </c>
      <c r="AJ117" s="8"/>
      <c r="AK117" s="6"/>
      <c r="AL117" s="6"/>
      <c r="AM117" s="6"/>
      <c r="AN117" s="6"/>
      <c r="AO117" s="6"/>
      <c r="AP117" s="6"/>
      <c r="AQ117" s="6"/>
      <c r="AR117" s="6"/>
      <c r="AS117" s="8">
        <f t="shared" si="31"/>
        <v>0</v>
      </c>
      <c r="AT117" s="8"/>
      <c r="AU117" s="6">
        <v>0</v>
      </c>
      <c r="AV117" s="6"/>
      <c r="AW117" s="6">
        <v>0</v>
      </c>
      <c r="AX117" s="6"/>
      <c r="AY117" s="6">
        <f t="shared" si="35"/>
        <v>0</v>
      </c>
      <c r="AZ117" s="6"/>
      <c r="BA117" s="6" t="s">
        <v>34</v>
      </c>
      <c r="BB117" s="18"/>
      <c r="BC117" s="6" t="s">
        <v>143</v>
      </c>
      <c r="BD117" s="6"/>
      <c r="BE117" s="6"/>
      <c r="BF117" s="6"/>
      <c r="BG117" s="6"/>
      <c r="BH117" s="6"/>
      <c r="BI117" s="6"/>
      <c r="BJ117" s="6"/>
      <c r="BK117" s="6"/>
      <c r="BL117" s="6"/>
      <c r="BM117" s="6">
        <f t="shared" si="30"/>
        <v>0</v>
      </c>
      <c r="BN117" s="17" t="s">
        <v>345</v>
      </c>
    </row>
    <row r="118" spans="1:67" ht="12.75" hidden="1" customHeight="1" x14ac:dyDescent="0.2">
      <c r="A118" s="6" t="s">
        <v>144</v>
      </c>
      <c r="C118" s="6" t="s">
        <v>145</v>
      </c>
      <c r="D118" s="6"/>
      <c r="E118" s="6">
        <f t="shared" si="32"/>
        <v>0</v>
      </c>
      <c r="F118" s="6"/>
      <c r="G118" s="6"/>
      <c r="H118" s="6"/>
      <c r="I118" s="6"/>
      <c r="J118" s="6"/>
      <c r="K118" s="6">
        <f t="shared" si="33"/>
        <v>0</v>
      </c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>
        <f t="shared" si="34"/>
        <v>0</v>
      </c>
      <c r="X118" s="6"/>
      <c r="Y118" s="6" t="s">
        <v>144</v>
      </c>
      <c r="Z118" s="18"/>
      <c r="AA118" s="6" t="s">
        <v>145</v>
      </c>
      <c r="AB118" s="6"/>
      <c r="AC118" s="6"/>
      <c r="AD118" s="6"/>
      <c r="AE118" s="6"/>
      <c r="AF118" s="6"/>
      <c r="AG118" s="6"/>
      <c r="AH118" s="6"/>
      <c r="AI118" s="8">
        <f t="shared" si="29"/>
        <v>0</v>
      </c>
      <c r="AJ118" s="8"/>
      <c r="AK118" s="6"/>
      <c r="AL118" s="6"/>
      <c r="AM118" s="6"/>
      <c r="AN118" s="6"/>
      <c r="AO118" s="6"/>
      <c r="AP118" s="6"/>
      <c r="AQ118" s="6"/>
      <c r="AR118" s="6"/>
      <c r="AS118" s="8">
        <f t="shared" si="31"/>
        <v>0</v>
      </c>
      <c r="AT118" s="8"/>
      <c r="AU118" s="6">
        <v>0</v>
      </c>
      <c r="AV118" s="6"/>
      <c r="AW118" s="6">
        <v>0</v>
      </c>
      <c r="AX118" s="6"/>
      <c r="AY118" s="6">
        <f t="shared" si="35"/>
        <v>0</v>
      </c>
      <c r="AZ118" s="6"/>
      <c r="BA118" s="6" t="s">
        <v>144</v>
      </c>
      <c r="BB118" s="18"/>
      <c r="BC118" s="6" t="s">
        <v>145</v>
      </c>
      <c r="BD118" s="6"/>
      <c r="BE118" s="6"/>
      <c r="BF118" s="6"/>
      <c r="BG118" s="6"/>
      <c r="BH118" s="6"/>
      <c r="BI118" s="6"/>
      <c r="BJ118" s="6"/>
      <c r="BK118" s="6"/>
      <c r="BL118" s="6"/>
      <c r="BM118" s="6">
        <f t="shared" si="30"/>
        <v>0</v>
      </c>
      <c r="BN118" s="17" t="s">
        <v>345</v>
      </c>
    </row>
    <row r="119" spans="1:67" ht="12.75" hidden="1" customHeight="1" x14ac:dyDescent="0.2">
      <c r="A119" s="6" t="s">
        <v>15</v>
      </c>
      <c r="C119" s="6" t="s">
        <v>15</v>
      </c>
      <c r="D119" s="6"/>
      <c r="E119" s="6">
        <f t="shared" si="32"/>
        <v>0</v>
      </c>
      <c r="F119" s="6"/>
      <c r="G119" s="6"/>
      <c r="H119" s="6"/>
      <c r="I119" s="6"/>
      <c r="J119" s="6"/>
      <c r="K119" s="6">
        <f t="shared" si="33"/>
        <v>0</v>
      </c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>
        <f t="shared" si="34"/>
        <v>0</v>
      </c>
      <c r="X119" s="6"/>
      <c r="Y119" s="6" t="s">
        <v>15</v>
      </c>
      <c r="Z119" s="18"/>
      <c r="AA119" s="6" t="s">
        <v>15</v>
      </c>
      <c r="AB119" s="6"/>
      <c r="AC119" s="6"/>
      <c r="AD119" s="6"/>
      <c r="AE119" s="6"/>
      <c r="AF119" s="6"/>
      <c r="AG119" s="6"/>
      <c r="AH119" s="6"/>
      <c r="AI119" s="8">
        <f t="shared" si="29"/>
        <v>0</v>
      </c>
      <c r="AJ119" s="8"/>
      <c r="AK119" s="6"/>
      <c r="AL119" s="6"/>
      <c r="AM119" s="6"/>
      <c r="AN119" s="6"/>
      <c r="AO119" s="6"/>
      <c r="AP119" s="6"/>
      <c r="AQ119" s="6"/>
      <c r="AR119" s="6"/>
      <c r="AS119" s="8">
        <f t="shared" si="31"/>
        <v>0</v>
      </c>
      <c r="AT119" s="8"/>
      <c r="AU119" s="6">
        <v>0</v>
      </c>
      <c r="AV119" s="6"/>
      <c r="AW119" s="6">
        <v>0</v>
      </c>
      <c r="AX119" s="6"/>
      <c r="AY119" s="6">
        <f t="shared" si="35"/>
        <v>0</v>
      </c>
      <c r="AZ119" s="6"/>
      <c r="BA119" s="6" t="s">
        <v>15</v>
      </c>
      <c r="BB119" s="18"/>
      <c r="BC119" s="6" t="s">
        <v>15</v>
      </c>
      <c r="BD119" s="6"/>
      <c r="BE119" s="6"/>
      <c r="BF119" s="6"/>
      <c r="BG119" s="6"/>
      <c r="BH119" s="6"/>
      <c r="BI119" s="6"/>
      <c r="BJ119" s="6"/>
      <c r="BK119" s="6"/>
      <c r="BL119" s="6"/>
      <c r="BM119" s="6">
        <f t="shared" si="30"/>
        <v>0</v>
      </c>
      <c r="BN119" s="17" t="s">
        <v>345</v>
      </c>
    </row>
    <row r="120" spans="1:67" ht="12.75" hidden="1" customHeight="1" x14ac:dyDescent="0.2">
      <c r="A120" s="6" t="s">
        <v>146</v>
      </c>
      <c r="C120" s="6" t="s">
        <v>13</v>
      </c>
      <c r="D120" s="6"/>
      <c r="E120" s="6">
        <f t="shared" si="32"/>
        <v>0</v>
      </c>
      <c r="F120" s="6"/>
      <c r="G120" s="6"/>
      <c r="H120" s="6"/>
      <c r="I120" s="6"/>
      <c r="J120" s="6"/>
      <c r="K120" s="6">
        <f t="shared" si="33"/>
        <v>0</v>
      </c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>
        <f t="shared" si="34"/>
        <v>0</v>
      </c>
      <c r="X120" s="6"/>
      <c r="Y120" s="6" t="s">
        <v>146</v>
      </c>
      <c r="Z120" s="18"/>
      <c r="AA120" s="6" t="s">
        <v>13</v>
      </c>
      <c r="AB120" s="6"/>
      <c r="AC120" s="6"/>
      <c r="AD120" s="6"/>
      <c r="AE120" s="6"/>
      <c r="AF120" s="6"/>
      <c r="AG120" s="6"/>
      <c r="AH120" s="6"/>
      <c r="AI120" s="8">
        <f t="shared" si="29"/>
        <v>0</v>
      </c>
      <c r="AJ120" s="8"/>
      <c r="AK120" s="6"/>
      <c r="AL120" s="6"/>
      <c r="AM120" s="6"/>
      <c r="AN120" s="6"/>
      <c r="AO120" s="6"/>
      <c r="AP120" s="6"/>
      <c r="AQ120" s="6"/>
      <c r="AR120" s="6"/>
      <c r="AS120" s="8">
        <f t="shared" si="31"/>
        <v>0</v>
      </c>
      <c r="AT120" s="8"/>
      <c r="AU120" s="6">
        <v>0</v>
      </c>
      <c r="AV120" s="6"/>
      <c r="AW120" s="6">
        <v>0</v>
      </c>
      <c r="AX120" s="6"/>
      <c r="AY120" s="6">
        <f t="shared" si="35"/>
        <v>0</v>
      </c>
      <c r="AZ120" s="6"/>
      <c r="BA120" s="6" t="s">
        <v>146</v>
      </c>
      <c r="BB120" s="18"/>
      <c r="BC120" s="6" t="s">
        <v>13</v>
      </c>
      <c r="BD120" s="6"/>
      <c r="BE120" s="6"/>
      <c r="BF120" s="6"/>
      <c r="BG120" s="6"/>
      <c r="BH120" s="6"/>
      <c r="BI120" s="6"/>
      <c r="BJ120" s="6"/>
      <c r="BK120" s="6"/>
      <c r="BL120" s="6"/>
      <c r="BM120" s="6">
        <f t="shared" si="30"/>
        <v>0</v>
      </c>
      <c r="BN120" s="17" t="s">
        <v>345</v>
      </c>
    </row>
    <row r="121" spans="1:67" ht="12.75" hidden="1" customHeight="1" x14ac:dyDescent="0.2">
      <c r="A121" s="6" t="s">
        <v>147</v>
      </c>
      <c r="C121" s="6" t="s">
        <v>43</v>
      </c>
      <c r="D121" s="6"/>
      <c r="E121" s="6">
        <f t="shared" si="32"/>
        <v>0</v>
      </c>
      <c r="F121" s="6"/>
      <c r="G121" s="6"/>
      <c r="H121" s="6"/>
      <c r="I121" s="6"/>
      <c r="J121" s="6"/>
      <c r="K121" s="6">
        <f t="shared" si="33"/>
        <v>0</v>
      </c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>
        <f t="shared" si="34"/>
        <v>0</v>
      </c>
      <c r="X121" s="6"/>
      <c r="Y121" s="6" t="s">
        <v>147</v>
      </c>
      <c r="Z121" s="18"/>
      <c r="AA121" s="6" t="s">
        <v>43</v>
      </c>
      <c r="AB121" s="6"/>
      <c r="AC121" s="6"/>
      <c r="AD121" s="6"/>
      <c r="AE121" s="6"/>
      <c r="AF121" s="6"/>
      <c r="AG121" s="6"/>
      <c r="AH121" s="6"/>
      <c r="AI121" s="8">
        <f t="shared" si="29"/>
        <v>0</v>
      </c>
      <c r="AJ121" s="8"/>
      <c r="AK121" s="6"/>
      <c r="AL121" s="6"/>
      <c r="AM121" s="6"/>
      <c r="AN121" s="6"/>
      <c r="AO121" s="6"/>
      <c r="AP121" s="6"/>
      <c r="AQ121" s="6"/>
      <c r="AR121" s="6"/>
      <c r="AS121" s="8">
        <f t="shared" si="31"/>
        <v>0</v>
      </c>
      <c r="AT121" s="8"/>
      <c r="AU121" s="6">
        <v>0</v>
      </c>
      <c r="AV121" s="6"/>
      <c r="AW121" s="6">
        <v>0</v>
      </c>
      <c r="AX121" s="6"/>
      <c r="AY121" s="6">
        <f t="shared" si="35"/>
        <v>0</v>
      </c>
      <c r="AZ121" s="6"/>
      <c r="BA121" s="6" t="s">
        <v>147</v>
      </c>
      <c r="BB121" s="18"/>
      <c r="BC121" s="6" t="s">
        <v>43</v>
      </c>
      <c r="BD121" s="6"/>
      <c r="BE121" s="6"/>
      <c r="BF121" s="6"/>
      <c r="BG121" s="6"/>
      <c r="BH121" s="6"/>
      <c r="BI121" s="6"/>
      <c r="BJ121" s="6"/>
      <c r="BK121" s="6"/>
      <c r="BL121" s="6"/>
      <c r="BM121" s="6">
        <f t="shared" si="30"/>
        <v>0</v>
      </c>
      <c r="BN121" s="17" t="s">
        <v>345</v>
      </c>
    </row>
    <row r="122" spans="1:67" ht="12.75" hidden="1" customHeight="1" x14ac:dyDescent="0.2">
      <c r="A122" s="6" t="s">
        <v>148</v>
      </c>
      <c r="C122" s="6" t="s">
        <v>25</v>
      </c>
      <c r="D122" s="6"/>
      <c r="E122" s="6">
        <f t="shared" si="32"/>
        <v>0</v>
      </c>
      <c r="F122" s="6"/>
      <c r="G122" s="6"/>
      <c r="H122" s="6"/>
      <c r="I122" s="6"/>
      <c r="J122" s="6"/>
      <c r="K122" s="6">
        <f t="shared" si="33"/>
        <v>0</v>
      </c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>
        <f t="shared" si="34"/>
        <v>0</v>
      </c>
      <c r="X122" s="6"/>
      <c r="Y122" s="6" t="s">
        <v>148</v>
      </c>
      <c r="Z122" s="18"/>
      <c r="AA122" s="6" t="s">
        <v>25</v>
      </c>
      <c r="AB122" s="6"/>
      <c r="AC122" s="6"/>
      <c r="AD122" s="6"/>
      <c r="AE122" s="6"/>
      <c r="AF122" s="6"/>
      <c r="AG122" s="6"/>
      <c r="AH122" s="6"/>
      <c r="AI122" s="8">
        <f t="shared" si="29"/>
        <v>0</v>
      </c>
      <c r="AJ122" s="8"/>
      <c r="AK122" s="6"/>
      <c r="AL122" s="6"/>
      <c r="AM122" s="6"/>
      <c r="AN122" s="6"/>
      <c r="AO122" s="6"/>
      <c r="AP122" s="6"/>
      <c r="AQ122" s="6"/>
      <c r="AR122" s="6"/>
      <c r="AS122" s="8">
        <f t="shared" si="31"/>
        <v>0</v>
      </c>
      <c r="AT122" s="8"/>
      <c r="AU122" s="6">
        <v>0</v>
      </c>
      <c r="AV122" s="6"/>
      <c r="AW122" s="6">
        <v>0</v>
      </c>
      <c r="AX122" s="6"/>
      <c r="AY122" s="6">
        <f t="shared" si="35"/>
        <v>0</v>
      </c>
      <c r="AZ122" s="6"/>
      <c r="BA122" s="6" t="s">
        <v>148</v>
      </c>
      <c r="BB122" s="18"/>
      <c r="BC122" s="6" t="s">
        <v>25</v>
      </c>
      <c r="BD122" s="6"/>
      <c r="BE122" s="6"/>
      <c r="BF122" s="6"/>
      <c r="BG122" s="6"/>
      <c r="BH122" s="6"/>
      <c r="BI122" s="6"/>
      <c r="BJ122" s="6"/>
      <c r="BK122" s="6"/>
      <c r="BL122" s="6"/>
      <c r="BM122" s="6">
        <f t="shared" si="30"/>
        <v>0</v>
      </c>
      <c r="BN122" s="17" t="s">
        <v>345</v>
      </c>
    </row>
    <row r="123" spans="1:67" ht="13.5" hidden="1" customHeight="1" x14ac:dyDescent="0.2">
      <c r="A123" s="6" t="s">
        <v>149</v>
      </c>
      <c r="C123" s="6" t="s">
        <v>11</v>
      </c>
      <c r="D123" s="6"/>
      <c r="E123" s="6">
        <f t="shared" si="32"/>
        <v>0</v>
      </c>
      <c r="F123" s="6"/>
      <c r="G123" s="6"/>
      <c r="H123" s="6"/>
      <c r="I123" s="6"/>
      <c r="J123" s="6"/>
      <c r="K123" s="6">
        <f t="shared" si="33"/>
        <v>0</v>
      </c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>
        <f t="shared" si="34"/>
        <v>0</v>
      </c>
      <c r="X123" s="6"/>
      <c r="Y123" s="6" t="s">
        <v>149</v>
      </c>
      <c r="Z123" s="18"/>
      <c r="AA123" s="6" t="s">
        <v>11</v>
      </c>
      <c r="AB123" s="6"/>
      <c r="AC123" s="6"/>
      <c r="AD123" s="6"/>
      <c r="AE123" s="6"/>
      <c r="AF123" s="6"/>
      <c r="AG123" s="6"/>
      <c r="AH123" s="6"/>
      <c r="AI123" s="8">
        <f t="shared" si="29"/>
        <v>0</v>
      </c>
      <c r="AJ123" s="8"/>
      <c r="AK123" s="6"/>
      <c r="AL123" s="6"/>
      <c r="AM123" s="6"/>
      <c r="AN123" s="6"/>
      <c r="AO123" s="6"/>
      <c r="AP123" s="6"/>
      <c r="AQ123" s="6"/>
      <c r="AR123" s="6"/>
      <c r="AS123" s="8">
        <f t="shared" si="31"/>
        <v>0</v>
      </c>
      <c r="AT123" s="8"/>
      <c r="AU123" s="6">
        <v>0</v>
      </c>
      <c r="AV123" s="6"/>
      <c r="AW123" s="6">
        <v>0</v>
      </c>
      <c r="AX123" s="6"/>
      <c r="AY123" s="6">
        <f t="shared" si="35"/>
        <v>0</v>
      </c>
      <c r="AZ123" s="6"/>
      <c r="BA123" s="6" t="s">
        <v>149</v>
      </c>
      <c r="BB123" s="18"/>
      <c r="BC123" s="6" t="s">
        <v>11</v>
      </c>
      <c r="BD123" s="6"/>
      <c r="BE123" s="6"/>
      <c r="BF123" s="6"/>
      <c r="BG123" s="6"/>
      <c r="BH123" s="6"/>
      <c r="BI123" s="6"/>
      <c r="BJ123" s="6"/>
      <c r="BK123" s="6"/>
      <c r="BL123" s="6"/>
      <c r="BM123" s="6">
        <f t="shared" si="30"/>
        <v>0</v>
      </c>
      <c r="BN123" s="17" t="s">
        <v>345</v>
      </c>
    </row>
    <row r="124" spans="1:67" ht="12.75" hidden="1" customHeight="1" x14ac:dyDescent="0.2">
      <c r="A124" s="6" t="s">
        <v>150</v>
      </c>
      <c r="C124" s="6" t="s">
        <v>151</v>
      </c>
      <c r="D124" s="6"/>
      <c r="E124" s="6">
        <f t="shared" si="32"/>
        <v>0</v>
      </c>
      <c r="F124" s="6"/>
      <c r="G124" s="6"/>
      <c r="H124" s="6"/>
      <c r="I124" s="6"/>
      <c r="J124" s="6"/>
      <c r="K124" s="6">
        <f t="shared" si="33"/>
        <v>0</v>
      </c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>
        <f t="shared" si="34"/>
        <v>0</v>
      </c>
      <c r="X124" s="6"/>
      <c r="Y124" s="6" t="s">
        <v>150</v>
      </c>
      <c r="Z124" s="18"/>
      <c r="AA124" s="6" t="s">
        <v>151</v>
      </c>
      <c r="AB124" s="6"/>
      <c r="AC124" s="6"/>
      <c r="AD124" s="6"/>
      <c r="AE124" s="6"/>
      <c r="AF124" s="6"/>
      <c r="AG124" s="6"/>
      <c r="AH124" s="6"/>
      <c r="AI124" s="8">
        <f t="shared" si="29"/>
        <v>0</v>
      </c>
      <c r="AJ124" s="8"/>
      <c r="AK124" s="6"/>
      <c r="AL124" s="6"/>
      <c r="AM124" s="6"/>
      <c r="AN124" s="6"/>
      <c r="AO124" s="6"/>
      <c r="AP124" s="6"/>
      <c r="AQ124" s="6"/>
      <c r="AR124" s="6"/>
      <c r="AS124" s="8">
        <f t="shared" si="31"/>
        <v>0</v>
      </c>
      <c r="AT124" s="8"/>
      <c r="AU124" s="6">
        <v>0</v>
      </c>
      <c r="AV124" s="6"/>
      <c r="AW124" s="6">
        <v>0</v>
      </c>
      <c r="AX124" s="6"/>
      <c r="AY124" s="6">
        <f t="shared" si="35"/>
        <v>0</v>
      </c>
      <c r="AZ124" s="6"/>
      <c r="BA124" s="6" t="s">
        <v>150</v>
      </c>
      <c r="BB124" s="18"/>
      <c r="BC124" s="6" t="s">
        <v>151</v>
      </c>
      <c r="BD124" s="6"/>
      <c r="BE124" s="6"/>
      <c r="BF124" s="6"/>
      <c r="BG124" s="6"/>
      <c r="BH124" s="6"/>
      <c r="BI124" s="6"/>
      <c r="BJ124" s="6"/>
      <c r="BK124" s="6"/>
      <c r="BL124" s="6"/>
      <c r="BM124" s="6">
        <f t="shared" si="30"/>
        <v>0</v>
      </c>
      <c r="BN124" s="17" t="s">
        <v>345</v>
      </c>
    </row>
    <row r="125" spans="1:67" ht="12.75" hidden="1" customHeight="1" x14ac:dyDescent="0.2">
      <c r="A125" s="6" t="s">
        <v>152</v>
      </c>
      <c r="C125" s="6" t="s">
        <v>25</v>
      </c>
      <c r="D125" s="6"/>
      <c r="E125" s="6">
        <f t="shared" si="32"/>
        <v>0</v>
      </c>
      <c r="F125" s="6"/>
      <c r="G125" s="6"/>
      <c r="H125" s="6"/>
      <c r="I125" s="6"/>
      <c r="J125" s="6"/>
      <c r="K125" s="6">
        <f t="shared" si="33"/>
        <v>0</v>
      </c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>
        <f t="shared" si="34"/>
        <v>0</v>
      </c>
      <c r="X125" s="6"/>
      <c r="Y125" s="6" t="s">
        <v>152</v>
      </c>
      <c r="Z125" s="18"/>
      <c r="AA125" s="6" t="s">
        <v>25</v>
      </c>
      <c r="AB125" s="6"/>
      <c r="AC125" s="6"/>
      <c r="AD125" s="6"/>
      <c r="AE125" s="6"/>
      <c r="AF125" s="6"/>
      <c r="AG125" s="6"/>
      <c r="AH125" s="6"/>
      <c r="AI125" s="8">
        <f t="shared" si="29"/>
        <v>0</v>
      </c>
      <c r="AJ125" s="8"/>
      <c r="AK125" s="6"/>
      <c r="AL125" s="6"/>
      <c r="AM125" s="6"/>
      <c r="AN125" s="6"/>
      <c r="AO125" s="6"/>
      <c r="AP125" s="6"/>
      <c r="AQ125" s="6"/>
      <c r="AR125" s="6"/>
      <c r="AS125" s="8">
        <f t="shared" si="31"/>
        <v>0</v>
      </c>
      <c r="AT125" s="8"/>
      <c r="AU125" s="6">
        <v>0</v>
      </c>
      <c r="AV125" s="6"/>
      <c r="AW125" s="6">
        <v>0</v>
      </c>
      <c r="AX125" s="6"/>
      <c r="AY125" s="6">
        <f t="shared" si="35"/>
        <v>0</v>
      </c>
      <c r="AZ125" s="6"/>
      <c r="BA125" s="6" t="s">
        <v>152</v>
      </c>
      <c r="BB125" s="18"/>
      <c r="BC125" s="6" t="s">
        <v>25</v>
      </c>
      <c r="BD125" s="6"/>
      <c r="BE125" s="6"/>
      <c r="BF125" s="6"/>
      <c r="BG125" s="6"/>
      <c r="BH125" s="6"/>
      <c r="BI125" s="6"/>
      <c r="BJ125" s="6"/>
      <c r="BK125" s="6"/>
      <c r="BL125" s="6"/>
      <c r="BM125" s="6">
        <f t="shared" si="30"/>
        <v>0</v>
      </c>
      <c r="BN125" s="17" t="s">
        <v>345</v>
      </c>
    </row>
    <row r="126" spans="1:67" ht="12.75" hidden="1" customHeight="1" x14ac:dyDescent="0.2">
      <c r="A126" s="6" t="s">
        <v>153</v>
      </c>
      <c r="C126" s="6" t="s">
        <v>38</v>
      </c>
      <c r="D126" s="6"/>
      <c r="E126" s="6">
        <f t="shared" si="32"/>
        <v>0</v>
      </c>
      <c r="F126" s="6"/>
      <c r="G126" s="6"/>
      <c r="H126" s="6"/>
      <c r="I126" s="6"/>
      <c r="J126" s="6"/>
      <c r="K126" s="6">
        <f t="shared" si="33"/>
        <v>0</v>
      </c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>
        <f t="shared" si="34"/>
        <v>0</v>
      </c>
      <c r="X126" s="6"/>
      <c r="Y126" s="6" t="s">
        <v>153</v>
      </c>
      <c r="Z126" s="18"/>
      <c r="AA126" s="6" t="s">
        <v>38</v>
      </c>
      <c r="AB126" s="6"/>
      <c r="AC126" s="6"/>
      <c r="AD126" s="6"/>
      <c r="AE126" s="6"/>
      <c r="AF126" s="6"/>
      <c r="AG126" s="6"/>
      <c r="AH126" s="6"/>
      <c r="AI126" s="8">
        <f t="shared" si="29"/>
        <v>0</v>
      </c>
      <c r="AJ126" s="8"/>
      <c r="AK126" s="6"/>
      <c r="AL126" s="6"/>
      <c r="AM126" s="6"/>
      <c r="AN126" s="6"/>
      <c r="AO126" s="6"/>
      <c r="AP126" s="6"/>
      <c r="AQ126" s="6"/>
      <c r="AR126" s="6"/>
      <c r="AS126" s="8">
        <f t="shared" si="31"/>
        <v>0</v>
      </c>
      <c r="AT126" s="8"/>
      <c r="AU126" s="6">
        <v>0</v>
      </c>
      <c r="AV126" s="6"/>
      <c r="AW126" s="6">
        <v>0</v>
      </c>
      <c r="AX126" s="6"/>
      <c r="AY126" s="6">
        <f t="shared" si="35"/>
        <v>0</v>
      </c>
      <c r="AZ126" s="6"/>
      <c r="BA126" s="6" t="s">
        <v>153</v>
      </c>
      <c r="BB126" s="18"/>
      <c r="BC126" s="6" t="s">
        <v>38</v>
      </c>
      <c r="BD126" s="6"/>
      <c r="BE126" s="6"/>
      <c r="BF126" s="6"/>
      <c r="BG126" s="6"/>
      <c r="BH126" s="6"/>
      <c r="BI126" s="6"/>
      <c r="BJ126" s="6"/>
      <c r="BK126" s="6"/>
      <c r="BL126" s="6"/>
      <c r="BM126" s="6">
        <f t="shared" si="30"/>
        <v>0</v>
      </c>
      <c r="BN126" s="17" t="s">
        <v>345</v>
      </c>
    </row>
    <row r="127" spans="1:67" ht="12.75" hidden="1" customHeight="1" x14ac:dyDescent="0.2">
      <c r="A127" s="6" t="s">
        <v>154</v>
      </c>
      <c r="C127" s="6" t="s">
        <v>154</v>
      </c>
      <c r="D127" s="6"/>
      <c r="E127" s="6">
        <f t="shared" si="32"/>
        <v>0</v>
      </c>
      <c r="F127" s="6"/>
      <c r="G127" s="6"/>
      <c r="H127" s="6"/>
      <c r="I127" s="6"/>
      <c r="J127" s="6"/>
      <c r="K127" s="6">
        <f t="shared" si="33"/>
        <v>0</v>
      </c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>
        <f t="shared" si="34"/>
        <v>0</v>
      </c>
      <c r="X127" s="6"/>
      <c r="Y127" s="6" t="s">
        <v>154</v>
      </c>
      <c r="Z127" s="18"/>
      <c r="AA127" s="6" t="s">
        <v>154</v>
      </c>
      <c r="AB127" s="6"/>
      <c r="AC127" s="6"/>
      <c r="AD127" s="6"/>
      <c r="AE127" s="6"/>
      <c r="AF127" s="6"/>
      <c r="AG127" s="6"/>
      <c r="AH127" s="6"/>
      <c r="AI127" s="8">
        <f t="shared" si="29"/>
        <v>0</v>
      </c>
      <c r="AJ127" s="8"/>
      <c r="AK127" s="6"/>
      <c r="AL127" s="6"/>
      <c r="AM127" s="6"/>
      <c r="AN127" s="6"/>
      <c r="AO127" s="6"/>
      <c r="AP127" s="6"/>
      <c r="AQ127" s="6"/>
      <c r="AR127" s="6"/>
      <c r="AS127" s="8">
        <f t="shared" si="31"/>
        <v>0</v>
      </c>
      <c r="AT127" s="8"/>
      <c r="AU127" s="6">
        <v>0</v>
      </c>
      <c r="AV127" s="6"/>
      <c r="AW127" s="6">
        <v>0</v>
      </c>
      <c r="AX127" s="6"/>
      <c r="AY127" s="6">
        <f t="shared" si="35"/>
        <v>0</v>
      </c>
      <c r="AZ127" s="6"/>
      <c r="BA127" s="6" t="s">
        <v>154</v>
      </c>
      <c r="BB127" s="18"/>
      <c r="BC127" s="6" t="s">
        <v>154</v>
      </c>
      <c r="BD127" s="6"/>
      <c r="BE127" s="6"/>
      <c r="BF127" s="6"/>
      <c r="BG127" s="6"/>
      <c r="BH127" s="6"/>
      <c r="BI127" s="6"/>
      <c r="BJ127" s="6"/>
      <c r="BK127" s="6"/>
      <c r="BL127" s="6"/>
      <c r="BM127" s="6">
        <f t="shared" si="30"/>
        <v>0</v>
      </c>
      <c r="BN127" s="17" t="s">
        <v>345</v>
      </c>
    </row>
    <row r="128" spans="1:67" ht="12.75" hidden="1" customHeight="1" x14ac:dyDescent="0.2">
      <c r="A128" s="6" t="s">
        <v>155</v>
      </c>
      <c r="C128" s="6" t="s">
        <v>31</v>
      </c>
      <c r="D128" s="6"/>
      <c r="E128" s="6">
        <f t="shared" si="32"/>
        <v>0</v>
      </c>
      <c r="F128" s="6"/>
      <c r="G128" s="6"/>
      <c r="H128" s="6"/>
      <c r="I128" s="6"/>
      <c r="J128" s="6"/>
      <c r="K128" s="6">
        <f t="shared" si="33"/>
        <v>0</v>
      </c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>
        <f t="shared" si="34"/>
        <v>0</v>
      </c>
      <c r="X128" s="6"/>
      <c r="Y128" s="6" t="s">
        <v>155</v>
      </c>
      <c r="Z128" s="18"/>
      <c r="AA128" s="6" t="s">
        <v>31</v>
      </c>
      <c r="AB128" s="6"/>
      <c r="AC128" s="6"/>
      <c r="AD128" s="6"/>
      <c r="AE128" s="6"/>
      <c r="AF128" s="6"/>
      <c r="AG128" s="6"/>
      <c r="AH128" s="6"/>
      <c r="AI128" s="8">
        <f t="shared" si="29"/>
        <v>0</v>
      </c>
      <c r="AJ128" s="8"/>
      <c r="AK128" s="6"/>
      <c r="AL128" s="6"/>
      <c r="AM128" s="6"/>
      <c r="AN128" s="6"/>
      <c r="AO128" s="6"/>
      <c r="AP128" s="6"/>
      <c r="AQ128" s="6"/>
      <c r="AR128" s="6"/>
      <c r="AS128" s="8">
        <f t="shared" si="31"/>
        <v>0</v>
      </c>
      <c r="AT128" s="8"/>
      <c r="AU128" s="6">
        <v>0</v>
      </c>
      <c r="AV128" s="6"/>
      <c r="AW128" s="6">
        <v>0</v>
      </c>
      <c r="AX128" s="6"/>
      <c r="AY128" s="6">
        <f t="shared" si="35"/>
        <v>0</v>
      </c>
      <c r="AZ128" s="6"/>
      <c r="BA128" s="6" t="s">
        <v>155</v>
      </c>
      <c r="BB128" s="18"/>
      <c r="BC128" s="6" t="s">
        <v>31</v>
      </c>
      <c r="BD128" s="6"/>
      <c r="BE128" s="6"/>
      <c r="BF128" s="6"/>
      <c r="BG128" s="6"/>
      <c r="BH128" s="6"/>
      <c r="BI128" s="6"/>
      <c r="BJ128" s="6"/>
      <c r="BK128" s="6"/>
      <c r="BL128" s="6"/>
      <c r="BM128" s="6">
        <f t="shared" si="30"/>
        <v>0</v>
      </c>
      <c r="BN128" s="17" t="s">
        <v>345</v>
      </c>
    </row>
    <row r="129" spans="1:66" ht="12.75" hidden="1" customHeight="1" x14ac:dyDescent="0.2">
      <c r="A129" s="6" t="s">
        <v>156</v>
      </c>
      <c r="C129" s="6" t="s">
        <v>157</v>
      </c>
      <c r="D129" s="6"/>
      <c r="E129" s="6">
        <f t="shared" si="32"/>
        <v>0</v>
      </c>
      <c r="F129" s="6"/>
      <c r="G129" s="6"/>
      <c r="H129" s="6"/>
      <c r="I129" s="6"/>
      <c r="J129" s="6"/>
      <c r="K129" s="6">
        <f t="shared" si="33"/>
        <v>0</v>
      </c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>
        <f t="shared" si="34"/>
        <v>0</v>
      </c>
      <c r="X129" s="6"/>
      <c r="Y129" s="6" t="s">
        <v>156</v>
      </c>
      <c r="Z129" s="18"/>
      <c r="AA129" s="6" t="s">
        <v>157</v>
      </c>
      <c r="AB129" s="6"/>
      <c r="AC129" s="6"/>
      <c r="AD129" s="6"/>
      <c r="AE129" s="6"/>
      <c r="AF129" s="6"/>
      <c r="AG129" s="6"/>
      <c r="AH129" s="6"/>
      <c r="AI129" s="8">
        <f t="shared" si="29"/>
        <v>0</v>
      </c>
      <c r="AJ129" s="8"/>
      <c r="AK129" s="6"/>
      <c r="AL129" s="6"/>
      <c r="AM129" s="6"/>
      <c r="AN129" s="6"/>
      <c r="AO129" s="6"/>
      <c r="AP129" s="6"/>
      <c r="AQ129" s="6"/>
      <c r="AR129" s="6"/>
      <c r="AS129" s="8">
        <f t="shared" si="31"/>
        <v>0</v>
      </c>
      <c r="AT129" s="8"/>
      <c r="AU129" s="6">
        <v>0</v>
      </c>
      <c r="AV129" s="6"/>
      <c r="AW129" s="6">
        <v>0</v>
      </c>
      <c r="AX129" s="6"/>
      <c r="AY129" s="6">
        <f t="shared" si="35"/>
        <v>0</v>
      </c>
      <c r="AZ129" s="6"/>
      <c r="BA129" s="6" t="s">
        <v>156</v>
      </c>
      <c r="BB129" s="18"/>
      <c r="BC129" s="6" t="s">
        <v>157</v>
      </c>
      <c r="BD129" s="6"/>
      <c r="BE129" s="6"/>
      <c r="BF129" s="6"/>
      <c r="BG129" s="6"/>
      <c r="BH129" s="6"/>
      <c r="BI129" s="6"/>
      <c r="BJ129" s="6"/>
      <c r="BK129" s="6"/>
      <c r="BL129" s="6"/>
      <c r="BM129" s="6">
        <f t="shared" si="30"/>
        <v>0</v>
      </c>
      <c r="BN129" s="17" t="s">
        <v>345</v>
      </c>
    </row>
    <row r="130" spans="1:66" ht="12.75" hidden="1" customHeight="1" x14ac:dyDescent="0.2">
      <c r="A130" s="6" t="s">
        <v>158</v>
      </c>
      <c r="C130" s="6" t="s">
        <v>109</v>
      </c>
      <c r="D130" s="6"/>
      <c r="E130" s="6">
        <f t="shared" si="32"/>
        <v>0</v>
      </c>
      <c r="F130" s="6"/>
      <c r="G130" s="6"/>
      <c r="H130" s="6"/>
      <c r="I130" s="6"/>
      <c r="J130" s="6"/>
      <c r="K130" s="6">
        <f t="shared" si="33"/>
        <v>0</v>
      </c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>
        <f t="shared" si="34"/>
        <v>0</v>
      </c>
      <c r="X130" s="6"/>
      <c r="Y130" s="6" t="s">
        <v>158</v>
      </c>
      <c r="Z130" s="18"/>
      <c r="AA130" s="6" t="s">
        <v>109</v>
      </c>
      <c r="AB130" s="6"/>
      <c r="AC130" s="6"/>
      <c r="AD130" s="6"/>
      <c r="AE130" s="6"/>
      <c r="AF130" s="6"/>
      <c r="AG130" s="6"/>
      <c r="AH130" s="6"/>
      <c r="AI130" s="8">
        <f t="shared" si="29"/>
        <v>0</v>
      </c>
      <c r="AJ130" s="8"/>
      <c r="AK130" s="6"/>
      <c r="AL130" s="6"/>
      <c r="AM130" s="6"/>
      <c r="AN130" s="6"/>
      <c r="AO130" s="6"/>
      <c r="AP130" s="6"/>
      <c r="AQ130" s="6"/>
      <c r="AR130" s="6"/>
      <c r="AS130" s="8">
        <f t="shared" si="31"/>
        <v>0</v>
      </c>
      <c r="AT130" s="8"/>
      <c r="AU130" s="6">
        <v>0</v>
      </c>
      <c r="AV130" s="6"/>
      <c r="AW130" s="6">
        <v>0</v>
      </c>
      <c r="AX130" s="6"/>
      <c r="AY130" s="6">
        <f t="shared" si="35"/>
        <v>0</v>
      </c>
      <c r="AZ130" s="6"/>
      <c r="BA130" s="6" t="s">
        <v>158</v>
      </c>
      <c r="BB130" s="18"/>
      <c r="BC130" s="6" t="s">
        <v>109</v>
      </c>
      <c r="BD130" s="6"/>
      <c r="BE130" s="6"/>
      <c r="BF130" s="6"/>
      <c r="BG130" s="6"/>
      <c r="BH130" s="6"/>
      <c r="BI130" s="6"/>
      <c r="BJ130" s="6"/>
      <c r="BK130" s="6"/>
      <c r="BL130" s="6"/>
      <c r="BM130" s="6">
        <f t="shared" si="30"/>
        <v>0</v>
      </c>
      <c r="BN130" s="17" t="s">
        <v>345</v>
      </c>
    </row>
    <row r="131" spans="1:66" ht="12.75" hidden="1" customHeight="1" x14ac:dyDescent="0.2">
      <c r="A131" s="6" t="s">
        <v>159</v>
      </c>
      <c r="C131" s="6" t="s">
        <v>13</v>
      </c>
      <c r="D131" s="6"/>
      <c r="E131" s="6">
        <f t="shared" si="32"/>
        <v>0</v>
      </c>
      <c r="F131" s="6"/>
      <c r="G131" s="6"/>
      <c r="H131" s="6"/>
      <c r="I131" s="6"/>
      <c r="J131" s="6"/>
      <c r="K131" s="6">
        <f t="shared" si="33"/>
        <v>0</v>
      </c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>
        <f t="shared" si="34"/>
        <v>0</v>
      </c>
      <c r="X131" s="6"/>
      <c r="Y131" s="6" t="s">
        <v>159</v>
      </c>
      <c r="Z131" s="18"/>
      <c r="AA131" s="6" t="s">
        <v>13</v>
      </c>
      <c r="AB131" s="6"/>
      <c r="AC131" s="6"/>
      <c r="AD131" s="6"/>
      <c r="AE131" s="6"/>
      <c r="AF131" s="6"/>
      <c r="AG131" s="6"/>
      <c r="AH131" s="6"/>
      <c r="AI131" s="8">
        <f t="shared" si="29"/>
        <v>0</v>
      </c>
      <c r="AJ131" s="8"/>
      <c r="AK131" s="6"/>
      <c r="AL131" s="6"/>
      <c r="AM131" s="6"/>
      <c r="AN131" s="6"/>
      <c r="AO131" s="6"/>
      <c r="AP131" s="6"/>
      <c r="AQ131" s="6"/>
      <c r="AR131" s="6"/>
      <c r="AS131" s="8">
        <f t="shared" si="31"/>
        <v>0</v>
      </c>
      <c r="AT131" s="8"/>
      <c r="AU131" s="6">
        <v>0</v>
      </c>
      <c r="AV131" s="6"/>
      <c r="AW131" s="6">
        <v>0</v>
      </c>
      <c r="AX131" s="6"/>
      <c r="AY131" s="6">
        <f t="shared" si="35"/>
        <v>0</v>
      </c>
      <c r="AZ131" s="6"/>
      <c r="BA131" s="6" t="s">
        <v>159</v>
      </c>
      <c r="BB131" s="18"/>
      <c r="BC131" s="6" t="s">
        <v>13</v>
      </c>
      <c r="BD131" s="6"/>
      <c r="BE131" s="6"/>
      <c r="BF131" s="6"/>
      <c r="BG131" s="6"/>
      <c r="BH131" s="6"/>
      <c r="BI131" s="6"/>
      <c r="BJ131" s="6"/>
      <c r="BK131" s="6"/>
      <c r="BL131" s="6"/>
      <c r="BM131" s="6">
        <f t="shared" si="30"/>
        <v>0</v>
      </c>
      <c r="BN131" s="17" t="s">
        <v>345</v>
      </c>
    </row>
    <row r="132" spans="1:66" ht="12.75" hidden="1" customHeight="1" x14ac:dyDescent="0.2">
      <c r="A132" s="6" t="s">
        <v>160</v>
      </c>
      <c r="C132" s="6" t="s">
        <v>161</v>
      </c>
      <c r="D132" s="6"/>
      <c r="E132" s="6">
        <f t="shared" si="32"/>
        <v>0</v>
      </c>
      <c r="F132" s="6"/>
      <c r="G132" s="6"/>
      <c r="H132" s="6"/>
      <c r="I132" s="6"/>
      <c r="J132" s="6"/>
      <c r="K132" s="6">
        <f t="shared" si="33"/>
        <v>0</v>
      </c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>
        <f t="shared" si="34"/>
        <v>0</v>
      </c>
      <c r="X132" s="6"/>
      <c r="Y132" s="6" t="s">
        <v>160</v>
      </c>
      <c r="Z132" s="18"/>
      <c r="AA132" s="6" t="s">
        <v>161</v>
      </c>
      <c r="AB132" s="6"/>
      <c r="AC132" s="6"/>
      <c r="AD132" s="6"/>
      <c r="AE132" s="6"/>
      <c r="AF132" s="6"/>
      <c r="AG132" s="6"/>
      <c r="AH132" s="6"/>
      <c r="AI132" s="8">
        <f t="shared" si="29"/>
        <v>0</v>
      </c>
      <c r="AJ132" s="8"/>
      <c r="AK132" s="6"/>
      <c r="AL132" s="6"/>
      <c r="AM132" s="6"/>
      <c r="AN132" s="6"/>
      <c r="AO132" s="6"/>
      <c r="AP132" s="6"/>
      <c r="AQ132" s="6"/>
      <c r="AR132" s="6"/>
      <c r="AS132" s="8">
        <f t="shared" si="31"/>
        <v>0</v>
      </c>
      <c r="AT132" s="8"/>
      <c r="AU132" s="6">
        <v>0</v>
      </c>
      <c r="AV132" s="6"/>
      <c r="AW132" s="6">
        <v>0</v>
      </c>
      <c r="AX132" s="6"/>
      <c r="AY132" s="6">
        <f t="shared" si="35"/>
        <v>0</v>
      </c>
      <c r="AZ132" s="6"/>
      <c r="BA132" s="6" t="s">
        <v>160</v>
      </c>
      <c r="BB132" s="18"/>
      <c r="BC132" s="6" t="s">
        <v>161</v>
      </c>
      <c r="BD132" s="6"/>
      <c r="BE132" s="6"/>
      <c r="BF132" s="6"/>
      <c r="BG132" s="6"/>
      <c r="BH132" s="6"/>
      <c r="BI132" s="6"/>
      <c r="BJ132" s="6"/>
      <c r="BK132" s="6"/>
      <c r="BL132" s="6"/>
      <c r="BM132" s="6">
        <f t="shared" si="30"/>
        <v>0</v>
      </c>
      <c r="BN132" s="17" t="s">
        <v>345</v>
      </c>
    </row>
    <row r="133" spans="1:66" ht="12.75" hidden="1" customHeight="1" x14ac:dyDescent="0.2">
      <c r="A133" s="6" t="s">
        <v>162</v>
      </c>
      <c r="C133" s="6" t="s">
        <v>25</v>
      </c>
      <c r="D133" s="6"/>
      <c r="E133" s="6">
        <f t="shared" si="32"/>
        <v>0</v>
      </c>
      <c r="F133" s="6"/>
      <c r="G133" s="6"/>
      <c r="H133" s="6"/>
      <c r="I133" s="6"/>
      <c r="J133" s="6"/>
      <c r="K133" s="6">
        <f t="shared" si="33"/>
        <v>0</v>
      </c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>
        <f t="shared" si="34"/>
        <v>0</v>
      </c>
      <c r="X133" s="6"/>
      <c r="Y133" s="6" t="s">
        <v>162</v>
      </c>
      <c r="Z133" s="18"/>
      <c r="AA133" s="6" t="s">
        <v>25</v>
      </c>
      <c r="AB133" s="6"/>
      <c r="AC133" s="6"/>
      <c r="AD133" s="6"/>
      <c r="AE133" s="6"/>
      <c r="AF133" s="6"/>
      <c r="AG133" s="6"/>
      <c r="AH133" s="6"/>
      <c r="AI133" s="8">
        <f t="shared" si="29"/>
        <v>0</v>
      </c>
      <c r="AJ133" s="8"/>
      <c r="AK133" s="6"/>
      <c r="AL133" s="6"/>
      <c r="AM133" s="6"/>
      <c r="AN133" s="6"/>
      <c r="AO133" s="6"/>
      <c r="AP133" s="6"/>
      <c r="AQ133" s="6"/>
      <c r="AR133" s="6"/>
      <c r="AS133" s="8">
        <f t="shared" si="31"/>
        <v>0</v>
      </c>
      <c r="AT133" s="8"/>
      <c r="AU133" s="6">
        <v>0</v>
      </c>
      <c r="AV133" s="6"/>
      <c r="AW133" s="6">
        <v>0</v>
      </c>
      <c r="AX133" s="6"/>
      <c r="AY133" s="6">
        <f t="shared" si="35"/>
        <v>0</v>
      </c>
      <c r="AZ133" s="6"/>
      <c r="BA133" s="6" t="s">
        <v>162</v>
      </c>
      <c r="BB133" s="18"/>
      <c r="BC133" s="6" t="s">
        <v>25</v>
      </c>
      <c r="BD133" s="6"/>
      <c r="BE133" s="6"/>
      <c r="BF133" s="6"/>
      <c r="BG133" s="6"/>
      <c r="BH133" s="6"/>
      <c r="BI133" s="6"/>
      <c r="BJ133" s="6"/>
      <c r="BK133" s="6"/>
      <c r="BL133" s="6"/>
      <c r="BM133" s="6">
        <f t="shared" ref="BM133:BM144" si="36">SUM(BE133:BK133)</f>
        <v>0</v>
      </c>
      <c r="BN133" s="17" t="s">
        <v>345</v>
      </c>
    </row>
    <row r="134" spans="1:66" ht="12.75" hidden="1" customHeight="1" x14ac:dyDescent="0.2">
      <c r="A134" s="6" t="s">
        <v>51</v>
      </c>
      <c r="C134" s="6" t="s">
        <v>51</v>
      </c>
      <c r="D134" s="6"/>
      <c r="E134" s="6">
        <f t="shared" si="32"/>
        <v>0</v>
      </c>
      <c r="F134" s="6"/>
      <c r="G134" s="6"/>
      <c r="H134" s="6"/>
      <c r="I134" s="6"/>
      <c r="J134" s="6"/>
      <c r="K134" s="6">
        <f t="shared" si="33"/>
        <v>0</v>
      </c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>
        <f t="shared" si="34"/>
        <v>0</v>
      </c>
      <c r="X134" s="6"/>
      <c r="Y134" s="6" t="s">
        <v>51</v>
      </c>
      <c r="Z134" s="18"/>
      <c r="AA134" s="6" t="s">
        <v>51</v>
      </c>
      <c r="AB134" s="6"/>
      <c r="AC134" s="6"/>
      <c r="AD134" s="6"/>
      <c r="AE134" s="6"/>
      <c r="AF134" s="6"/>
      <c r="AG134" s="6"/>
      <c r="AH134" s="6"/>
      <c r="AI134" s="8">
        <f t="shared" si="29"/>
        <v>0</v>
      </c>
      <c r="AJ134" s="8"/>
      <c r="AK134" s="6"/>
      <c r="AL134" s="6"/>
      <c r="AM134" s="6"/>
      <c r="AN134" s="6"/>
      <c r="AO134" s="6"/>
      <c r="AP134" s="6"/>
      <c r="AQ134" s="6"/>
      <c r="AR134" s="6"/>
      <c r="AS134" s="8">
        <f t="shared" si="31"/>
        <v>0</v>
      </c>
      <c r="AT134" s="8"/>
      <c r="AU134" s="6">
        <v>0</v>
      </c>
      <c r="AV134" s="6"/>
      <c r="AW134" s="6">
        <v>0</v>
      </c>
      <c r="AX134" s="6"/>
      <c r="AY134" s="6">
        <f t="shared" si="35"/>
        <v>0</v>
      </c>
      <c r="AZ134" s="6"/>
      <c r="BA134" s="6" t="s">
        <v>51</v>
      </c>
      <c r="BB134" s="18"/>
      <c r="BC134" s="6" t="s">
        <v>51</v>
      </c>
      <c r="BD134" s="6"/>
      <c r="BE134" s="6"/>
      <c r="BF134" s="6"/>
      <c r="BG134" s="6"/>
      <c r="BH134" s="6"/>
      <c r="BI134" s="6"/>
      <c r="BJ134" s="6"/>
      <c r="BK134" s="6"/>
      <c r="BL134" s="6"/>
      <c r="BM134" s="6">
        <f t="shared" si="36"/>
        <v>0</v>
      </c>
      <c r="BN134" s="17" t="s">
        <v>345</v>
      </c>
    </row>
    <row r="135" spans="1:66" ht="12.75" hidden="1" customHeight="1" x14ac:dyDescent="0.2">
      <c r="A135" s="6" t="s">
        <v>163</v>
      </c>
      <c r="C135" s="6" t="s">
        <v>90</v>
      </c>
      <c r="D135" s="6"/>
      <c r="E135" s="6">
        <f t="shared" si="32"/>
        <v>0</v>
      </c>
      <c r="F135" s="6"/>
      <c r="G135" s="6"/>
      <c r="H135" s="6"/>
      <c r="I135" s="6"/>
      <c r="J135" s="6"/>
      <c r="K135" s="6">
        <f t="shared" si="33"/>
        <v>0</v>
      </c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>
        <f t="shared" si="34"/>
        <v>0</v>
      </c>
      <c r="X135" s="6"/>
      <c r="Y135" s="6" t="s">
        <v>163</v>
      </c>
      <c r="Z135" s="18"/>
      <c r="AA135" s="6" t="s">
        <v>90</v>
      </c>
      <c r="AB135" s="6"/>
      <c r="AC135" s="6"/>
      <c r="AD135" s="6"/>
      <c r="AE135" s="6"/>
      <c r="AF135" s="6"/>
      <c r="AG135" s="6"/>
      <c r="AH135" s="6"/>
      <c r="AI135" s="8">
        <f t="shared" si="29"/>
        <v>0</v>
      </c>
      <c r="AJ135" s="8"/>
      <c r="AK135" s="6"/>
      <c r="AL135" s="6"/>
      <c r="AM135" s="6"/>
      <c r="AN135" s="6"/>
      <c r="AO135" s="6"/>
      <c r="AP135" s="6"/>
      <c r="AQ135" s="6"/>
      <c r="AR135" s="6"/>
      <c r="AS135" s="8">
        <f t="shared" si="31"/>
        <v>0</v>
      </c>
      <c r="AT135" s="8"/>
      <c r="AU135" s="6">
        <v>0</v>
      </c>
      <c r="AV135" s="6"/>
      <c r="AW135" s="6">
        <v>0</v>
      </c>
      <c r="AX135" s="6"/>
      <c r="AY135" s="6">
        <f t="shared" si="35"/>
        <v>0</v>
      </c>
      <c r="AZ135" s="6"/>
      <c r="BA135" s="6" t="s">
        <v>163</v>
      </c>
      <c r="BB135" s="18"/>
      <c r="BC135" s="6" t="s">
        <v>90</v>
      </c>
      <c r="BD135" s="6"/>
      <c r="BE135" s="6"/>
      <c r="BF135" s="6"/>
      <c r="BG135" s="6"/>
      <c r="BH135" s="6"/>
      <c r="BI135" s="6"/>
      <c r="BJ135" s="6"/>
      <c r="BK135" s="6"/>
      <c r="BL135" s="6"/>
      <c r="BM135" s="6">
        <f t="shared" si="36"/>
        <v>0</v>
      </c>
      <c r="BN135" s="17" t="s">
        <v>345</v>
      </c>
    </row>
    <row r="136" spans="1:66" ht="12.75" hidden="1" customHeight="1" x14ac:dyDescent="0.2">
      <c r="A136" s="6" t="s">
        <v>164</v>
      </c>
      <c r="C136" s="6" t="s">
        <v>90</v>
      </c>
      <c r="D136" s="6"/>
      <c r="E136" s="6">
        <f t="shared" si="32"/>
        <v>0</v>
      </c>
      <c r="F136" s="6"/>
      <c r="G136" s="6"/>
      <c r="H136" s="6"/>
      <c r="I136" s="6"/>
      <c r="J136" s="6"/>
      <c r="K136" s="6">
        <f t="shared" si="33"/>
        <v>0</v>
      </c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>
        <f t="shared" si="34"/>
        <v>0</v>
      </c>
      <c r="X136" s="6"/>
      <c r="Y136" s="6" t="s">
        <v>164</v>
      </c>
      <c r="Z136" s="18"/>
      <c r="AA136" s="6" t="s">
        <v>90</v>
      </c>
      <c r="AB136" s="6"/>
      <c r="AC136" s="6"/>
      <c r="AD136" s="6"/>
      <c r="AE136" s="6"/>
      <c r="AF136" s="6"/>
      <c r="AG136" s="6"/>
      <c r="AH136" s="6"/>
      <c r="AI136" s="8">
        <f t="shared" si="29"/>
        <v>0</v>
      </c>
      <c r="AJ136" s="8"/>
      <c r="AK136" s="6"/>
      <c r="AL136" s="6"/>
      <c r="AM136" s="6"/>
      <c r="AN136" s="6"/>
      <c r="AO136" s="6"/>
      <c r="AP136" s="6"/>
      <c r="AQ136" s="6"/>
      <c r="AR136" s="6"/>
      <c r="AS136" s="8">
        <f t="shared" si="31"/>
        <v>0</v>
      </c>
      <c r="AT136" s="8"/>
      <c r="AU136" s="6">
        <v>0</v>
      </c>
      <c r="AV136" s="6"/>
      <c r="AW136" s="6">
        <v>0</v>
      </c>
      <c r="AX136" s="6"/>
      <c r="AY136" s="6">
        <f t="shared" si="35"/>
        <v>0</v>
      </c>
      <c r="AZ136" s="6"/>
      <c r="BA136" s="6" t="s">
        <v>164</v>
      </c>
      <c r="BB136" s="18"/>
      <c r="BC136" s="6" t="s">
        <v>90</v>
      </c>
      <c r="BD136" s="6"/>
      <c r="BE136" s="6"/>
      <c r="BF136" s="6"/>
      <c r="BG136" s="6"/>
      <c r="BH136" s="6"/>
      <c r="BI136" s="6"/>
      <c r="BJ136" s="6"/>
      <c r="BK136" s="6"/>
      <c r="BL136" s="6"/>
      <c r="BM136" s="6">
        <f t="shared" si="36"/>
        <v>0</v>
      </c>
      <c r="BN136" s="17" t="s">
        <v>345</v>
      </c>
    </row>
    <row r="137" spans="1:66" ht="12.75" hidden="1" customHeight="1" x14ac:dyDescent="0.2">
      <c r="A137" s="6" t="s">
        <v>165</v>
      </c>
      <c r="C137" s="6" t="s">
        <v>64</v>
      </c>
      <c r="D137" s="6"/>
      <c r="E137" s="6">
        <f t="shared" si="32"/>
        <v>0</v>
      </c>
      <c r="F137" s="6"/>
      <c r="G137" s="6"/>
      <c r="H137" s="6"/>
      <c r="I137" s="6"/>
      <c r="J137" s="6"/>
      <c r="K137" s="6">
        <f t="shared" si="33"/>
        <v>0</v>
      </c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>
        <f t="shared" si="34"/>
        <v>0</v>
      </c>
      <c r="X137" s="6"/>
      <c r="Y137" s="6" t="s">
        <v>165</v>
      </c>
      <c r="Z137" s="18"/>
      <c r="AA137" s="6" t="s">
        <v>64</v>
      </c>
      <c r="AB137" s="6"/>
      <c r="AC137" s="6"/>
      <c r="AD137" s="6"/>
      <c r="AE137" s="6"/>
      <c r="AF137" s="6"/>
      <c r="AG137" s="6"/>
      <c r="AH137" s="6"/>
      <c r="AI137" s="8">
        <f t="shared" si="29"/>
        <v>0</v>
      </c>
      <c r="AJ137" s="8"/>
      <c r="AK137" s="6"/>
      <c r="AL137" s="6"/>
      <c r="AM137" s="6"/>
      <c r="AN137" s="6"/>
      <c r="AO137" s="6"/>
      <c r="AP137" s="6"/>
      <c r="AQ137" s="6"/>
      <c r="AR137" s="6"/>
      <c r="AS137" s="8">
        <f t="shared" si="31"/>
        <v>0</v>
      </c>
      <c r="AT137" s="8"/>
      <c r="AU137" s="6">
        <v>0</v>
      </c>
      <c r="AV137" s="6"/>
      <c r="AW137" s="6">
        <v>0</v>
      </c>
      <c r="AX137" s="6"/>
      <c r="AY137" s="6">
        <f t="shared" si="35"/>
        <v>0</v>
      </c>
      <c r="AZ137" s="6"/>
      <c r="BA137" s="6" t="s">
        <v>165</v>
      </c>
      <c r="BB137" s="18"/>
      <c r="BC137" s="6" t="s">
        <v>64</v>
      </c>
      <c r="BD137" s="6"/>
      <c r="BE137" s="6"/>
      <c r="BF137" s="6"/>
      <c r="BG137" s="6"/>
      <c r="BH137" s="6"/>
      <c r="BI137" s="6"/>
      <c r="BJ137" s="6"/>
      <c r="BK137" s="6"/>
      <c r="BL137" s="6"/>
      <c r="BM137" s="6">
        <f t="shared" si="36"/>
        <v>0</v>
      </c>
      <c r="BN137" s="17" t="s">
        <v>345</v>
      </c>
    </row>
    <row r="138" spans="1:66" ht="12.75" hidden="1" customHeight="1" x14ac:dyDescent="0.2">
      <c r="A138" s="7" t="s">
        <v>166</v>
      </c>
      <c r="C138" s="7" t="s">
        <v>25</v>
      </c>
      <c r="D138" s="7"/>
      <c r="E138" s="6">
        <f t="shared" si="32"/>
        <v>0</v>
      </c>
      <c r="F138" s="6"/>
      <c r="G138" s="6"/>
      <c r="H138" s="6"/>
      <c r="I138" s="6"/>
      <c r="J138" s="6"/>
      <c r="K138" s="6">
        <f t="shared" si="33"/>
        <v>0</v>
      </c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>
        <f t="shared" si="34"/>
        <v>0</v>
      </c>
      <c r="X138" s="6"/>
      <c r="Y138" s="7" t="s">
        <v>166</v>
      </c>
      <c r="Z138" s="18"/>
      <c r="AA138" s="7" t="s">
        <v>25</v>
      </c>
      <c r="AB138" s="7"/>
      <c r="AC138" s="6"/>
      <c r="AD138" s="6"/>
      <c r="AE138" s="6"/>
      <c r="AF138" s="6"/>
      <c r="AG138" s="6"/>
      <c r="AH138" s="6"/>
      <c r="AI138" s="8">
        <f t="shared" si="29"/>
        <v>0</v>
      </c>
      <c r="AJ138" s="8"/>
      <c r="AK138" s="6"/>
      <c r="AL138" s="6"/>
      <c r="AM138" s="6"/>
      <c r="AN138" s="6"/>
      <c r="AO138" s="6"/>
      <c r="AP138" s="6"/>
      <c r="AQ138" s="6"/>
      <c r="AR138" s="6"/>
      <c r="AS138" s="8">
        <f t="shared" si="31"/>
        <v>0</v>
      </c>
      <c r="AT138" s="8"/>
      <c r="AU138" s="6">
        <v>0</v>
      </c>
      <c r="AV138" s="6"/>
      <c r="AW138" s="6">
        <v>0</v>
      </c>
      <c r="AX138" s="6"/>
      <c r="AY138" s="6">
        <f t="shared" si="35"/>
        <v>0</v>
      </c>
      <c r="AZ138" s="6"/>
      <c r="BA138" s="7" t="s">
        <v>166</v>
      </c>
      <c r="BB138" s="18"/>
      <c r="BC138" s="7" t="s">
        <v>25</v>
      </c>
      <c r="BD138" s="7"/>
      <c r="BE138" s="6"/>
      <c r="BF138" s="6"/>
      <c r="BG138" s="6"/>
      <c r="BH138" s="6"/>
      <c r="BI138" s="6"/>
      <c r="BJ138" s="6"/>
      <c r="BK138" s="6"/>
      <c r="BL138" s="6"/>
      <c r="BM138" s="6">
        <f t="shared" si="36"/>
        <v>0</v>
      </c>
      <c r="BN138" s="17" t="s">
        <v>345</v>
      </c>
    </row>
    <row r="139" spans="1:66" ht="12.75" hidden="1" customHeight="1" x14ac:dyDescent="0.2">
      <c r="A139" s="6" t="s">
        <v>167</v>
      </c>
      <c r="C139" s="6" t="s">
        <v>101</v>
      </c>
      <c r="D139" s="6"/>
      <c r="E139" s="6">
        <f t="shared" si="32"/>
        <v>0</v>
      </c>
      <c r="F139" s="6"/>
      <c r="G139" s="6"/>
      <c r="H139" s="6"/>
      <c r="I139" s="6"/>
      <c r="J139" s="6"/>
      <c r="K139" s="6">
        <f t="shared" si="33"/>
        <v>0</v>
      </c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>
        <f t="shared" si="34"/>
        <v>0</v>
      </c>
      <c r="X139" s="6"/>
      <c r="Y139" s="6" t="s">
        <v>167</v>
      </c>
      <c r="Z139" s="18"/>
      <c r="AA139" s="6" t="s">
        <v>101</v>
      </c>
      <c r="AB139" s="6"/>
      <c r="AC139" s="6"/>
      <c r="AD139" s="6"/>
      <c r="AE139" s="6"/>
      <c r="AF139" s="6"/>
      <c r="AG139" s="6"/>
      <c r="AH139" s="6"/>
      <c r="AI139" s="8">
        <f t="shared" si="29"/>
        <v>0</v>
      </c>
      <c r="AJ139" s="8"/>
      <c r="AK139" s="6"/>
      <c r="AL139" s="6"/>
      <c r="AM139" s="6"/>
      <c r="AN139" s="6"/>
      <c r="AO139" s="6"/>
      <c r="AP139" s="6"/>
      <c r="AQ139" s="6"/>
      <c r="AR139" s="6"/>
      <c r="AS139" s="8">
        <f t="shared" si="31"/>
        <v>0</v>
      </c>
      <c r="AT139" s="8"/>
      <c r="AU139" s="6">
        <v>0</v>
      </c>
      <c r="AV139" s="6"/>
      <c r="AW139" s="6">
        <v>0</v>
      </c>
      <c r="AX139" s="6"/>
      <c r="AY139" s="6">
        <f t="shared" si="35"/>
        <v>0</v>
      </c>
      <c r="AZ139" s="6"/>
      <c r="BA139" s="6" t="s">
        <v>167</v>
      </c>
      <c r="BB139" s="18"/>
      <c r="BC139" s="6" t="s">
        <v>101</v>
      </c>
      <c r="BD139" s="6"/>
      <c r="BE139" s="6"/>
      <c r="BF139" s="6"/>
      <c r="BG139" s="6"/>
      <c r="BH139" s="6"/>
      <c r="BI139" s="6"/>
      <c r="BJ139" s="6"/>
      <c r="BK139" s="6"/>
      <c r="BL139" s="6"/>
      <c r="BM139" s="6">
        <f t="shared" si="36"/>
        <v>0</v>
      </c>
      <c r="BN139" s="17" t="s">
        <v>345</v>
      </c>
    </row>
    <row r="140" spans="1:66" ht="12.75" hidden="1" customHeight="1" x14ac:dyDescent="0.2">
      <c r="A140" s="6" t="s">
        <v>168</v>
      </c>
      <c r="C140" s="6" t="s">
        <v>169</v>
      </c>
      <c r="D140" s="6"/>
      <c r="E140" s="6">
        <f t="shared" si="32"/>
        <v>0</v>
      </c>
      <c r="F140" s="6"/>
      <c r="G140" s="6"/>
      <c r="H140" s="6"/>
      <c r="I140" s="6"/>
      <c r="J140" s="6"/>
      <c r="K140" s="6">
        <f t="shared" si="33"/>
        <v>0</v>
      </c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>
        <f t="shared" si="34"/>
        <v>0</v>
      </c>
      <c r="X140" s="6"/>
      <c r="Y140" s="6" t="s">
        <v>168</v>
      </c>
      <c r="Z140" s="18"/>
      <c r="AA140" s="6" t="s">
        <v>169</v>
      </c>
      <c r="AB140" s="6"/>
      <c r="AC140" s="6"/>
      <c r="AD140" s="6"/>
      <c r="AE140" s="6"/>
      <c r="AF140" s="6"/>
      <c r="AG140" s="6"/>
      <c r="AH140" s="6"/>
      <c r="AI140" s="8">
        <f t="shared" si="29"/>
        <v>0</v>
      </c>
      <c r="AJ140" s="8"/>
      <c r="AK140" s="6"/>
      <c r="AL140" s="6"/>
      <c r="AM140" s="6"/>
      <c r="AN140" s="6"/>
      <c r="AO140" s="6"/>
      <c r="AP140" s="6"/>
      <c r="AQ140" s="6"/>
      <c r="AR140" s="6"/>
      <c r="AS140" s="8">
        <f t="shared" si="31"/>
        <v>0</v>
      </c>
      <c r="AT140" s="8"/>
      <c r="AU140" s="6">
        <v>0</v>
      </c>
      <c r="AV140" s="6"/>
      <c r="AW140" s="6">
        <v>0</v>
      </c>
      <c r="AX140" s="6"/>
      <c r="AY140" s="6">
        <f t="shared" si="35"/>
        <v>0</v>
      </c>
      <c r="AZ140" s="6"/>
      <c r="BA140" s="6" t="s">
        <v>168</v>
      </c>
      <c r="BB140" s="18"/>
      <c r="BC140" s="6" t="s">
        <v>169</v>
      </c>
      <c r="BD140" s="6"/>
      <c r="BE140" s="6"/>
      <c r="BF140" s="6"/>
      <c r="BG140" s="6"/>
      <c r="BH140" s="6"/>
      <c r="BI140" s="6"/>
      <c r="BJ140" s="6"/>
      <c r="BK140" s="6"/>
      <c r="BL140" s="6"/>
      <c r="BM140" s="6">
        <f t="shared" si="36"/>
        <v>0</v>
      </c>
      <c r="BN140" s="17" t="s">
        <v>345</v>
      </c>
    </row>
    <row r="141" spans="1:66" ht="12.75" hidden="1" customHeight="1" x14ac:dyDescent="0.2">
      <c r="A141" s="6" t="s">
        <v>170</v>
      </c>
      <c r="C141" s="6" t="s">
        <v>101</v>
      </c>
      <c r="D141" s="6"/>
      <c r="E141" s="6">
        <f t="shared" si="32"/>
        <v>0</v>
      </c>
      <c r="F141" s="6"/>
      <c r="G141" s="6"/>
      <c r="H141" s="6"/>
      <c r="I141" s="6"/>
      <c r="J141" s="6"/>
      <c r="K141" s="6">
        <f t="shared" si="33"/>
        <v>0</v>
      </c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>
        <f t="shared" si="34"/>
        <v>0</v>
      </c>
      <c r="X141" s="6"/>
      <c r="Y141" s="6" t="s">
        <v>170</v>
      </c>
      <c r="Z141" s="18"/>
      <c r="AA141" s="6" t="s">
        <v>101</v>
      </c>
      <c r="AB141" s="6"/>
      <c r="AC141" s="6"/>
      <c r="AD141" s="6"/>
      <c r="AE141" s="6"/>
      <c r="AF141" s="6"/>
      <c r="AG141" s="6"/>
      <c r="AH141" s="6"/>
      <c r="AI141" s="8">
        <f t="shared" si="29"/>
        <v>0</v>
      </c>
      <c r="AJ141" s="8"/>
      <c r="AK141" s="6"/>
      <c r="AL141" s="6"/>
      <c r="AM141" s="6"/>
      <c r="AN141" s="6"/>
      <c r="AO141" s="6"/>
      <c r="AP141" s="6"/>
      <c r="AQ141" s="6"/>
      <c r="AR141" s="6"/>
      <c r="AS141" s="8">
        <f t="shared" si="31"/>
        <v>0</v>
      </c>
      <c r="AT141" s="8"/>
      <c r="AU141" s="6">
        <v>0</v>
      </c>
      <c r="AV141" s="6"/>
      <c r="AW141" s="6">
        <v>0</v>
      </c>
      <c r="AX141" s="6"/>
      <c r="AY141" s="6">
        <f t="shared" si="35"/>
        <v>0</v>
      </c>
      <c r="AZ141" s="6"/>
      <c r="BA141" s="6" t="s">
        <v>170</v>
      </c>
      <c r="BB141" s="18"/>
      <c r="BC141" s="6" t="s">
        <v>101</v>
      </c>
      <c r="BD141" s="6"/>
      <c r="BE141" s="6"/>
      <c r="BF141" s="6"/>
      <c r="BG141" s="6"/>
      <c r="BH141" s="6"/>
      <c r="BI141" s="6"/>
      <c r="BJ141" s="6"/>
      <c r="BK141" s="6"/>
      <c r="BL141" s="6"/>
      <c r="BM141" s="6">
        <f t="shared" si="36"/>
        <v>0</v>
      </c>
      <c r="BN141" s="17" t="s">
        <v>345</v>
      </c>
    </row>
    <row r="142" spans="1:66" ht="12.75" hidden="1" customHeight="1" x14ac:dyDescent="0.2">
      <c r="A142" s="6" t="s">
        <v>64</v>
      </c>
      <c r="C142" s="6" t="s">
        <v>43</v>
      </c>
      <c r="D142" s="6"/>
      <c r="E142" s="6">
        <f t="shared" si="32"/>
        <v>0</v>
      </c>
      <c r="F142" s="6"/>
      <c r="G142" s="6"/>
      <c r="H142" s="6"/>
      <c r="I142" s="6"/>
      <c r="J142" s="6"/>
      <c r="K142" s="6">
        <f t="shared" si="33"/>
        <v>0</v>
      </c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>
        <f t="shared" si="34"/>
        <v>0</v>
      </c>
      <c r="X142" s="6"/>
      <c r="Y142" s="6" t="s">
        <v>64</v>
      </c>
      <c r="Z142" s="18"/>
      <c r="AA142" s="6" t="s">
        <v>43</v>
      </c>
      <c r="AB142" s="6"/>
      <c r="AC142" s="6"/>
      <c r="AD142" s="6"/>
      <c r="AE142" s="6"/>
      <c r="AF142" s="6"/>
      <c r="AG142" s="6"/>
      <c r="AH142" s="6"/>
      <c r="AI142" s="8">
        <f t="shared" si="29"/>
        <v>0</v>
      </c>
      <c r="AJ142" s="8"/>
      <c r="AK142" s="6"/>
      <c r="AL142" s="6"/>
      <c r="AM142" s="6"/>
      <c r="AN142" s="6"/>
      <c r="AO142" s="6"/>
      <c r="AP142" s="6"/>
      <c r="AQ142" s="6"/>
      <c r="AR142" s="6"/>
      <c r="AS142" s="8">
        <f t="shared" si="31"/>
        <v>0</v>
      </c>
      <c r="AT142" s="8"/>
      <c r="AU142" s="6">
        <v>0</v>
      </c>
      <c r="AV142" s="6"/>
      <c r="AW142" s="6">
        <v>0</v>
      </c>
      <c r="AX142" s="6"/>
      <c r="AY142" s="6">
        <f t="shared" si="35"/>
        <v>0</v>
      </c>
      <c r="AZ142" s="6"/>
      <c r="BA142" s="6" t="s">
        <v>64</v>
      </c>
      <c r="BB142" s="18"/>
      <c r="BC142" s="6" t="s">
        <v>43</v>
      </c>
      <c r="BD142" s="6"/>
      <c r="BE142" s="6"/>
      <c r="BF142" s="6"/>
      <c r="BG142" s="6"/>
      <c r="BH142" s="6"/>
      <c r="BI142" s="6"/>
      <c r="BJ142" s="6"/>
      <c r="BK142" s="6"/>
      <c r="BL142" s="6"/>
      <c r="BM142" s="6">
        <f t="shared" si="36"/>
        <v>0</v>
      </c>
      <c r="BN142" s="17" t="s">
        <v>345</v>
      </c>
    </row>
    <row r="143" spans="1:66" ht="12.75" hidden="1" customHeight="1" x14ac:dyDescent="0.2">
      <c r="A143" s="6" t="s">
        <v>171</v>
      </c>
      <c r="C143" s="6" t="s">
        <v>64</v>
      </c>
      <c r="D143" s="6"/>
      <c r="E143" s="6">
        <f t="shared" si="32"/>
        <v>0</v>
      </c>
      <c r="F143" s="6"/>
      <c r="G143" s="6"/>
      <c r="H143" s="6"/>
      <c r="I143" s="6"/>
      <c r="J143" s="6"/>
      <c r="K143" s="6">
        <f t="shared" si="33"/>
        <v>0</v>
      </c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>
        <f t="shared" si="34"/>
        <v>0</v>
      </c>
      <c r="X143" s="6"/>
      <c r="Y143" s="6" t="s">
        <v>171</v>
      </c>
      <c r="Z143" s="18"/>
      <c r="AA143" s="6" t="s">
        <v>64</v>
      </c>
      <c r="AB143" s="6"/>
      <c r="AC143" s="6"/>
      <c r="AD143" s="6"/>
      <c r="AE143" s="6"/>
      <c r="AF143" s="6"/>
      <c r="AG143" s="6"/>
      <c r="AH143" s="6"/>
      <c r="AI143" s="8">
        <f t="shared" si="29"/>
        <v>0</v>
      </c>
      <c r="AJ143" s="8"/>
      <c r="AK143" s="6"/>
      <c r="AL143" s="6"/>
      <c r="AM143" s="6"/>
      <c r="AN143" s="6"/>
      <c r="AO143" s="6"/>
      <c r="AP143" s="6"/>
      <c r="AQ143" s="6"/>
      <c r="AR143" s="6"/>
      <c r="AS143" s="8">
        <f t="shared" si="31"/>
        <v>0</v>
      </c>
      <c r="AT143" s="8"/>
      <c r="AU143" s="6">
        <v>0</v>
      </c>
      <c r="AV143" s="6"/>
      <c r="AW143" s="6">
        <v>0</v>
      </c>
      <c r="AX143" s="6"/>
      <c r="AY143" s="6">
        <f t="shared" si="35"/>
        <v>0</v>
      </c>
      <c r="AZ143" s="6"/>
      <c r="BA143" s="6" t="s">
        <v>171</v>
      </c>
      <c r="BB143" s="18"/>
      <c r="BC143" s="6" t="s">
        <v>64</v>
      </c>
      <c r="BD143" s="6"/>
      <c r="BE143" s="6"/>
      <c r="BF143" s="6"/>
      <c r="BG143" s="6"/>
      <c r="BH143" s="6"/>
      <c r="BI143" s="6"/>
      <c r="BJ143" s="6"/>
      <c r="BK143" s="6"/>
      <c r="BL143" s="6"/>
      <c r="BM143" s="6">
        <f t="shared" si="36"/>
        <v>0</v>
      </c>
      <c r="BN143" s="17" t="s">
        <v>345</v>
      </c>
    </row>
    <row r="144" spans="1:66" ht="12.75" hidden="1" customHeight="1" x14ac:dyDescent="0.2">
      <c r="A144" s="6" t="s">
        <v>172</v>
      </c>
      <c r="C144" s="6" t="s">
        <v>43</v>
      </c>
      <c r="D144" s="6"/>
      <c r="E144" s="6">
        <f t="shared" si="32"/>
        <v>0</v>
      </c>
      <c r="F144" s="6"/>
      <c r="G144" s="6"/>
      <c r="H144" s="6"/>
      <c r="I144" s="6"/>
      <c r="J144" s="6"/>
      <c r="K144" s="6">
        <f t="shared" si="33"/>
        <v>0</v>
      </c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>
        <f t="shared" si="34"/>
        <v>0</v>
      </c>
      <c r="X144" s="6"/>
      <c r="Y144" s="6" t="s">
        <v>172</v>
      </c>
      <c r="Z144" s="18"/>
      <c r="AA144" s="6" t="s">
        <v>43</v>
      </c>
      <c r="AB144" s="6"/>
      <c r="AC144" s="6"/>
      <c r="AD144" s="6"/>
      <c r="AE144" s="6"/>
      <c r="AF144" s="6"/>
      <c r="AG144" s="6"/>
      <c r="AH144" s="6"/>
      <c r="AI144" s="8">
        <f t="shared" si="29"/>
        <v>0</v>
      </c>
      <c r="AJ144" s="8"/>
      <c r="AK144" s="6"/>
      <c r="AL144" s="6"/>
      <c r="AM144" s="6"/>
      <c r="AN144" s="6"/>
      <c r="AO144" s="6"/>
      <c r="AP144" s="6"/>
      <c r="AQ144" s="6"/>
      <c r="AR144" s="6"/>
      <c r="AS144" s="8">
        <f t="shared" si="31"/>
        <v>0</v>
      </c>
      <c r="AT144" s="8"/>
      <c r="AU144" s="6">
        <v>0</v>
      </c>
      <c r="AV144" s="6"/>
      <c r="AW144" s="6">
        <v>0</v>
      </c>
      <c r="AX144" s="6"/>
      <c r="AY144" s="6">
        <f t="shared" si="35"/>
        <v>0</v>
      </c>
      <c r="AZ144" s="6"/>
      <c r="BA144" s="6" t="s">
        <v>172</v>
      </c>
      <c r="BB144" s="18"/>
      <c r="BC144" s="6" t="s">
        <v>43</v>
      </c>
      <c r="BD144" s="6"/>
      <c r="BE144" s="6"/>
      <c r="BF144" s="6"/>
      <c r="BG144" s="6"/>
      <c r="BH144" s="6"/>
      <c r="BI144" s="6"/>
      <c r="BJ144" s="6"/>
      <c r="BK144" s="6"/>
      <c r="BL144" s="6"/>
      <c r="BM144" s="6">
        <f t="shared" si="36"/>
        <v>0</v>
      </c>
      <c r="BN144" s="17" t="s">
        <v>345</v>
      </c>
    </row>
    <row r="145" spans="1:66" ht="12.75" hidden="1" customHeight="1" x14ac:dyDescent="0.2">
      <c r="A145" s="6" t="s">
        <v>173</v>
      </c>
      <c r="C145" s="6" t="s">
        <v>174</v>
      </c>
      <c r="D145" s="6"/>
      <c r="E145" s="6">
        <f t="shared" si="32"/>
        <v>0</v>
      </c>
      <c r="F145" s="6"/>
      <c r="G145" s="6"/>
      <c r="H145" s="6"/>
      <c r="I145" s="6"/>
      <c r="J145" s="6"/>
      <c r="K145" s="6">
        <f t="shared" si="33"/>
        <v>0</v>
      </c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>
        <f t="shared" si="34"/>
        <v>0</v>
      </c>
      <c r="X145" s="6"/>
      <c r="Y145" s="6" t="s">
        <v>173</v>
      </c>
      <c r="Z145" s="18"/>
      <c r="AA145" s="6" t="s">
        <v>174</v>
      </c>
      <c r="AB145" s="6"/>
      <c r="AC145" s="6"/>
      <c r="AD145" s="6"/>
      <c r="AE145" s="6"/>
      <c r="AF145" s="6"/>
      <c r="AG145" s="6"/>
      <c r="AH145" s="6"/>
      <c r="AI145" s="8">
        <f t="shared" si="29"/>
        <v>0</v>
      </c>
      <c r="AJ145" s="8"/>
      <c r="AK145" s="6"/>
      <c r="AL145" s="6"/>
      <c r="AM145" s="6"/>
      <c r="AN145" s="6"/>
      <c r="AO145" s="6"/>
      <c r="AP145" s="6"/>
      <c r="AQ145" s="6"/>
      <c r="AR145" s="6"/>
      <c r="AS145" s="8">
        <f t="shared" si="31"/>
        <v>0</v>
      </c>
      <c r="AT145" s="8"/>
      <c r="AU145" s="6">
        <v>0</v>
      </c>
      <c r="AV145" s="6"/>
      <c r="AW145" s="6">
        <v>0</v>
      </c>
      <c r="AX145" s="6"/>
      <c r="AY145" s="6">
        <f t="shared" si="35"/>
        <v>0</v>
      </c>
      <c r="AZ145" s="6"/>
      <c r="BA145" s="6" t="s">
        <v>173</v>
      </c>
      <c r="BB145" s="18"/>
      <c r="BC145" s="6" t="s">
        <v>174</v>
      </c>
      <c r="BD145" s="6"/>
      <c r="BE145" s="6"/>
      <c r="BF145" s="6"/>
      <c r="BG145" s="6"/>
      <c r="BH145" s="6"/>
      <c r="BI145" s="6"/>
      <c r="BJ145" s="6"/>
      <c r="BK145" s="6"/>
      <c r="BL145" s="6"/>
      <c r="BM145" s="6">
        <v>0</v>
      </c>
      <c r="BN145" s="17" t="s">
        <v>345</v>
      </c>
    </row>
    <row r="146" spans="1:66" ht="12.75" hidden="1" customHeight="1" x14ac:dyDescent="0.2">
      <c r="A146" s="6" t="s">
        <v>175</v>
      </c>
      <c r="C146" s="6" t="s">
        <v>11</v>
      </c>
      <c r="D146" s="6"/>
      <c r="E146" s="6">
        <f t="shared" si="32"/>
        <v>0</v>
      </c>
      <c r="F146" s="6"/>
      <c r="G146" s="6"/>
      <c r="H146" s="6"/>
      <c r="I146" s="6"/>
      <c r="J146" s="6"/>
      <c r="K146" s="6">
        <f t="shared" si="33"/>
        <v>0</v>
      </c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>
        <f t="shared" si="34"/>
        <v>0</v>
      </c>
      <c r="X146" s="6"/>
      <c r="Y146" s="6" t="s">
        <v>175</v>
      </c>
      <c r="Z146" s="18"/>
      <c r="AA146" s="6" t="s">
        <v>11</v>
      </c>
      <c r="AB146" s="6"/>
      <c r="AC146" s="6"/>
      <c r="AD146" s="6"/>
      <c r="AE146" s="6"/>
      <c r="AF146" s="6"/>
      <c r="AG146" s="6"/>
      <c r="AH146" s="6"/>
      <c r="AI146" s="8">
        <f t="shared" si="29"/>
        <v>0</v>
      </c>
      <c r="AJ146" s="8"/>
      <c r="AK146" s="6"/>
      <c r="AL146" s="6"/>
      <c r="AM146" s="6"/>
      <c r="AN146" s="6"/>
      <c r="AO146" s="6"/>
      <c r="AP146" s="6"/>
      <c r="AQ146" s="6"/>
      <c r="AR146" s="6"/>
      <c r="AS146" s="8">
        <f t="shared" si="31"/>
        <v>0</v>
      </c>
      <c r="AT146" s="8"/>
      <c r="AU146" s="6">
        <v>0</v>
      </c>
      <c r="AV146" s="6"/>
      <c r="AW146" s="6">
        <v>0</v>
      </c>
      <c r="AX146" s="6"/>
      <c r="AY146" s="6">
        <f t="shared" si="35"/>
        <v>0</v>
      </c>
      <c r="AZ146" s="6"/>
      <c r="BA146" s="6" t="s">
        <v>175</v>
      </c>
      <c r="BB146" s="18"/>
      <c r="BC146" s="6" t="s">
        <v>11</v>
      </c>
      <c r="BD146" s="6"/>
      <c r="BE146" s="6"/>
      <c r="BF146" s="6"/>
      <c r="BG146" s="6"/>
      <c r="BH146" s="6"/>
      <c r="BI146" s="6"/>
      <c r="BJ146" s="6"/>
      <c r="BK146" s="6"/>
      <c r="BL146" s="6"/>
      <c r="BM146" s="6">
        <f t="shared" ref="BM146:BM192" si="37">SUM(BE146:BK146)</f>
        <v>0</v>
      </c>
      <c r="BN146" s="17" t="s">
        <v>345</v>
      </c>
    </row>
    <row r="147" spans="1:66" ht="13.5" customHeight="1" x14ac:dyDescent="0.2">
      <c r="A147" s="6" t="s">
        <v>176</v>
      </c>
      <c r="C147" s="6" t="s">
        <v>177</v>
      </c>
      <c r="D147" s="6"/>
      <c r="E147" s="6">
        <v>11145010</v>
      </c>
      <c r="F147" s="6"/>
      <c r="G147" s="6">
        <v>12234828</v>
      </c>
      <c r="H147" s="6"/>
      <c r="I147" s="6">
        <f>+E147+G147</f>
        <v>23379838</v>
      </c>
      <c r="J147" s="6"/>
      <c r="K147" s="6">
        <v>1070791</v>
      </c>
      <c r="L147" s="6"/>
      <c r="M147" s="6">
        <v>172425</v>
      </c>
      <c r="N147" s="6"/>
      <c r="O147" s="6">
        <f>+K147+M147</f>
        <v>1243216</v>
      </c>
      <c r="P147" s="6"/>
      <c r="Q147" s="6">
        <v>11108735</v>
      </c>
      <c r="R147" s="6"/>
      <c r="S147" s="6">
        <v>0</v>
      </c>
      <c r="T147" s="6"/>
      <c r="U147" s="6">
        <v>11027887</v>
      </c>
      <c r="V147" s="6"/>
      <c r="W147" s="6">
        <f t="shared" si="34"/>
        <v>22136622</v>
      </c>
      <c r="X147" s="6"/>
      <c r="Y147" s="6" t="s">
        <v>176</v>
      </c>
      <c r="Z147" s="18"/>
      <c r="AA147" s="6" t="s">
        <v>177</v>
      </c>
      <c r="AB147" s="6"/>
      <c r="AC147" s="6">
        <v>15299299</v>
      </c>
      <c r="AD147" s="6"/>
      <c r="AE147" s="6">
        <f>14418838-417084</f>
        <v>14001754</v>
      </c>
      <c r="AF147" s="6"/>
      <c r="AG147" s="6">
        <v>417084</v>
      </c>
      <c r="AH147" s="6"/>
      <c r="AI147" s="8">
        <f t="shared" si="29"/>
        <v>880461</v>
      </c>
      <c r="AJ147" s="8"/>
      <c r="AK147" s="6">
        <v>-164554</v>
      </c>
      <c r="AL147" s="6"/>
      <c r="AM147" s="6">
        <v>0</v>
      </c>
      <c r="AN147" s="6"/>
      <c r="AO147" s="6">
        <v>0</v>
      </c>
      <c r="AP147" s="6"/>
      <c r="AQ147" s="6">
        <v>3671</v>
      </c>
      <c r="AR147" s="6"/>
      <c r="AS147" s="8">
        <f t="shared" si="31"/>
        <v>719578</v>
      </c>
      <c r="AT147" s="8"/>
      <c r="AU147" s="6">
        <v>0</v>
      </c>
      <c r="AV147" s="6"/>
      <c r="AW147" s="6">
        <v>0</v>
      </c>
      <c r="AX147" s="6"/>
      <c r="AY147" s="6">
        <f t="shared" si="35"/>
        <v>10074219</v>
      </c>
      <c r="AZ147" s="6"/>
      <c r="BA147" s="6" t="s">
        <v>176</v>
      </c>
      <c r="BB147" s="18"/>
      <c r="BC147" s="6" t="s">
        <v>177</v>
      </c>
      <c r="BD147" s="6"/>
      <c r="BE147" s="6">
        <v>0</v>
      </c>
      <c r="BF147" s="6"/>
      <c r="BG147" s="6">
        <v>0</v>
      </c>
      <c r="BH147" s="6"/>
      <c r="BI147" s="6">
        <v>0</v>
      </c>
      <c r="BJ147" s="6"/>
      <c r="BK147" s="6">
        <f>65013+107412+60137</f>
        <v>232562</v>
      </c>
      <c r="BL147" s="6"/>
      <c r="BM147" s="6">
        <f t="shared" si="37"/>
        <v>232562</v>
      </c>
      <c r="BN147" s="17" t="s">
        <v>345</v>
      </c>
    </row>
    <row r="148" spans="1:66" ht="12.75" hidden="1" customHeight="1" x14ac:dyDescent="0.2">
      <c r="A148" s="6" t="s">
        <v>178</v>
      </c>
      <c r="C148" s="6" t="s">
        <v>18</v>
      </c>
      <c r="D148" s="6"/>
      <c r="E148" s="6">
        <f t="shared" si="32"/>
        <v>0</v>
      </c>
      <c r="F148" s="6"/>
      <c r="G148" s="6"/>
      <c r="H148" s="6"/>
      <c r="I148" s="6"/>
      <c r="J148" s="6"/>
      <c r="K148" s="6">
        <f t="shared" si="33"/>
        <v>0</v>
      </c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>
        <f t="shared" si="34"/>
        <v>0</v>
      </c>
      <c r="X148" s="6"/>
      <c r="Y148" s="6" t="s">
        <v>178</v>
      </c>
      <c r="Z148" s="18"/>
      <c r="AA148" s="6" t="s">
        <v>18</v>
      </c>
      <c r="AB148" s="6"/>
      <c r="AC148" s="6"/>
      <c r="AD148" s="6"/>
      <c r="AE148" s="6"/>
      <c r="AF148" s="6"/>
      <c r="AG148" s="6"/>
      <c r="AH148" s="6"/>
      <c r="AI148" s="8">
        <f t="shared" si="29"/>
        <v>0</v>
      </c>
      <c r="AJ148" s="8"/>
      <c r="AK148" s="6"/>
      <c r="AL148" s="6"/>
      <c r="AM148" s="6"/>
      <c r="AN148" s="6"/>
      <c r="AO148" s="6"/>
      <c r="AP148" s="6"/>
      <c r="AQ148" s="6"/>
      <c r="AR148" s="6"/>
      <c r="AS148" s="8">
        <f t="shared" si="31"/>
        <v>0</v>
      </c>
      <c r="AT148" s="8"/>
      <c r="AU148" s="6">
        <v>0</v>
      </c>
      <c r="AV148" s="6"/>
      <c r="AW148" s="6">
        <v>0</v>
      </c>
      <c r="AX148" s="6"/>
      <c r="AY148" s="6">
        <f t="shared" si="35"/>
        <v>0</v>
      </c>
      <c r="AZ148" s="6"/>
      <c r="BA148" s="6" t="s">
        <v>178</v>
      </c>
      <c r="BB148" s="18"/>
      <c r="BC148" s="6" t="s">
        <v>18</v>
      </c>
      <c r="BD148" s="6"/>
      <c r="BE148" s="6"/>
      <c r="BF148" s="6"/>
      <c r="BG148" s="6"/>
      <c r="BH148" s="6"/>
      <c r="BI148" s="6"/>
      <c r="BJ148" s="6"/>
      <c r="BK148" s="6"/>
      <c r="BL148" s="6"/>
      <c r="BM148" s="6">
        <f t="shared" si="37"/>
        <v>0</v>
      </c>
      <c r="BN148" s="17" t="s">
        <v>345</v>
      </c>
    </row>
    <row r="149" spans="1:66" ht="12.75" hidden="1" customHeight="1" x14ac:dyDescent="0.2">
      <c r="A149" s="7" t="s">
        <v>495</v>
      </c>
      <c r="B149" s="10"/>
      <c r="C149" s="7" t="s">
        <v>41</v>
      </c>
      <c r="D149" s="6"/>
      <c r="E149" s="6">
        <f t="shared" si="32"/>
        <v>0</v>
      </c>
      <c r="F149" s="6"/>
      <c r="G149" s="6"/>
      <c r="H149" s="6"/>
      <c r="I149" s="6"/>
      <c r="J149" s="6"/>
      <c r="K149" s="6">
        <f t="shared" si="33"/>
        <v>0</v>
      </c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>
        <f t="shared" si="34"/>
        <v>0</v>
      </c>
      <c r="X149" s="6"/>
      <c r="Y149" s="7" t="s">
        <v>495</v>
      </c>
      <c r="AA149" s="7" t="s">
        <v>41</v>
      </c>
      <c r="AB149" s="6"/>
      <c r="AC149" s="6"/>
      <c r="AD149" s="6"/>
      <c r="AE149" s="6"/>
      <c r="AF149" s="6"/>
      <c r="AG149" s="6"/>
      <c r="AH149" s="6"/>
      <c r="AI149" s="8">
        <f t="shared" si="29"/>
        <v>0</v>
      </c>
      <c r="AJ149" s="8"/>
      <c r="AK149" s="6"/>
      <c r="AL149" s="6"/>
      <c r="AM149" s="6"/>
      <c r="AN149" s="6"/>
      <c r="AO149" s="6"/>
      <c r="AP149" s="6"/>
      <c r="AQ149" s="6"/>
      <c r="AR149" s="6"/>
      <c r="AS149" s="8">
        <f t="shared" si="31"/>
        <v>0</v>
      </c>
      <c r="AT149" s="8"/>
      <c r="AU149" s="6"/>
      <c r="AV149" s="6"/>
      <c r="AW149" s="6"/>
      <c r="AX149" s="6"/>
      <c r="AY149" s="6">
        <f t="shared" si="35"/>
        <v>0</v>
      </c>
      <c r="AZ149" s="6"/>
      <c r="BA149" s="7" t="s">
        <v>495</v>
      </c>
      <c r="BC149" s="7" t="s">
        <v>41</v>
      </c>
      <c r="BD149" s="6"/>
      <c r="BE149" s="6"/>
      <c r="BF149" s="6"/>
      <c r="BG149" s="6"/>
      <c r="BH149" s="6"/>
      <c r="BI149" s="6"/>
      <c r="BJ149" s="6"/>
      <c r="BK149" s="6"/>
      <c r="BL149" s="6"/>
      <c r="BM149" s="6">
        <f t="shared" si="37"/>
        <v>0</v>
      </c>
      <c r="BN149" s="17"/>
    </row>
    <row r="150" spans="1:66" ht="12.75" hidden="1" customHeight="1" x14ac:dyDescent="0.2">
      <c r="A150" s="6" t="s">
        <v>180</v>
      </c>
      <c r="C150" s="6" t="s">
        <v>181</v>
      </c>
      <c r="D150" s="6"/>
      <c r="E150" s="6">
        <f t="shared" si="32"/>
        <v>0</v>
      </c>
      <c r="F150" s="6"/>
      <c r="G150" s="6"/>
      <c r="H150" s="6"/>
      <c r="I150" s="6"/>
      <c r="J150" s="6"/>
      <c r="K150" s="6">
        <f t="shared" si="33"/>
        <v>0</v>
      </c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>
        <f t="shared" si="34"/>
        <v>0</v>
      </c>
      <c r="X150" s="6"/>
      <c r="Y150" s="6" t="s">
        <v>180</v>
      </c>
      <c r="Z150" s="18"/>
      <c r="AA150" s="6" t="s">
        <v>181</v>
      </c>
      <c r="AB150" s="6"/>
      <c r="AC150" s="6"/>
      <c r="AD150" s="6"/>
      <c r="AE150" s="6"/>
      <c r="AF150" s="6"/>
      <c r="AG150" s="6"/>
      <c r="AH150" s="6"/>
      <c r="AI150" s="8">
        <f t="shared" si="29"/>
        <v>0</v>
      </c>
      <c r="AJ150" s="8"/>
      <c r="AK150" s="6"/>
      <c r="AL150" s="6"/>
      <c r="AM150" s="6"/>
      <c r="AN150" s="6"/>
      <c r="AO150" s="6"/>
      <c r="AP150" s="6"/>
      <c r="AQ150" s="6"/>
      <c r="AR150" s="6"/>
      <c r="AS150" s="8">
        <f t="shared" si="31"/>
        <v>0</v>
      </c>
      <c r="AT150" s="8"/>
      <c r="AU150" s="6">
        <v>0</v>
      </c>
      <c r="AV150" s="6"/>
      <c r="AW150" s="6">
        <v>0</v>
      </c>
      <c r="AX150" s="6"/>
      <c r="AY150" s="6">
        <f t="shared" si="35"/>
        <v>0</v>
      </c>
      <c r="AZ150" s="6"/>
      <c r="BA150" s="6" t="s">
        <v>180</v>
      </c>
      <c r="BB150" s="18"/>
      <c r="BC150" s="6" t="s">
        <v>181</v>
      </c>
      <c r="BD150" s="6"/>
      <c r="BE150" s="6"/>
      <c r="BF150" s="6"/>
      <c r="BG150" s="6"/>
      <c r="BH150" s="6"/>
      <c r="BI150" s="6"/>
      <c r="BJ150" s="6"/>
      <c r="BK150" s="6"/>
      <c r="BL150" s="6"/>
      <c r="BM150" s="6">
        <f t="shared" si="37"/>
        <v>0</v>
      </c>
      <c r="BN150" s="17" t="s">
        <v>345</v>
      </c>
    </row>
    <row r="151" spans="1:66" ht="12.75" hidden="1" customHeight="1" x14ac:dyDescent="0.2">
      <c r="A151" s="6" t="s">
        <v>182</v>
      </c>
      <c r="C151" s="6" t="s">
        <v>87</v>
      </c>
      <c r="D151" s="6"/>
      <c r="E151" s="6">
        <f t="shared" si="32"/>
        <v>0</v>
      </c>
      <c r="F151" s="6"/>
      <c r="G151" s="6"/>
      <c r="H151" s="6"/>
      <c r="I151" s="6"/>
      <c r="J151" s="6"/>
      <c r="K151" s="6">
        <f t="shared" si="33"/>
        <v>0</v>
      </c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>
        <f t="shared" si="34"/>
        <v>0</v>
      </c>
      <c r="X151" s="6"/>
      <c r="Y151" s="6" t="s">
        <v>182</v>
      </c>
      <c r="Z151" s="18"/>
      <c r="AA151" s="6" t="s">
        <v>87</v>
      </c>
      <c r="AB151" s="6"/>
      <c r="AC151" s="6"/>
      <c r="AD151" s="6"/>
      <c r="AE151" s="6"/>
      <c r="AF151" s="6"/>
      <c r="AG151" s="6"/>
      <c r="AH151" s="6"/>
      <c r="AI151" s="8">
        <f t="shared" si="29"/>
        <v>0</v>
      </c>
      <c r="AJ151" s="8"/>
      <c r="AK151" s="6"/>
      <c r="AL151" s="6"/>
      <c r="AM151" s="6"/>
      <c r="AN151" s="6"/>
      <c r="AO151" s="6"/>
      <c r="AP151" s="6"/>
      <c r="AQ151" s="6"/>
      <c r="AR151" s="6"/>
      <c r="AS151" s="8">
        <f t="shared" si="31"/>
        <v>0</v>
      </c>
      <c r="AT151" s="8"/>
      <c r="AU151" s="6">
        <v>0</v>
      </c>
      <c r="AV151" s="6"/>
      <c r="AW151" s="6">
        <v>0</v>
      </c>
      <c r="AX151" s="6"/>
      <c r="AY151" s="6">
        <f t="shared" si="35"/>
        <v>0</v>
      </c>
      <c r="AZ151" s="6"/>
      <c r="BA151" s="6" t="s">
        <v>182</v>
      </c>
      <c r="BB151" s="18"/>
      <c r="BC151" s="6" t="s">
        <v>87</v>
      </c>
      <c r="BD151" s="6"/>
      <c r="BE151" s="6"/>
      <c r="BF151" s="6"/>
      <c r="BG151" s="6"/>
      <c r="BH151" s="6"/>
      <c r="BI151" s="6"/>
      <c r="BJ151" s="6"/>
      <c r="BK151" s="6"/>
      <c r="BL151" s="6"/>
      <c r="BM151" s="6">
        <f t="shared" si="37"/>
        <v>0</v>
      </c>
      <c r="BN151" s="17" t="s">
        <v>345</v>
      </c>
    </row>
    <row r="152" spans="1:66" ht="12.75" hidden="1" customHeight="1" x14ac:dyDescent="0.2">
      <c r="A152" s="6" t="s">
        <v>179</v>
      </c>
      <c r="C152" s="6" t="s">
        <v>123</v>
      </c>
      <c r="D152" s="6"/>
      <c r="E152" s="6">
        <f t="shared" si="32"/>
        <v>0</v>
      </c>
      <c r="F152" s="6"/>
      <c r="G152" s="6"/>
      <c r="H152" s="6"/>
      <c r="I152" s="6"/>
      <c r="J152" s="6"/>
      <c r="K152" s="6">
        <f t="shared" si="33"/>
        <v>0</v>
      </c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>
        <f t="shared" si="34"/>
        <v>0</v>
      </c>
      <c r="X152" s="6"/>
      <c r="Y152" s="6" t="s">
        <v>179</v>
      </c>
      <c r="Z152" s="18"/>
      <c r="AA152" s="6" t="s">
        <v>123</v>
      </c>
      <c r="AB152" s="6"/>
      <c r="AC152" s="6"/>
      <c r="AD152" s="6"/>
      <c r="AE152" s="6"/>
      <c r="AF152" s="6"/>
      <c r="AG152" s="6"/>
      <c r="AH152" s="6"/>
      <c r="AI152" s="8">
        <f t="shared" si="29"/>
        <v>0</v>
      </c>
      <c r="AJ152" s="8"/>
      <c r="AK152" s="6"/>
      <c r="AL152" s="6"/>
      <c r="AM152" s="6"/>
      <c r="AN152" s="6"/>
      <c r="AO152" s="6"/>
      <c r="AP152" s="6"/>
      <c r="AQ152" s="6"/>
      <c r="AR152" s="6"/>
      <c r="AS152" s="8">
        <f t="shared" si="31"/>
        <v>0</v>
      </c>
      <c r="AT152" s="8"/>
      <c r="AU152" s="6">
        <v>0</v>
      </c>
      <c r="AV152" s="6"/>
      <c r="AW152" s="6">
        <v>0</v>
      </c>
      <c r="AX152" s="6"/>
      <c r="AY152" s="6">
        <f t="shared" si="35"/>
        <v>0</v>
      </c>
      <c r="AZ152" s="6"/>
      <c r="BA152" s="6" t="s">
        <v>179</v>
      </c>
      <c r="BB152" s="18"/>
      <c r="BC152" s="6" t="s">
        <v>123</v>
      </c>
      <c r="BD152" s="6"/>
      <c r="BE152" s="6"/>
      <c r="BF152" s="6"/>
      <c r="BG152" s="6"/>
      <c r="BH152" s="6"/>
      <c r="BI152" s="6"/>
      <c r="BJ152" s="6"/>
      <c r="BK152" s="6"/>
      <c r="BL152" s="6"/>
      <c r="BM152" s="6">
        <f t="shared" si="37"/>
        <v>0</v>
      </c>
      <c r="BN152" s="17" t="s">
        <v>345</v>
      </c>
    </row>
    <row r="153" spans="1:66" ht="12.75" customHeight="1" x14ac:dyDescent="0.2">
      <c r="A153" s="6" t="s">
        <v>183</v>
      </c>
      <c r="C153" s="6" t="s">
        <v>78</v>
      </c>
      <c r="D153" s="6"/>
      <c r="E153" s="6">
        <v>10159537</v>
      </c>
      <c r="F153" s="6"/>
      <c r="G153" s="6">
        <v>14906764</v>
      </c>
      <c r="H153" s="6"/>
      <c r="I153" s="6">
        <f>+E153+G153</f>
        <v>25066301</v>
      </c>
      <c r="J153" s="6"/>
      <c r="K153" s="6">
        <v>4674133</v>
      </c>
      <c r="L153" s="6"/>
      <c r="M153" s="6">
        <v>7763163</v>
      </c>
      <c r="N153" s="6"/>
      <c r="O153" s="6">
        <f>+K153+M153</f>
        <v>12437296</v>
      </c>
      <c r="P153" s="6"/>
      <c r="Q153" s="6">
        <v>3556524</v>
      </c>
      <c r="R153" s="6"/>
      <c r="S153" s="6">
        <v>0</v>
      </c>
      <c r="T153" s="6"/>
      <c r="U153" s="6">
        <v>9072481</v>
      </c>
      <c r="V153" s="6"/>
      <c r="W153" s="6">
        <f t="shared" si="34"/>
        <v>12629005</v>
      </c>
      <c r="X153" s="6"/>
      <c r="Y153" s="6" t="s">
        <v>183</v>
      </c>
      <c r="Z153" s="18"/>
      <c r="AA153" s="6" t="s">
        <v>78</v>
      </c>
      <c r="AB153" s="6"/>
      <c r="AC153" s="6">
        <v>26747388</v>
      </c>
      <c r="AD153" s="6"/>
      <c r="AE153" s="6">
        <f>24932772-575738</f>
        <v>24357034</v>
      </c>
      <c r="AF153" s="6"/>
      <c r="AG153" s="6">
        <v>575738</v>
      </c>
      <c r="AH153" s="6"/>
      <c r="AI153" s="8">
        <f t="shared" si="29"/>
        <v>1814616</v>
      </c>
      <c r="AJ153" s="8"/>
      <c r="AK153" s="6">
        <v>62245</v>
      </c>
      <c r="AL153" s="6"/>
      <c r="AM153" s="6">
        <v>0</v>
      </c>
      <c r="AN153" s="6"/>
      <c r="AO153" s="6">
        <v>0</v>
      </c>
      <c r="AP153" s="6"/>
      <c r="AQ153" s="6">
        <v>0</v>
      </c>
      <c r="AR153" s="6"/>
      <c r="AS153" s="8">
        <f t="shared" si="31"/>
        <v>1876861</v>
      </c>
      <c r="AT153" s="8"/>
      <c r="AU153" s="6">
        <v>0</v>
      </c>
      <c r="AV153" s="6"/>
      <c r="AW153" s="6">
        <v>0</v>
      </c>
      <c r="AX153" s="6"/>
      <c r="AY153" s="6">
        <f t="shared" si="35"/>
        <v>5485404</v>
      </c>
      <c r="AZ153" s="6"/>
      <c r="BA153" s="6" t="s">
        <v>183</v>
      </c>
      <c r="BB153" s="18"/>
      <c r="BC153" s="6" t="s">
        <v>78</v>
      </c>
      <c r="BD153" s="6"/>
      <c r="BE153" s="6">
        <v>0</v>
      </c>
      <c r="BF153" s="6"/>
      <c r="BG153" s="6">
        <v>0</v>
      </c>
      <c r="BH153" s="6"/>
      <c r="BI153" s="6">
        <v>0</v>
      </c>
      <c r="BJ153" s="6"/>
      <c r="BK153" s="6">
        <f>193228+2934490+4635445+47126</f>
        <v>7810289</v>
      </c>
      <c r="BL153" s="6"/>
      <c r="BM153" s="6">
        <f t="shared" si="37"/>
        <v>7810289</v>
      </c>
      <c r="BN153" s="17" t="s">
        <v>345</v>
      </c>
    </row>
    <row r="154" spans="1:66" ht="12.75" hidden="1" customHeight="1" x14ac:dyDescent="0.2">
      <c r="A154" s="6" t="s">
        <v>184</v>
      </c>
      <c r="C154" s="6" t="s">
        <v>13</v>
      </c>
      <c r="D154" s="6"/>
      <c r="E154" s="6">
        <f t="shared" si="32"/>
        <v>0</v>
      </c>
      <c r="F154" s="6"/>
      <c r="G154" s="6"/>
      <c r="H154" s="6"/>
      <c r="I154" s="6"/>
      <c r="J154" s="6"/>
      <c r="K154" s="6">
        <f t="shared" si="33"/>
        <v>0</v>
      </c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>
        <f t="shared" si="34"/>
        <v>0</v>
      </c>
      <c r="X154" s="6"/>
      <c r="Y154" s="6" t="s">
        <v>184</v>
      </c>
      <c r="Z154" s="18"/>
      <c r="AA154" s="6" t="s">
        <v>13</v>
      </c>
      <c r="AB154" s="6"/>
      <c r="AC154" s="6"/>
      <c r="AD154" s="6"/>
      <c r="AE154" s="6"/>
      <c r="AF154" s="6"/>
      <c r="AG154" s="6"/>
      <c r="AH154" s="6"/>
      <c r="AI154" s="8">
        <f t="shared" si="29"/>
        <v>0</v>
      </c>
      <c r="AJ154" s="8"/>
      <c r="AK154" s="6"/>
      <c r="AL154" s="6"/>
      <c r="AM154" s="6"/>
      <c r="AN154" s="6"/>
      <c r="AO154" s="6"/>
      <c r="AP154" s="6"/>
      <c r="AQ154" s="6"/>
      <c r="AR154" s="6"/>
      <c r="AS154" s="8">
        <f t="shared" si="31"/>
        <v>0</v>
      </c>
      <c r="AT154" s="8"/>
      <c r="AU154" s="6">
        <v>0</v>
      </c>
      <c r="AV154" s="6"/>
      <c r="AW154" s="6">
        <v>0</v>
      </c>
      <c r="AX154" s="6"/>
      <c r="AY154" s="6">
        <f t="shared" si="35"/>
        <v>0</v>
      </c>
      <c r="AZ154" s="6"/>
      <c r="BA154" s="6" t="s">
        <v>184</v>
      </c>
      <c r="BB154" s="18"/>
      <c r="BC154" s="6" t="s">
        <v>13</v>
      </c>
      <c r="BD154" s="6"/>
      <c r="BE154" s="6"/>
      <c r="BF154" s="6"/>
      <c r="BG154" s="6"/>
      <c r="BH154" s="6"/>
      <c r="BI154" s="6"/>
      <c r="BJ154" s="6"/>
      <c r="BK154" s="6"/>
      <c r="BL154" s="6"/>
      <c r="BM154" s="6">
        <f t="shared" si="37"/>
        <v>0</v>
      </c>
      <c r="BN154" s="17" t="s">
        <v>345</v>
      </c>
    </row>
    <row r="155" spans="1:66" ht="12.75" hidden="1" customHeight="1" x14ac:dyDescent="0.2">
      <c r="A155" s="6" t="s">
        <v>185</v>
      </c>
      <c r="C155" s="6" t="s">
        <v>25</v>
      </c>
      <c r="D155" s="6"/>
      <c r="E155" s="6">
        <f t="shared" si="32"/>
        <v>0</v>
      </c>
      <c r="F155" s="6"/>
      <c r="G155" s="6"/>
      <c r="H155" s="6"/>
      <c r="I155" s="6"/>
      <c r="J155" s="6"/>
      <c r="K155" s="6">
        <f t="shared" si="33"/>
        <v>0</v>
      </c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>
        <f t="shared" si="34"/>
        <v>0</v>
      </c>
      <c r="X155" s="6"/>
      <c r="Y155" s="6" t="s">
        <v>185</v>
      </c>
      <c r="Z155" s="18"/>
      <c r="AA155" s="6" t="s">
        <v>25</v>
      </c>
      <c r="AB155" s="6"/>
      <c r="AC155" s="6"/>
      <c r="AD155" s="6"/>
      <c r="AE155" s="6"/>
      <c r="AF155" s="6"/>
      <c r="AG155" s="6"/>
      <c r="AH155" s="6"/>
      <c r="AI155" s="8">
        <f t="shared" si="29"/>
        <v>0</v>
      </c>
      <c r="AJ155" s="8"/>
      <c r="AK155" s="6"/>
      <c r="AL155" s="6"/>
      <c r="AM155" s="6"/>
      <c r="AN155" s="6"/>
      <c r="AO155" s="6"/>
      <c r="AP155" s="6"/>
      <c r="AQ155" s="6"/>
      <c r="AR155" s="6"/>
      <c r="AS155" s="8">
        <f t="shared" si="31"/>
        <v>0</v>
      </c>
      <c r="AT155" s="8"/>
      <c r="AU155" s="6">
        <v>0</v>
      </c>
      <c r="AV155" s="6"/>
      <c r="AW155" s="6">
        <v>0</v>
      </c>
      <c r="AX155" s="6"/>
      <c r="AY155" s="6">
        <f t="shared" si="35"/>
        <v>0</v>
      </c>
      <c r="AZ155" s="6"/>
      <c r="BA155" s="6" t="s">
        <v>185</v>
      </c>
      <c r="BB155" s="18"/>
      <c r="BC155" s="6" t="s">
        <v>25</v>
      </c>
      <c r="BD155" s="6"/>
      <c r="BE155" s="6"/>
      <c r="BF155" s="6"/>
      <c r="BG155" s="6"/>
      <c r="BH155" s="6"/>
      <c r="BI155" s="6"/>
      <c r="BJ155" s="6"/>
      <c r="BK155" s="6"/>
      <c r="BL155" s="6"/>
      <c r="BM155" s="6">
        <f t="shared" si="37"/>
        <v>0</v>
      </c>
      <c r="BN155" s="17" t="s">
        <v>345</v>
      </c>
    </row>
    <row r="156" spans="1:66" ht="12.75" hidden="1" customHeight="1" x14ac:dyDescent="0.2">
      <c r="A156" s="6" t="s">
        <v>187</v>
      </c>
      <c r="C156" s="6" t="s">
        <v>15</v>
      </c>
      <c r="D156" s="6"/>
      <c r="E156" s="6">
        <f t="shared" si="32"/>
        <v>0</v>
      </c>
      <c r="F156" s="6"/>
      <c r="G156" s="6"/>
      <c r="H156" s="6"/>
      <c r="I156" s="6"/>
      <c r="J156" s="6"/>
      <c r="K156" s="6">
        <f t="shared" si="33"/>
        <v>0</v>
      </c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>
        <f t="shared" si="34"/>
        <v>0</v>
      </c>
      <c r="X156" s="6"/>
      <c r="Y156" s="6" t="s">
        <v>187</v>
      </c>
      <c r="Z156" s="18"/>
      <c r="AA156" s="6" t="s">
        <v>15</v>
      </c>
      <c r="AB156" s="6"/>
      <c r="AC156" s="6"/>
      <c r="AD156" s="6"/>
      <c r="AE156" s="6"/>
      <c r="AF156" s="6"/>
      <c r="AG156" s="6"/>
      <c r="AH156" s="6"/>
      <c r="AI156" s="8">
        <f t="shared" si="29"/>
        <v>0</v>
      </c>
      <c r="AJ156" s="8"/>
      <c r="AK156" s="6"/>
      <c r="AL156" s="6"/>
      <c r="AM156" s="6"/>
      <c r="AN156" s="6"/>
      <c r="AO156" s="6"/>
      <c r="AP156" s="6"/>
      <c r="AQ156" s="6"/>
      <c r="AR156" s="6"/>
      <c r="AS156" s="8">
        <f t="shared" si="31"/>
        <v>0</v>
      </c>
      <c r="AT156" s="8"/>
      <c r="AU156" s="6">
        <v>0</v>
      </c>
      <c r="AV156" s="6"/>
      <c r="AW156" s="6">
        <v>0</v>
      </c>
      <c r="AX156" s="6"/>
      <c r="AY156" s="6">
        <f t="shared" si="35"/>
        <v>0</v>
      </c>
      <c r="AZ156" s="6"/>
      <c r="BA156" s="6" t="s">
        <v>187</v>
      </c>
      <c r="BB156" s="18"/>
      <c r="BC156" s="6" t="s">
        <v>15</v>
      </c>
      <c r="BD156" s="6"/>
      <c r="BE156" s="6"/>
      <c r="BF156" s="6"/>
      <c r="BG156" s="6"/>
      <c r="BH156" s="6"/>
      <c r="BI156" s="6"/>
      <c r="BJ156" s="6"/>
      <c r="BK156" s="6"/>
      <c r="BL156" s="6"/>
      <c r="BM156" s="6">
        <f t="shared" si="37"/>
        <v>0</v>
      </c>
      <c r="BN156" s="17" t="s">
        <v>345</v>
      </c>
    </row>
    <row r="157" spans="1:66" ht="12.75" hidden="1" customHeight="1" x14ac:dyDescent="0.2">
      <c r="A157" s="6" t="s">
        <v>186</v>
      </c>
      <c r="C157" s="6" t="s">
        <v>25</v>
      </c>
      <c r="D157" s="6"/>
      <c r="E157" s="6">
        <f t="shared" si="32"/>
        <v>0</v>
      </c>
      <c r="F157" s="6"/>
      <c r="G157" s="6"/>
      <c r="H157" s="6"/>
      <c r="I157" s="6"/>
      <c r="J157" s="6"/>
      <c r="K157" s="6">
        <f t="shared" si="33"/>
        <v>0</v>
      </c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>
        <f t="shared" si="34"/>
        <v>0</v>
      </c>
      <c r="X157" s="6"/>
      <c r="Y157" s="6" t="s">
        <v>186</v>
      </c>
      <c r="Z157" s="18"/>
      <c r="AA157" s="6" t="s">
        <v>25</v>
      </c>
      <c r="AB157" s="6"/>
      <c r="AC157" s="6"/>
      <c r="AD157" s="6"/>
      <c r="AE157" s="6"/>
      <c r="AF157" s="6"/>
      <c r="AG157" s="6"/>
      <c r="AH157" s="6"/>
      <c r="AI157" s="8">
        <f t="shared" si="29"/>
        <v>0</v>
      </c>
      <c r="AJ157" s="8"/>
      <c r="AK157" s="6"/>
      <c r="AL157" s="6"/>
      <c r="AM157" s="6"/>
      <c r="AN157" s="6"/>
      <c r="AO157" s="6"/>
      <c r="AP157" s="6"/>
      <c r="AQ157" s="6"/>
      <c r="AR157" s="6"/>
      <c r="AS157" s="8">
        <f t="shared" si="31"/>
        <v>0</v>
      </c>
      <c r="AT157" s="8"/>
      <c r="AU157" s="6">
        <v>0</v>
      </c>
      <c r="AV157" s="6"/>
      <c r="AW157" s="6">
        <v>0</v>
      </c>
      <c r="AX157" s="6"/>
      <c r="AY157" s="6">
        <f t="shared" si="35"/>
        <v>0</v>
      </c>
      <c r="AZ157" s="6"/>
      <c r="BA157" s="6" t="s">
        <v>186</v>
      </c>
      <c r="BB157" s="18"/>
      <c r="BC157" s="6" t="s">
        <v>25</v>
      </c>
      <c r="BD157" s="6"/>
      <c r="BE157" s="6"/>
      <c r="BF157" s="6"/>
      <c r="BG157" s="6"/>
      <c r="BH157" s="6"/>
      <c r="BI157" s="6"/>
      <c r="BJ157" s="6"/>
      <c r="BK157" s="6"/>
      <c r="BL157" s="6"/>
      <c r="BM157" s="6">
        <f t="shared" si="37"/>
        <v>0</v>
      </c>
      <c r="BN157" s="17" t="s">
        <v>345</v>
      </c>
    </row>
    <row r="158" spans="1:66" ht="12.75" hidden="1" customHeight="1" x14ac:dyDescent="0.2">
      <c r="A158" s="6" t="s">
        <v>188</v>
      </c>
      <c r="C158" s="6" t="s">
        <v>45</v>
      </c>
      <c r="D158" s="6"/>
      <c r="E158" s="6">
        <f t="shared" si="32"/>
        <v>0</v>
      </c>
      <c r="F158" s="6"/>
      <c r="G158" s="6"/>
      <c r="H158" s="6"/>
      <c r="I158" s="6"/>
      <c r="J158" s="6"/>
      <c r="K158" s="6">
        <f t="shared" si="33"/>
        <v>0</v>
      </c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>
        <f t="shared" si="34"/>
        <v>0</v>
      </c>
      <c r="X158" s="6"/>
      <c r="Y158" s="6" t="s">
        <v>188</v>
      </c>
      <c r="Z158" s="18"/>
      <c r="AA158" s="6" t="s">
        <v>45</v>
      </c>
      <c r="AB158" s="6"/>
      <c r="AC158" s="6"/>
      <c r="AD158" s="6"/>
      <c r="AE158" s="6"/>
      <c r="AF158" s="6"/>
      <c r="AG158" s="6"/>
      <c r="AH158" s="6"/>
      <c r="AI158" s="8">
        <f t="shared" si="29"/>
        <v>0</v>
      </c>
      <c r="AJ158" s="8"/>
      <c r="AK158" s="6"/>
      <c r="AL158" s="6"/>
      <c r="AM158" s="6"/>
      <c r="AN158" s="6"/>
      <c r="AO158" s="6"/>
      <c r="AP158" s="6"/>
      <c r="AQ158" s="6"/>
      <c r="AR158" s="6"/>
      <c r="AS158" s="8">
        <f t="shared" si="31"/>
        <v>0</v>
      </c>
      <c r="AT158" s="8"/>
      <c r="AU158" s="6">
        <v>0</v>
      </c>
      <c r="AV158" s="6"/>
      <c r="AW158" s="6">
        <v>0</v>
      </c>
      <c r="AX158" s="6"/>
      <c r="AY158" s="6">
        <f t="shared" si="35"/>
        <v>0</v>
      </c>
      <c r="AZ158" s="6"/>
      <c r="BA158" s="6" t="s">
        <v>188</v>
      </c>
      <c r="BB158" s="18"/>
      <c r="BC158" s="6" t="s">
        <v>45</v>
      </c>
      <c r="BD158" s="6"/>
      <c r="BE158" s="6"/>
      <c r="BF158" s="6"/>
      <c r="BG158" s="6"/>
      <c r="BH158" s="6"/>
      <c r="BI158" s="6"/>
      <c r="BJ158" s="6"/>
      <c r="BK158" s="6"/>
      <c r="BL158" s="6"/>
      <c r="BM158" s="6">
        <f t="shared" si="37"/>
        <v>0</v>
      </c>
      <c r="BN158" s="17" t="s">
        <v>345</v>
      </c>
    </row>
    <row r="159" spans="1:66" ht="12.75" hidden="1" customHeight="1" x14ac:dyDescent="0.2">
      <c r="A159" s="6" t="s">
        <v>189</v>
      </c>
      <c r="C159" s="6" t="s">
        <v>11</v>
      </c>
      <c r="D159" s="6"/>
      <c r="E159" s="6">
        <f t="shared" si="32"/>
        <v>0</v>
      </c>
      <c r="F159" s="6"/>
      <c r="G159" s="6"/>
      <c r="H159" s="6"/>
      <c r="I159" s="6"/>
      <c r="J159" s="6"/>
      <c r="K159" s="6">
        <f t="shared" si="33"/>
        <v>0</v>
      </c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>
        <f t="shared" si="34"/>
        <v>0</v>
      </c>
      <c r="X159" s="6"/>
      <c r="Y159" s="6" t="s">
        <v>189</v>
      </c>
      <c r="Z159" s="18"/>
      <c r="AA159" s="6" t="s">
        <v>11</v>
      </c>
      <c r="AB159" s="6"/>
      <c r="AC159" s="6"/>
      <c r="AD159" s="6"/>
      <c r="AE159" s="6"/>
      <c r="AF159" s="6"/>
      <c r="AG159" s="6"/>
      <c r="AH159" s="6"/>
      <c r="AI159" s="8">
        <f t="shared" si="29"/>
        <v>0</v>
      </c>
      <c r="AJ159" s="8"/>
      <c r="AK159" s="6"/>
      <c r="AL159" s="6"/>
      <c r="AM159" s="6"/>
      <c r="AN159" s="6"/>
      <c r="AO159" s="6"/>
      <c r="AP159" s="6"/>
      <c r="AQ159" s="6"/>
      <c r="AR159" s="6"/>
      <c r="AS159" s="8">
        <f t="shared" si="31"/>
        <v>0</v>
      </c>
      <c r="AT159" s="8"/>
      <c r="AU159" s="6">
        <v>0</v>
      </c>
      <c r="AV159" s="6"/>
      <c r="AW159" s="6">
        <v>0</v>
      </c>
      <c r="AX159" s="6"/>
      <c r="AY159" s="6">
        <f t="shared" si="35"/>
        <v>0</v>
      </c>
      <c r="AZ159" s="6"/>
      <c r="BA159" s="6" t="s">
        <v>189</v>
      </c>
      <c r="BB159" s="18"/>
      <c r="BC159" s="6" t="s">
        <v>11</v>
      </c>
      <c r="BD159" s="6"/>
      <c r="BE159" s="6"/>
      <c r="BF159" s="6"/>
      <c r="BG159" s="6"/>
      <c r="BH159" s="6"/>
      <c r="BI159" s="6"/>
      <c r="BJ159" s="6"/>
      <c r="BK159" s="6"/>
      <c r="BL159" s="6"/>
      <c r="BM159" s="6">
        <f t="shared" si="37"/>
        <v>0</v>
      </c>
      <c r="BN159" s="17" t="s">
        <v>345</v>
      </c>
    </row>
    <row r="160" spans="1:66" ht="12.75" hidden="1" customHeight="1" x14ac:dyDescent="0.2">
      <c r="A160" s="6" t="s">
        <v>190</v>
      </c>
      <c r="C160" s="6" t="s">
        <v>36</v>
      </c>
      <c r="D160" s="6"/>
      <c r="E160" s="6">
        <f t="shared" si="32"/>
        <v>0</v>
      </c>
      <c r="F160" s="6"/>
      <c r="G160" s="6"/>
      <c r="H160" s="6"/>
      <c r="I160" s="6"/>
      <c r="J160" s="6"/>
      <c r="K160" s="6">
        <f t="shared" si="33"/>
        <v>0</v>
      </c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>
        <f t="shared" si="34"/>
        <v>0</v>
      </c>
      <c r="X160" s="6"/>
      <c r="Y160" s="6" t="s">
        <v>190</v>
      </c>
      <c r="Z160" s="18"/>
      <c r="AA160" s="6" t="s">
        <v>36</v>
      </c>
      <c r="AB160" s="6"/>
      <c r="AC160" s="6"/>
      <c r="AD160" s="6"/>
      <c r="AE160" s="6"/>
      <c r="AF160" s="6"/>
      <c r="AG160" s="6"/>
      <c r="AH160" s="6"/>
      <c r="AI160" s="8">
        <f t="shared" si="29"/>
        <v>0</v>
      </c>
      <c r="AJ160" s="8"/>
      <c r="AK160" s="6"/>
      <c r="AL160" s="6"/>
      <c r="AM160" s="6"/>
      <c r="AN160" s="6"/>
      <c r="AO160" s="6"/>
      <c r="AP160" s="6"/>
      <c r="AQ160" s="6"/>
      <c r="AR160" s="6"/>
      <c r="AS160" s="8">
        <f t="shared" si="31"/>
        <v>0</v>
      </c>
      <c r="AT160" s="8"/>
      <c r="AU160" s="6">
        <v>0</v>
      </c>
      <c r="AV160" s="6"/>
      <c r="AW160" s="6">
        <v>0</v>
      </c>
      <c r="AX160" s="6"/>
      <c r="AY160" s="6">
        <f t="shared" si="35"/>
        <v>0</v>
      </c>
      <c r="AZ160" s="6"/>
      <c r="BA160" s="6" t="s">
        <v>190</v>
      </c>
      <c r="BB160" s="18"/>
      <c r="BC160" s="6" t="s">
        <v>36</v>
      </c>
      <c r="BD160" s="6"/>
      <c r="BE160" s="6"/>
      <c r="BF160" s="6"/>
      <c r="BG160" s="6"/>
      <c r="BH160" s="6"/>
      <c r="BI160" s="6"/>
      <c r="BJ160" s="6"/>
      <c r="BK160" s="6"/>
      <c r="BL160" s="6"/>
      <c r="BM160" s="6">
        <f t="shared" si="37"/>
        <v>0</v>
      </c>
      <c r="BN160" s="17" t="s">
        <v>345</v>
      </c>
    </row>
    <row r="161" spans="1:67" ht="12.75" hidden="1" customHeight="1" x14ac:dyDescent="0.2">
      <c r="A161" s="6" t="s">
        <v>191</v>
      </c>
      <c r="C161" s="6" t="s">
        <v>43</v>
      </c>
      <c r="D161" s="6"/>
      <c r="E161" s="6">
        <f t="shared" si="32"/>
        <v>0</v>
      </c>
      <c r="F161" s="6"/>
      <c r="G161" s="6"/>
      <c r="H161" s="6"/>
      <c r="I161" s="6"/>
      <c r="J161" s="6"/>
      <c r="K161" s="6">
        <f t="shared" si="33"/>
        <v>0</v>
      </c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>
        <f t="shared" si="34"/>
        <v>0</v>
      </c>
      <c r="X161" s="6"/>
      <c r="Y161" s="6" t="s">
        <v>191</v>
      </c>
      <c r="Z161" s="18"/>
      <c r="AA161" s="6" t="s">
        <v>43</v>
      </c>
      <c r="AB161" s="6"/>
      <c r="AC161" s="6"/>
      <c r="AD161" s="6"/>
      <c r="AE161" s="6"/>
      <c r="AF161" s="6"/>
      <c r="AG161" s="6"/>
      <c r="AH161" s="6"/>
      <c r="AI161" s="8">
        <f t="shared" si="29"/>
        <v>0</v>
      </c>
      <c r="AJ161" s="8"/>
      <c r="AK161" s="6"/>
      <c r="AL161" s="6"/>
      <c r="AM161" s="6"/>
      <c r="AN161" s="6"/>
      <c r="AO161" s="6"/>
      <c r="AP161" s="6"/>
      <c r="AQ161" s="6"/>
      <c r="AR161" s="6"/>
      <c r="AS161" s="8">
        <f t="shared" si="31"/>
        <v>0</v>
      </c>
      <c r="AT161" s="8"/>
      <c r="AU161" s="6">
        <v>0</v>
      </c>
      <c r="AV161" s="6"/>
      <c r="AW161" s="6">
        <v>0</v>
      </c>
      <c r="AX161" s="6"/>
      <c r="AY161" s="6">
        <f t="shared" si="35"/>
        <v>0</v>
      </c>
      <c r="AZ161" s="6"/>
      <c r="BA161" s="6" t="s">
        <v>191</v>
      </c>
      <c r="BB161" s="18"/>
      <c r="BC161" s="6" t="s">
        <v>43</v>
      </c>
      <c r="BD161" s="6"/>
      <c r="BE161" s="6"/>
      <c r="BF161" s="6"/>
      <c r="BG161" s="6"/>
      <c r="BH161" s="6"/>
      <c r="BI161" s="6"/>
      <c r="BJ161" s="6"/>
      <c r="BK161" s="6"/>
      <c r="BL161" s="6"/>
      <c r="BM161" s="6">
        <f t="shared" si="37"/>
        <v>0</v>
      </c>
      <c r="BN161" s="17" t="s">
        <v>345</v>
      </c>
    </row>
    <row r="162" spans="1:67" ht="12.75" hidden="1" customHeight="1" x14ac:dyDescent="0.2">
      <c r="A162" s="6" t="s">
        <v>192</v>
      </c>
      <c r="C162" s="6" t="s">
        <v>64</v>
      </c>
      <c r="D162" s="6"/>
      <c r="E162" s="6">
        <f t="shared" si="32"/>
        <v>0</v>
      </c>
      <c r="F162" s="6"/>
      <c r="G162" s="6"/>
      <c r="H162" s="6"/>
      <c r="I162" s="6"/>
      <c r="J162" s="6"/>
      <c r="K162" s="6">
        <f t="shared" si="33"/>
        <v>0</v>
      </c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>
        <f t="shared" si="34"/>
        <v>0</v>
      </c>
      <c r="X162" s="6"/>
      <c r="Y162" s="6" t="s">
        <v>192</v>
      </c>
      <c r="Z162" s="18"/>
      <c r="AA162" s="6" t="s">
        <v>64</v>
      </c>
      <c r="AB162" s="6"/>
      <c r="AC162" s="6"/>
      <c r="AD162" s="6"/>
      <c r="AE162" s="6"/>
      <c r="AF162" s="6"/>
      <c r="AG162" s="6"/>
      <c r="AH162" s="6"/>
      <c r="AI162" s="8">
        <f t="shared" si="29"/>
        <v>0</v>
      </c>
      <c r="AJ162" s="8"/>
      <c r="AK162" s="6"/>
      <c r="AL162" s="6"/>
      <c r="AM162" s="6"/>
      <c r="AN162" s="6"/>
      <c r="AO162" s="6"/>
      <c r="AP162" s="6"/>
      <c r="AQ162" s="6"/>
      <c r="AR162" s="6"/>
      <c r="AS162" s="8">
        <f t="shared" si="31"/>
        <v>0</v>
      </c>
      <c r="AT162" s="8"/>
      <c r="AU162" s="6">
        <v>0</v>
      </c>
      <c r="AV162" s="6"/>
      <c r="AW162" s="6">
        <v>0</v>
      </c>
      <c r="AX162" s="6"/>
      <c r="AY162" s="6">
        <f t="shared" si="35"/>
        <v>0</v>
      </c>
      <c r="AZ162" s="6"/>
      <c r="BA162" s="6" t="s">
        <v>192</v>
      </c>
      <c r="BB162" s="18"/>
      <c r="BC162" s="6" t="s">
        <v>64</v>
      </c>
      <c r="BD162" s="6"/>
      <c r="BE162" s="6"/>
      <c r="BF162" s="6"/>
      <c r="BG162" s="6"/>
      <c r="BH162" s="6"/>
      <c r="BI162" s="6"/>
      <c r="BJ162" s="6"/>
      <c r="BK162" s="6"/>
      <c r="BL162" s="6"/>
      <c r="BM162" s="6">
        <f t="shared" si="37"/>
        <v>0</v>
      </c>
      <c r="BN162" s="17" t="s">
        <v>345</v>
      </c>
    </row>
    <row r="163" spans="1:67" ht="12.75" customHeight="1" x14ac:dyDescent="0.2">
      <c r="A163" s="6" t="s">
        <v>193</v>
      </c>
      <c r="C163" s="6" t="s">
        <v>15</v>
      </c>
      <c r="D163" s="6"/>
      <c r="E163" s="6">
        <v>8883356</v>
      </c>
      <c r="F163" s="6"/>
      <c r="G163" s="6">
        <f>1592695+852630</f>
        <v>2445325</v>
      </c>
      <c r="H163" s="6"/>
      <c r="I163" s="6">
        <f>+E163+G163</f>
        <v>11328681</v>
      </c>
      <c r="J163" s="6"/>
      <c r="K163" s="6">
        <v>617894</v>
      </c>
      <c r="L163" s="6"/>
      <c r="M163" s="6">
        <f>107595+321951</f>
        <v>429546</v>
      </c>
      <c r="N163" s="6"/>
      <c r="O163" s="6">
        <f>+K163+M163</f>
        <v>1047440</v>
      </c>
      <c r="P163" s="6"/>
      <c r="Q163" s="6">
        <v>1592695</v>
      </c>
      <c r="R163" s="6"/>
      <c r="S163" s="6">
        <v>0</v>
      </c>
      <c r="T163" s="6"/>
      <c r="U163" s="6">
        <v>8688546</v>
      </c>
      <c r="V163" s="6"/>
      <c r="W163" s="6">
        <f t="shared" si="34"/>
        <v>10281241</v>
      </c>
      <c r="X163" s="6"/>
      <c r="Y163" s="6" t="s">
        <v>193</v>
      </c>
      <c r="Z163" s="18"/>
      <c r="AA163" s="6" t="s">
        <v>15</v>
      </c>
      <c r="AB163" s="6"/>
      <c r="AC163" s="6">
        <v>10486371</v>
      </c>
      <c r="AD163" s="6"/>
      <c r="AE163" s="6">
        <f>9713142-163865</f>
        <v>9549277</v>
      </c>
      <c r="AF163" s="6"/>
      <c r="AG163" s="6">
        <v>163865</v>
      </c>
      <c r="AH163" s="6"/>
      <c r="AI163" s="8">
        <f t="shared" si="29"/>
        <v>773229</v>
      </c>
      <c r="AJ163" s="8"/>
      <c r="AK163" s="6">
        <v>-378357</v>
      </c>
      <c r="AL163" s="6"/>
      <c r="AM163" s="6">
        <v>0</v>
      </c>
      <c r="AN163" s="6"/>
      <c r="AO163" s="6">
        <v>0</v>
      </c>
      <c r="AP163" s="6"/>
      <c r="AQ163" s="6">
        <v>0</v>
      </c>
      <c r="AR163" s="6"/>
      <c r="AS163" s="8">
        <f t="shared" si="31"/>
        <v>394872</v>
      </c>
      <c r="AT163" s="8"/>
      <c r="AU163" s="6">
        <v>0</v>
      </c>
      <c r="AV163" s="6"/>
      <c r="AW163" s="6">
        <v>0</v>
      </c>
      <c r="AX163" s="6"/>
      <c r="AY163" s="6">
        <f t="shared" si="35"/>
        <v>8265462</v>
      </c>
      <c r="AZ163" s="6"/>
      <c r="BA163" s="6" t="s">
        <v>193</v>
      </c>
      <c r="BB163" s="18"/>
      <c r="BC163" s="6" t="s">
        <v>15</v>
      </c>
      <c r="BD163" s="6"/>
      <c r="BE163" s="6">
        <v>0</v>
      </c>
      <c r="BF163" s="6"/>
      <c r="BG163" s="6">
        <v>0</v>
      </c>
      <c r="BH163" s="6"/>
      <c r="BI163" s="6">
        <v>0</v>
      </c>
      <c r="BJ163" s="6"/>
      <c r="BK163" s="6">
        <f>107595+321951+78502</f>
        <v>508048</v>
      </c>
      <c r="BL163" s="6"/>
      <c r="BM163" s="6">
        <f t="shared" si="37"/>
        <v>508048</v>
      </c>
      <c r="BN163" s="17" t="s">
        <v>345</v>
      </c>
    </row>
    <row r="164" spans="1:67" ht="12.75" hidden="1" customHeight="1" x14ac:dyDescent="0.2">
      <c r="A164" s="6" t="s">
        <v>194</v>
      </c>
      <c r="C164" s="6" t="s">
        <v>25</v>
      </c>
      <c r="D164" s="6"/>
      <c r="E164" s="6">
        <f t="shared" si="32"/>
        <v>0</v>
      </c>
      <c r="F164" s="6"/>
      <c r="G164" s="6"/>
      <c r="H164" s="6"/>
      <c r="I164" s="6"/>
      <c r="J164" s="6"/>
      <c r="K164" s="6">
        <f t="shared" si="33"/>
        <v>0</v>
      </c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>
        <f t="shared" si="34"/>
        <v>0</v>
      </c>
      <c r="X164" s="6"/>
      <c r="Y164" s="6" t="s">
        <v>194</v>
      </c>
      <c r="Z164" s="18"/>
      <c r="AA164" s="6" t="s">
        <v>25</v>
      </c>
      <c r="AB164" s="6"/>
      <c r="AC164" s="6"/>
      <c r="AD164" s="6"/>
      <c r="AE164" s="6"/>
      <c r="AF164" s="6"/>
      <c r="AG164" s="6"/>
      <c r="AH164" s="6"/>
      <c r="AI164" s="8">
        <f t="shared" si="29"/>
        <v>0</v>
      </c>
      <c r="AJ164" s="8"/>
      <c r="AK164" s="6"/>
      <c r="AL164" s="6"/>
      <c r="AM164" s="6"/>
      <c r="AN164" s="6"/>
      <c r="AO164" s="6"/>
      <c r="AP164" s="6"/>
      <c r="AQ164" s="6"/>
      <c r="AR164" s="6"/>
      <c r="AS164" s="8">
        <f t="shared" si="31"/>
        <v>0</v>
      </c>
      <c r="AT164" s="8"/>
      <c r="AU164" s="6">
        <v>0</v>
      </c>
      <c r="AV164" s="6"/>
      <c r="AW164" s="6">
        <v>0</v>
      </c>
      <c r="AX164" s="6"/>
      <c r="AY164" s="6">
        <f t="shared" si="35"/>
        <v>0</v>
      </c>
      <c r="AZ164" s="6"/>
      <c r="BA164" s="6" t="s">
        <v>194</v>
      </c>
      <c r="BB164" s="18"/>
      <c r="BC164" s="6" t="s">
        <v>25</v>
      </c>
      <c r="BD164" s="6"/>
      <c r="BE164" s="6"/>
      <c r="BF164" s="6"/>
      <c r="BG164" s="6"/>
      <c r="BH164" s="6"/>
      <c r="BI164" s="6"/>
      <c r="BJ164" s="6"/>
      <c r="BK164" s="6"/>
      <c r="BL164" s="6"/>
      <c r="BM164" s="6">
        <f t="shared" si="37"/>
        <v>0</v>
      </c>
      <c r="BN164" s="17" t="s">
        <v>345</v>
      </c>
    </row>
    <row r="165" spans="1:67" ht="12.75" hidden="1" customHeight="1" x14ac:dyDescent="0.2">
      <c r="A165" s="6" t="s">
        <v>400</v>
      </c>
      <c r="C165" s="6" t="s">
        <v>151</v>
      </c>
      <c r="D165" s="6"/>
      <c r="E165" s="6">
        <f t="shared" si="32"/>
        <v>0</v>
      </c>
      <c r="F165" s="6"/>
      <c r="G165" s="6"/>
      <c r="H165" s="6"/>
      <c r="I165" s="6"/>
      <c r="J165" s="6"/>
      <c r="K165" s="6">
        <f t="shared" si="33"/>
        <v>0</v>
      </c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>
        <f t="shared" si="34"/>
        <v>0</v>
      </c>
      <c r="X165" s="6"/>
      <c r="Y165" s="6" t="s">
        <v>400</v>
      </c>
      <c r="Z165" s="18"/>
      <c r="AA165" s="6" t="s">
        <v>151</v>
      </c>
      <c r="AB165" s="6"/>
      <c r="AC165" s="6"/>
      <c r="AD165" s="6"/>
      <c r="AE165" s="6"/>
      <c r="AF165" s="6"/>
      <c r="AG165" s="6"/>
      <c r="AH165" s="6"/>
      <c r="AI165" s="8">
        <f t="shared" si="29"/>
        <v>0</v>
      </c>
      <c r="AJ165" s="8"/>
      <c r="AK165" s="6"/>
      <c r="AL165" s="6"/>
      <c r="AM165" s="6"/>
      <c r="AN165" s="6"/>
      <c r="AO165" s="6"/>
      <c r="AP165" s="6"/>
      <c r="AQ165" s="6"/>
      <c r="AR165" s="6"/>
      <c r="AS165" s="8">
        <f t="shared" si="31"/>
        <v>0</v>
      </c>
      <c r="AT165" s="8"/>
      <c r="AU165" s="6">
        <v>0</v>
      </c>
      <c r="AV165" s="6"/>
      <c r="AW165" s="6">
        <v>0</v>
      </c>
      <c r="AX165" s="6"/>
      <c r="AY165" s="6">
        <f t="shared" si="35"/>
        <v>0</v>
      </c>
      <c r="AZ165" s="6"/>
      <c r="BA165" s="6" t="s">
        <v>400</v>
      </c>
      <c r="BB165" s="18"/>
      <c r="BC165" s="6" t="s">
        <v>151</v>
      </c>
      <c r="BD165" s="6"/>
      <c r="BE165" s="6"/>
      <c r="BF165" s="6"/>
      <c r="BG165" s="6"/>
      <c r="BH165" s="6"/>
      <c r="BI165" s="6"/>
      <c r="BJ165" s="6"/>
      <c r="BK165" s="6"/>
      <c r="BL165" s="6"/>
      <c r="BM165" s="6">
        <f t="shared" si="37"/>
        <v>0</v>
      </c>
      <c r="BN165" s="17" t="s">
        <v>345</v>
      </c>
    </row>
    <row r="166" spans="1:67" ht="12.75" hidden="1" customHeight="1" x14ac:dyDescent="0.2">
      <c r="A166" s="6" t="s">
        <v>195</v>
      </c>
      <c r="C166" s="6" t="s">
        <v>161</v>
      </c>
      <c r="D166" s="6"/>
      <c r="E166" s="6">
        <f t="shared" si="32"/>
        <v>0</v>
      </c>
      <c r="F166" s="6"/>
      <c r="G166" s="6"/>
      <c r="H166" s="6"/>
      <c r="I166" s="6"/>
      <c r="J166" s="6"/>
      <c r="K166" s="6">
        <f t="shared" si="33"/>
        <v>0</v>
      </c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>
        <f t="shared" si="34"/>
        <v>0</v>
      </c>
      <c r="X166" s="6"/>
      <c r="Y166" s="6" t="s">
        <v>195</v>
      </c>
      <c r="Z166" s="18"/>
      <c r="AA166" s="6" t="s">
        <v>161</v>
      </c>
      <c r="AB166" s="6"/>
      <c r="AC166" s="6"/>
      <c r="AD166" s="6"/>
      <c r="AE166" s="6"/>
      <c r="AF166" s="6"/>
      <c r="AG166" s="6"/>
      <c r="AH166" s="6"/>
      <c r="AI166" s="8">
        <f t="shared" ref="AI166:AI229" si="38">+AC166-AE166-AG166</f>
        <v>0</v>
      </c>
      <c r="AJ166" s="8"/>
      <c r="AK166" s="6"/>
      <c r="AL166" s="6"/>
      <c r="AM166" s="6"/>
      <c r="AN166" s="6"/>
      <c r="AO166" s="6"/>
      <c r="AP166" s="6"/>
      <c r="AQ166" s="6"/>
      <c r="AR166" s="6"/>
      <c r="AS166" s="8">
        <f t="shared" si="31"/>
        <v>0</v>
      </c>
      <c r="AT166" s="8"/>
      <c r="AU166" s="6">
        <v>0</v>
      </c>
      <c r="AV166" s="6"/>
      <c r="AW166" s="6">
        <v>0</v>
      </c>
      <c r="AX166" s="6"/>
      <c r="AY166" s="6">
        <f t="shared" si="35"/>
        <v>0</v>
      </c>
      <c r="AZ166" s="6"/>
      <c r="BA166" s="6" t="s">
        <v>195</v>
      </c>
      <c r="BB166" s="18"/>
      <c r="BC166" s="6" t="s">
        <v>161</v>
      </c>
      <c r="BD166" s="6"/>
      <c r="BE166" s="6"/>
      <c r="BF166" s="6"/>
      <c r="BG166" s="6"/>
      <c r="BH166" s="6"/>
      <c r="BI166" s="6"/>
      <c r="BJ166" s="6"/>
      <c r="BK166" s="6"/>
      <c r="BL166" s="6"/>
      <c r="BM166" s="6">
        <f t="shared" si="37"/>
        <v>0</v>
      </c>
      <c r="BN166" s="17" t="s">
        <v>345</v>
      </c>
    </row>
    <row r="167" spans="1:67" ht="12.75" customHeight="1" x14ac:dyDescent="0.2">
      <c r="A167" s="6" t="s">
        <v>196</v>
      </c>
      <c r="C167" s="6" t="s">
        <v>197</v>
      </c>
      <c r="D167" s="6"/>
      <c r="E167" s="6">
        <v>25882019</v>
      </c>
      <c r="F167" s="6"/>
      <c r="G167" s="6">
        <v>21017736</v>
      </c>
      <c r="H167" s="6"/>
      <c r="I167" s="6">
        <f>+E167+G167</f>
        <v>46899755</v>
      </c>
      <c r="J167" s="6"/>
      <c r="K167" s="6">
        <v>2256489</v>
      </c>
      <c r="L167" s="6"/>
      <c r="M167" s="6">
        <v>176875</v>
      </c>
      <c r="N167" s="6"/>
      <c r="O167" s="6">
        <f>+K167+M167</f>
        <v>2433364</v>
      </c>
      <c r="P167" s="6"/>
      <c r="Q167" s="6">
        <v>21017736</v>
      </c>
      <c r="R167" s="6"/>
      <c r="S167" s="6">
        <v>0</v>
      </c>
      <c r="T167" s="6"/>
      <c r="U167" s="6">
        <v>23448655</v>
      </c>
      <c r="V167" s="6"/>
      <c r="W167" s="6">
        <f t="shared" si="34"/>
        <v>44466391</v>
      </c>
      <c r="X167" s="6"/>
      <c r="Y167" s="6" t="s">
        <v>196</v>
      </c>
      <c r="Z167" s="18"/>
      <c r="AA167" s="6" t="s">
        <v>197</v>
      </c>
      <c r="AB167" s="6"/>
      <c r="AC167" s="6">
        <v>33081688</v>
      </c>
      <c r="AD167" s="6"/>
      <c r="AE167" s="6">
        <f>32760490-1993958</f>
        <v>30766532</v>
      </c>
      <c r="AF167" s="6"/>
      <c r="AG167" s="6">
        <v>1993958</v>
      </c>
      <c r="AH167" s="6"/>
      <c r="AI167" s="8">
        <f t="shared" si="38"/>
        <v>321198</v>
      </c>
      <c r="AJ167" s="8"/>
      <c r="AK167" s="6">
        <v>45403</v>
      </c>
      <c r="AL167" s="6"/>
      <c r="AM167" s="6">
        <v>916239</v>
      </c>
      <c r="AN167" s="6"/>
      <c r="AO167" s="6">
        <v>0</v>
      </c>
      <c r="AP167" s="6"/>
      <c r="AQ167" s="6">
        <v>0</v>
      </c>
      <c r="AR167" s="6"/>
      <c r="AS167" s="8">
        <f t="shared" si="31"/>
        <v>1282840</v>
      </c>
      <c r="AT167" s="8"/>
      <c r="AU167" s="6">
        <v>0</v>
      </c>
      <c r="AV167" s="6"/>
      <c r="AW167" s="6">
        <v>0</v>
      </c>
      <c r="AX167" s="6"/>
      <c r="AY167" s="6">
        <f t="shared" si="35"/>
        <v>23625530</v>
      </c>
      <c r="AZ167" s="6"/>
      <c r="BA167" s="6" t="s">
        <v>196</v>
      </c>
      <c r="BB167" s="18"/>
      <c r="BC167" s="6" t="s">
        <v>197</v>
      </c>
      <c r="BD167" s="6"/>
      <c r="BE167" s="6">
        <v>0</v>
      </c>
      <c r="BF167" s="6"/>
      <c r="BG167" s="6">
        <v>0</v>
      </c>
      <c r="BH167" s="6"/>
      <c r="BI167" s="6">
        <v>0</v>
      </c>
      <c r="BJ167" s="6"/>
      <c r="BK167" s="6">
        <f>176875+83605</f>
        <v>260480</v>
      </c>
      <c r="BL167" s="6"/>
      <c r="BM167" s="6">
        <f t="shared" si="37"/>
        <v>260480</v>
      </c>
      <c r="BN167" s="17" t="s">
        <v>345</v>
      </c>
      <c r="BO167" s="18" t="s">
        <v>369</v>
      </c>
    </row>
    <row r="168" spans="1:67" ht="12.75" hidden="1" customHeight="1" x14ac:dyDescent="0.2">
      <c r="A168" s="6" t="s">
        <v>198</v>
      </c>
      <c r="C168" s="6" t="s">
        <v>101</v>
      </c>
      <c r="D168" s="6"/>
      <c r="E168" s="6">
        <f t="shared" si="32"/>
        <v>0</v>
      </c>
      <c r="F168" s="6"/>
      <c r="G168" s="6"/>
      <c r="H168" s="6"/>
      <c r="I168" s="6"/>
      <c r="J168" s="6"/>
      <c r="K168" s="6">
        <f t="shared" si="33"/>
        <v>0</v>
      </c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>
        <f t="shared" si="34"/>
        <v>0</v>
      </c>
      <c r="X168" s="6"/>
      <c r="Y168" s="6" t="s">
        <v>198</v>
      </c>
      <c r="Z168" s="18"/>
      <c r="AA168" s="6" t="s">
        <v>101</v>
      </c>
      <c r="AB168" s="6"/>
      <c r="AC168" s="6"/>
      <c r="AD168" s="6"/>
      <c r="AE168" s="6"/>
      <c r="AF168" s="6"/>
      <c r="AG168" s="6"/>
      <c r="AH168" s="6"/>
      <c r="AI168" s="8">
        <f t="shared" si="38"/>
        <v>0</v>
      </c>
      <c r="AJ168" s="8"/>
      <c r="AK168" s="6"/>
      <c r="AL168" s="6"/>
      <c r="AM168" s="6"/>
      <c r="AN168" s="6"/>
      <c r="AO168" s="6"/>
      <c r="AP168" s="6"/>
      <c r="AQ168" s="6"/>
      <c r="AR168" s="6"/>
      <c r="AS168" s="8">
        <f t="shared" si="31"/>
        <v>0</v>
      </c>
      <c r="AT168" s="8"/>
      <c r="AU168" s="6">
        <v>0</v>
      </c>
      <c r="AV168" s="6"/>
      <c r="AW168" s="6">
        <v>0</v>
      </c>
      <c r="AX168" s="6"/>
      <c r="AY168" s="6">
        <f t="shared" si="35"/>
        <v>0</v>
      </c>
      <c r="AZ168" s="6"/>
      <c r="BA168" s="6" t="s">
        <v>198</v>
      </c>
      <c r="BB168" s="18"/>
      <c r="BC168" s="6" t="s">
        <v>101</v>
      </c>
      <c r="BD168" s="6"/>
      <c r="BE168" s="6"/>
      <c r="BF168" s="6"/>
      <c r="BG168" s="6"/>
      <c r="BH168" s="6"/>
      <c r="BI168" s="6"/>
      <c r="BJ168" s="6"/>
      <c r="BK168" s="6"/>
      <c r="BL168" s="6"/>
      <c r="BM168" s="6">
        <f t="shared" si="37"/>
        <v>0</v>
      </c>
      <c r="BN168" s="17" t="s">
        <v>345</v>
      </c>
    </row>
    <row r="169" spans="1:67" ht="12.75" customHeight="1" x14ac:dyDescent="0.2">
      <c r="A169" s="6" t="s">
        <v>199</v>
      </c>
      <c r="C169" s="6" t="s">
        <v>90</v>
      </c>
      <c r="D169" s="6"/>
      <c r="E169" s="6">
        <v>27619452</v>
      </c>
      <c r="F169" s="6"/>
      <c r="G169" s="6">
        <v>27362758</v>
      </c>
      <c r="H169" s="6"/>
      <c r="I169" s="6">
        <f>+E169+G169</f>
        <v>54982210</v>
      </c>
      <c r="J169" s="6"/>
      <c r="K169" s="6">
        <v>2057898</v>
      </c>
      <c r="L169" s="6"/>
      <c r="M169" s="6">
        <v>1712549</v>
      </c>
      <c r="N169" s="6"/>
      <c r="O169" s="6">
        <f>+K169+M169</f>
        <v>3770447</v>
      </c>
      <c r="P169" s="6"/>
      <c r="Q169" s="6">
        <v>23858038</v>
      </c>
      <c r="R169" s="6"/>
      <c r="S169" s="6">
        <v>0</v>
      </c>
      <c r="T169" s="6"/>
      <c r="U169" s="6">
        <v>27353725</v>
      </c>
      <c r="V169" s="6"/>
      <c r="W169" s="6">
        <f t="shared" si="34"/>
        <v>51211763</v>
      </c>
      <c r="X169" s="6"/>
      <c r="Y169" s="6" t="s">
        <v>199</v>
      </c>
      <c r="Z169" s="18"/>
      <c r="AA169" s="6" t="s">
        <v>90</v>
      </c>
      <c r="AB169" s="6"/>
      <c r="AC169" s="6">
        <v>26540930</v>
      </c>
      <c r="AD169" s="6"/>
      <c r="AE169" s="6">
        <f>20295824-786477</f>
        <v>19509347</v>
      </c>
      <c r="AF169" s="6"/>
      <c r="AG169" s="6">
        <v>786477</v>
      </c>
      <c r="AH169" s="6"/>
      <c r="AI169" s="8">
        <f t="shared" si="38"/>
        <v>6245106</v>
      </c>
      <c r="AJ169" s="8"/>
      <c r="AK169" s="6">
        <v>-166080</v>
      </c>
      <c r="AL169" s="6"/>
      <c r="AM169" s="6">
        <v>0</v>
      </c>
      <c r="AN169" s="6"/>
      <c r="AO169" s="6">
        <v>893624</v>
      </c>
      <c r="AP169" s="6"/>
      <c r="AQ169" s="6">
        <v>1324655</v>
      </c>
      <c r="AR169" s="6"/>
      <c r="AS169" s="8">
        <f t="shared" si="31"/>
        <v>6510057</v>
      </c>
      <c r="AT169" s="8"/>
      <c r="AU169" s="6">
        <v>0</v>
      </c>
      <c r="AV169" s="6"/>
      <c r="AW169" s="6">
        <v>0</v>
      </c>
      <c r="AX169" s="6"/>
      <c r="AY169" s="6">
        <f t="shared" si="35"/>
        <v>25561554</v>
      </c>
      <c r="AZ169" s="6"/>
      <c r="BA169" s="6" t="s">
        <v>199</v>
      </c>
      <c r="BB169" s="18"/>
      <c r="BC169" s="6" t="s">
        <v>90</v>
      </c>
      <c r="BD169" s="6"/>
      <c r="BE169" s="6">
        <v>0</v>
      </c>
      <c r="BF169" s="6"/>
      <c r="BG169" s="6">
        <f>1152522+181518</f>
        <v>1334040</v>
      </c>
      <c r="BH169" s="6"/>
      <c r="BI169" s="6">
        <v>0</v>
      </c>
      <c r="BJ169" s="6"/>
      <c r="BK169" s="6">
        <f>127590+432437+447733+6822</f>
        <v>1014582</v>
      </c>
      <c r="BL169" s="6"/>
      <c r="BM169" s="6">
        <f t="shared" si="37"/>
        <v>2348622</v>
      </c>
      <c r="BN169" s="17" t="s">
        <v>345</v>
      </c>
    </row>
    <row r="170" spans="1:67" ht="12.75" hidden="1" customHeight="1" x14ac:dyDescent="0.2">
      <c r="A170" s="6" t="s">
        <v>200</v>
      </c>
      <c r="C170" s="6" t="s">
        <v>25</v>
      </c>
      <c r="D170" s="6"/>
      <c r="E170" s="6">
        <f t="shared" si="32"/>
        <v>0</v>
      </c>
      <c r="F170" s="6"/>
      <c r="G170" s="6"/>
      <c r="H170" s="6"/>
      <c r="I170" s="6"/>
      <c r="J170" s="6"/>
      <c r="K170" s="6">
        <f t="shared" si="33"/>
        <v>0</v>
      </c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>
        <f t="shared" si="34"/>
        <v>0</v>
      </c>
      <c r="X170" s="6"/>
      <c r="Y170" s="6" t="s">
        <v>200</v>
      </c>
      <c r="Z170" s="18"/>
      <c r="AA170" s="6" t="s">
        <v>25</v>
      </c>
      <c r="AB170" s="6"/>
      <c r="AC170" s="6"/>
      <c r="AD170" s="6"/>
      <c r="AE170" s="6"/>
      <c r="AF170" s="6"/>
      <c r="AG170" s="6"/>
      <c r="AH170" s="6"/>
      <c r="AI170" s="8">
        <f t="shared" si="38"/>
        <v>0</v>
      </c>
      <c r="AJ170" s="8"/>
      <c r="AK170" s="6"/>
      <c r="AL170" s="6"/>
      <c r="AM170" s="6"/>
      <c r="AN170" s="6"/>
      <c r="AO170" s="6"/>
      <c r="AP170" s="6"/>
      <c r="AQ170" s="6"/>
      <c r="AR170" s="6"/>
      <c r="AS170" s="8">
        <f t="shared" ref="AS170:AS233" si="39">+AI170+AK170+AM170-AO170+AQ170</f>
        <v>0</v>
      </c>
      <c r="AT170" s="8"/>
      <c r="AU170" s="6">
        <v>0</v>
      </c>
      <c r="AV170" s="6"/>
      <c r="AW170" s="6">
        <v>0</v>
      </c>
      <c r="AX170" s="6"/>
      <c r="AY170" s="6">
        <f t="shared" si="35"/>
        <v>0</v>
      </c>
      <c r="AZ170" s="6"/>
      <c r="BA170" s="6" t="s">
        <v>200</v>
      </c>
      <c r="BB170" s="18"/>
      <c r="BC170" s="6" t="s">
        <v>25</v>
      </c>
      <c r="BD170" s="6"/>
      <c r="BE170" s="6"/>
      <c r="BF170" s="6"/>
      <c r="BG170" s="6"/>
      <c r="BH170" s="6"/>
      <c r="BI170" s="6"/>
      <c r="BJ170" s="6"/>
      <c r="BK170" s="6"/>
      <c r="BL170" s="6"/>
      <c r="BM170" s="6">
        <f t="shared" si="37"/>
        <v>0</v>
      </c>
      <c r="BN170" s="17" t="s">
        <v>345</v>
      </c>
    </row>
    <row r="171" spans="1:67" ht="12.75" hidden="1" customHeight="1" x14ac:dyDescent="0.2">
      <c r="A171" s="6" t="s">
        <v>201</v>
      </c>
      <c r="C171" s="6" t="s">
        <v>25</v>
      </c>
      <c r="D171" s="6"/>
      <c r="E171" s="6">
        <f t="shared" ref="E171:E234" si="40">I171-G171</f>
        <v>0</v>
      </c>
      <c r="F171" s="6"/>
      <c r="G171" s="6"/>
      <c r="H171" s="6"/>
      <c r="I171" s="6"/>
      <c r="J171" s="6"/>
      <c r="K171" s="6">
        <f t="shared" ref="K171:K234" si="41">O171-M171</f>
        <v>0</v>
      </c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>
        <f t="shared" ref="W171:W234" si="42">SUM(Q171:U171)</f>
        <v>0</v>
      </c>
      <c r="X171" s="6"/>
      <c r="Y171" s="6" t="s">
        <v>201</v>
      </c>
      <c r="Z171" s="18"/>
      <c r="AA171" s="6" t="s">
        <v>25</v>
      </c>
      <c r="AB171" s="6"/>
      <c r="AC171" s="6"/>
      <c r="AD171" s="6"/>
      <c r="AE171" s="6"/>
      <c r="AF171" s="6"/>
      <c r="AG171" s="6"/>
      <c r="AH171" s="6"/>
      <c r="AI171" s="8">
        <f t="shared" si="38"/>
        <v>0</v>
      </c>
      <c r="AJ171" s="8"/>
      <c r="AK171" s="6"/>
      <c r="AL171" s="6"/>
      <c r="AM171" s="6"/>
      <c r="AN171" s="6"/>
      <c r="AO171" s="6"/>
      <c r="AP171" s="6"/>
      <c r="AQ171" s="6"/>
      <c r="AR171" s="6"/>
      <c r="AS171" s="8">
        <f t="shared" si="39"/>
        <v>0</v>
      </c>
      <c r="AT171" s="8"/>
      <c r="AU171" s="6">
        <v>0</v>
      </c>
      <c r="AV171" s="6"/>
      <c r="AW171" s="6">
        <v>0</v>
      </c>
      <c r="AX171" s="6"/>
      <c r="AY171" s="6">
        <f t="shared" ref="AY171:AY234" si="43">+E171-K171</f>
        <v>0</v>
      </c>
      <c r="AZ171" s="6"/>
      <c r="BA171" s="6" t="s">
        <v>201</v>
      </c>
      <c r="BB171" s="18"/>
      <c r="BC171" s="6" t="s">
        <v>25</v>
      </c>
      <c r="BD171" s="6"/>
      <c r="BE171" s="6"/>
      <c r="BF171" s="6"/>
      <c r="BG171" s="6"/>
      <c r="BH171" s="6"/>
      <c r="BI171" s="6"/>
      <c r="BJ171" s="6"/>
      <c r="BK171" s="6"/>
      <c r="BL171" s="6"/>
      <c r="BM171" s="6">
        <f t="shared" si="37"/>
        <v>0</v>
      </c>
      <c r="BN171" s="17" t="s">
        <v>345</v>
      </c>
    </row>
    <row r="172" spans="1:67" ht="12.75" hidden="1" customHeight="1" x14ac:dyDescent="0.2">
      <c r="A172" s="6" t="s">
        <v>202</v>
      </c>
      <c r="C172" s="6" t="s">
        <v>123</v>
      </c>
      <c r="D172" s="6"/>
      <c r="E172" s="6">
        <f t="shared" si="40"/>
        <v>0</v>
      </c>
      <c r="F172" s="6"/>
      <c r="G172" s="6"/>
      <c r="H172" s="6"/>
      <c r="I172" s="6"/>
      <c r="J172" s="6"/>
      <c r="K172" s="6">
        <f t="shared" si="41"/>
        <v>0</v>
      </c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>
        <f t="shared" si="42"/>
        <v>0</v>
      </c>
      <c r="X172" s="6"/>
      <c r="Y172" s="6" t="s">
        <v>202</v>
      </c>
      <c r="Z172" s="18"/>
      <c r="AA172" s="6" t="s">
        <v>123</v>
      </c>
      <c r="AB172" s="6"/>
      <c r="AC172" s="6"/>
      <c r="AD172" s="6"/>
      <c r="AE172" s="6"/>
      <c r="AF172" s="6"/>
      <c r="AG172" s="6"/>
      <c r="AH172" s="6"/>
      <c r="AI172" s="8">
        <f t="shared" si="38"/>
        <v>0</v>
      </c>
      <c r="AJ172" s="8"/>
      <c r="AK172" s="6"/>
      <c r="AL172" s="6"/>
      <c r="AM172" s="6"/>
      <c r="AN172" s="6"/>
      <c r="AO172" s="6"/>
      <c r="AP172" s="6"/>
      <c r="AQ172" s="6"/>
      <c r="AR172" s="6"/>
      <c r="AS172" s="8">
        <f t="shared" si="39"/>
        <v>0</v>
      </c>
      <c r="AT172" s="8"/>
      <c r="AU172" s="6">
        <v>0</v>
      </c>
      <c r="AV172" s="6"/>
      <c r="AW172" s="6">
        <v>0</v>
      </c>
      <c r="AX172" s="6"/>
      <c r="AY172" s="6">
        <f t="shared" si="43"/>
        <v>0</v>
      </c>
      <c r="AZ172" s="6"/>
      <c r="BA172" s="6" t="s">
        <v>202</v>
      </c>
      <c r="BB172" s="18"/>
      <c r="BC172" s="6" t="s">
        <v>123</v>
      </c>
      <c r="BD172" s="6"/>
      <c r="BE172" s="6"/>
      <c r="BF172" s="6"/>
      <c r="BG172" s="6"/>
      <c r="BH172" s="6"/>
      <c r="BI172" s="6"/>
      <c r="BJ172" s="6"/>
      <c r="BK172" s="6"/>
      <c r="BL172" s="6"/>
      <c r="BM172" s="6">
        <f t="shared" si="37"/>
        <v>0</v>
      </c>
      <c r="BN172" s="17" t="s">
        <v>345</v>
      </c>
    </row>
    <row r="173" spans="1:67" ht="12.75" hidden="1" customHeight="1" x14ac:dyDescent="0.2">
      <c r="A173" s="6" t="s">
        <v>203</v>
      </c>
      <c r="C173" s="6" t="s">
        <v>25</v>
      </c>
      <c r="D173" s="6"/>
      <c r="E173" s="6">
        <f t="shared" si="40"/>
        <v>0</v>
      </c>
      <c r="F173" s="6"/>
      <c r="G173" s="6"/>
      <c r="H173" s="6"/>
      <c r="I173" s="6"/>
      <c r="J173" s="6"/>
      <c r="K173" s="6">
        <f t="shared" si="41"/>
        <v>0</v>
      </c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>
        <f t="shared" si="42"/>
        <v>0</v>
      </c>
      <c r="X173" s="6"/>
      <c r="Y173" s="6" t="s">
        <v>203</v>
      </c>
      <c r="Z173" s="18"/>
      <c r="AA173" s="6" t="s">
        <v>25</v>
      </c>
      <c r="AB173" s="6"/>
      <c r="AC173" s="6"/>
      <c r="AD173" s="6"/>
      <c r="AE173" s="6"/>
      <c r="AF173" s="6"/>
      <c r="AG173" s="6"/>
      <c r="AH173" s="6"/>
      <c r="AI173" s="8">
        <f t="shared" si="38"/>
        <v>0</v>
      </c>
      <c r="AJ173" s="8"/>
      <c r="AK173" s="6"/>
      <c r="AL173" s="6"/>
      <c r="AM173" s="6"/>
      <c r="AN173" s="6"/>
      <c r="AO173" s="6"/>
      <c r="AP173" s="6"/>
      <c r="AQ173" s="6"/>
      <c r="AR173" s="6"/>
      <c r="AS173" s="8">
        <f t="shared" si="39"/>
        <v>0</v>
      </c>
      <c r="AT173" s="8"/>
      <c r="AU173" s="6">
        <v>0</v>
      </c>
      <c r="AV173" s="6"/>
      <c r="AW173" s="6">
        <v>0</v>
      </c>
      <c r="AX173" s="6"/>
      <c r="AY173" s="6">
        <f t="shared" si="43"/>
        <v>0</v>
      </c>
      <c r="AZ173" s="6"/>
      <c r="BA173" s="6" t="s">
        <v>203</v>
      </c>
      <c r="BB173" s="18"/>
      <c r="BC173" s="6" t="s">
        <v>25</v>
      </c>
      <c r="BD173" s="6"/>
      <c r="BE173" s="6"/>
      <c r="BF173" s="6"/>
      <c r="BG173" s="6"/>
      <c r="BH173" s="6"/>
      <c r="BI173" s="6"/>
      <c r="BJ173" s="6"/>
      <c r="BK173" s="6"/>
      <c r="BL173" s="6"/>
      <c r="BM173" s="6">
        <f t="shared" si="37"/>
        <v>0</v>
      </c>
      <c r="BN173" s="17" t="s">
        <v>345</v>
      </c>
    </row>
    <row r="174" spans="1:67" ht="12.75" hidden="1" customHeight="1" x14ac:dyDescent="0.2">
      <c r="A174" s="6" t="s">
        <v>204</v>
      </c>
      <c r="C174" s="6" t="s">
        <v>45</v>
      </c>
      <c r="D174" s="6"/>
      <c r="E174" s="6">
        <f t="shared" si="40"/>
        <v>0</v>
      </c>
      <c r="F174" s="6"/>
      <c r="G174" s="6"/>
      <c r="H174" s="6"/>
      <c r="I174" s="6"/>
      <c r="J174" s="6"/>
      <c r="K174" s="6">
        <f t="shared" si="41"/>
        <v>0</v>
      </c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>
        <f t="shared" si="42"/>
        <v>0</v>
      </c>
      <c r="X174" s="6"/>
      <c r="Y174" s="6" t="s">
        <v>204</v>
      </c>
      <c r="Z174" s="18"/>
      <c r="AA174" s="6" t="s">
        <v>45</v>
      </c>
      <c r="AB174" s="6"/>
      <c r="AC174" s="6"/>
      <c r="AD174" s="6"/>
      <c r="AE174" s="6"/>
      <c r="AF174" s="6"/>
      <c r="AG174" s="6"/>
      <c r="AH174" s="6"/>
      <c r="AI174" s="8">
        <f t="shared" si="38"/>
        <v>0</v>
      </c>
      <c r="AJ174" s="8"/>
      <c r="AK174" s="6"/>
      <c r="AL174" s="6"/>
      <c r="AM174" s="6"/>
      <c r="AN174" s="6"/>
      <c r="AO174" s="6"/>
      <c r="AP174" s="6"/>
      <c r="AQ174" s="6"/>
      <c r="AR174" s="6"/>
      <c r="AS174" s="8">
        <f t="shared" si="39"/>
        <v>0</v>
      </c>
      <c r="AT174" s="8"/>
      <c r="AU174" s="6">
        <v>0</v>
      </c>
      <c r="AV174" s="6"/>
      <c r="AW174" s="6">
        <v>0</v>
      </c>
      <c r="AX174" s="6"/>
      <c r="AY174" s="6">
        <f t="shared" si="43"/>
        <v>0</v>
      </c>
      <c r="AZ174" s="6"/>
      <c r="BA174" s="6" t="s">
        <v>204</v>
      </c>
      <c r="BB174" s="18"/>
      <c r="BC174" s="6" t="s">
        <v>45</v>
      </c>
      <c r="BD174" s="6"/>
      <c r="BE174" s="6"/>
      <c r="BF174" s="6"/>
      <c r="BG174" s="6"/>
      <c r="BH174" s="6"/>
      <c r="BI174" s="6"/>
      <c r="BJ174" s="6"/>
      <c r="BK174" s="6"/>
      <c r="BL174" s="6"/>
      <c r="BM174" s="6">
        <f t="shared" si="37"/>
        <v>0</v>
      </c>
      <c r="BN174" s="17" t="s">
        <v>345</v>
      </c>
    </row>
    <row r="175" spans="1:67" ht="12.75" hidden="1" customHeight="1" x14ac:dyDescent="0.2">
      <c r="A175" s="6" t="s">
        <v>205</v>
      </c>
      <c r="C175" s="6" t="s">
        <v>100</v>
      </c>
      <c r="D175" s="6"/>
      <c r="E175" s="6">
        <f t="shared" si="40"/>
        <v>0</v>
      </c>
      <c r="F175" s="6"/>
      <c r="G175" s="6"/>
      <c r="H175" s="6"/>
      <c r="I175" s="6"/>
      <c r="J175" s="6"/>
      <c r="K175" s="6">
        <f t="shared" si="41"/>
        <v>0</v>
      </c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>
        <f t="shared" si="42"/>
        <v>0</v>
      </c>
      <c r="X175" s="6"/>
      <c r="Y175" s="6" t="s">
        <v>205</v>
      </c>
      <c r="Z175" s="18"/>
      <c r="AA175" s="6" t="s">
        <v>100</v>
      </c>
      <c r="AB175" s="6"/>
      <c r="AC175" s="6"/>
      <c r="AD175" s="6"/>
      <c r="AE175" s="6"/>
      <c r="AF175" s="6"/>
      <c r="AG175" s="6"/>
      <c r="AH175" s="6"/>
      <c r="AI175" s="8">
        <f t="shared" si="38"/>
        <v>0</v>
      </c>
      <c r="AJ175" s="8"/>
      <c r="AK175" s="6"/>
      <c r="AL175" s="6"/>
      <c r="AM175" s="6"/>
      <c r="AN175" s="6"/>
      <c r="AO175" s="6"/>
      <c r="AP175" s="6"/>
      <c r="AQ175" s="6"/>
      <c r="AR175" s="6"/>
      <c r="AS175" s="8">
        <f t="shared" si="39"/>
        <v>0</v>
      </c>
      <c r="AT175" s="8"/>
      <c r="AU175" s="6">
        <v>0</v>
      </c>
      <c r="AV175" s="6"/>
      <c r="AW175" s="6">
        <v>0</v>
      </c>
      <c r="AX175" s="6"/>
      <c r="AY175" s="6">
        <f t="shared" si="43"/>
        <v>0</v>
      </c>
      <c r="AZ175" s="6"/>
      <c r="BA175" s="6" t="s">
        <v>205</v>
      </c>
      <c r="BB175" s="18"/>
      <c r="BC175" s="6" t="s">
        <v>100</v>
      </c>
      <c r="BD175" s="6"/>
      <c r="BE175" s="6"/>
      <c r="BF175" s="6"/>
      <c r="BG175" s="6"/>
      <c r="BH175" s="6"/>
      <c r="BI175" s="6"/>
      <c r="BJ175" s="6"/>
      <c r="BK175" s="6"/>
      <c r="BL175" s="6"/>
      <c r="BM175" s="6">
        <f t="shared" si="37"/>
        <v>0</v>
      </c>
      <c r="BN175" s="17" t="s">
        <v>345</v>
      </c>
    </row>
    <row r="176" spans="1:67" ht="12.75" customHeight="1" x14ac:dyDescent="0.2">
      <c r="A176" s="6" t="s">
        <v>206</v>
      </c>
      <c r="C176" s="6" t="s">
        <v>207</v>
      </c>
      <c r="D176" s="6"/>
      <c r="E176" s="6">
        <v>12981916</v>
      </c>
      <c r="F176" s="6"/>
      <c r="G176" s="6">
        <v>36608026</v>
      </c>
      <c r="H176" s="6"/>
      <c r="I176" s="6">
        <f>+E176+G176</f>
        <v>49589942</v>
      </c>
      <c r="J176" s="6"/>
      <c r="K176" s="6">
        <v>2156295</v>
      </c>
      <c r="L176" s="6"/>
      <c r="M176" s="6">
        <v>367696</v>
      </c>
      <c r="N176" s="6"/>
      <c r="O176" s="6">
        <f>+K176+M176</f>
        <v>2523991</v>
      </c>
      <c r="P176" s="6"/>
      <c r="Q176" s="6">
        <v>36608026</v>
      </c>
      <c r="R176" s="6"/>
      <c r="S176" s="6">
        <v>0</v>
      </c>
      <c r="T176" s="6"/>
      <c r="U176" s="6">
        <v>10457925</v>
      </c>
      <c r="V176" s="6"/>
      <c r="W176" s="6">
        <f t="shared" si="42"/>
        <v>47065951</v>
      </c>
      <c r="X176" s="6"/>
      <c r="Y176" s="6" t="s">
        <v>206</v>
      </c>
      <c r="Z176" s="18"/>
      <c r="AA176" s="6" t="s">
        <v>207</v>
      </c>
      <c r="AB176" s="6"/>
      <c r="AC176" s="6">
        <v>23553634</v>
      </c>
      <c r="AD176" s="6"/>
      <c r="AE176" s="6">
        <f>22136203-1716223</f>
        <v>20419980</v>
      </c>
      <c r="AF176" s="6"/>
      <c r="AG176" s="6">
        <v>1716223</v>
      </c>
      <c r="AH176" s="6"/>
      <c r="AI176" s="8">
        <f t="shared" si="38"/>
        <v>1417431</v>
      </c>
      <c r="AJ176" s="8"/>
      <c r="AK176" s="6">
        <v>598284</v>
      </c>
      <c r="AL176" s="6"/>
      <c r="AM176" s="6">
        <v>0</v>
      </c>
      <c r="AN176" s="6"/>
      <c r="AO176" s="6">
        <v>0</v>
      </c>
      <c r="AP176" s="6"/>
      <c r="AQ176" s="6">
        <v>0</v>
      </c>
      <c r="AR176" s="6"/>
      <c r="AS176" s="8">
        <f t="shared" si="39"/>
        <v>2015715</v>
      </c>
      <c r="AT176" s="8"/>
      <c r="AU176" s="6">
        <v>0</v>
      </c>
      <c r="AV176" s="6"/>
      <c r="AW176" s="6">
        <v>0</v>
      </c>
      <c r="AX176" s="6"/>
      <c r="AY176" s="6">
        <f t="shared" si="43"/>
        <v>10825621</v>
      </c>
      <c r="AZ176" s="6"/>
      <c r="BA176" s="6" t="s">
        <v>206</v>
      </c>
      <c r="BB176" s="18"/>
      <c r="BC176" s="6" t="s">
        <v>207</v>
      </c>
      <c r="BD176" s="6"/>
      <c r="BE176" s="6">
        <v>0</v>
      </c>
      <c r="BF176" s="6"/>
      <c r="BG176" s="6">
        <v>0</v>
      </c>
      <c r="BH176" s="6"/>
      <c r="BI176" s="6">
        <v>0</v>
      </c>
      <c r="BJ176" s="6"/>
      <c r="BK176" s="6">
        <f>367696+233886</f>
        <v>601582</v>
      </c>
      <c r="BL176" s="6"/>
      <c r="BM176" s="6">
        <f t="shared" si="37"/>
        <v>601582</v>
      </c>
      <c r="BN176" s="17" t="s">
        <v>345</v>
      </c>
    </row>
    <row r="177" spans="1:68" ht="12.75" hidden="1" customHeight="1" x14ac:dyDescent="0.2">
      <c r="A177" s="7" t="s">
        <v>208</v>
      </c>
      <c r="C177" s="7" t="s">
        <v>209</v>
      </c>
      <c r="D177" s="7"/>
      <c r="E177" s="6">
        <f t="shared" si="40"/>
        <v>0</v>
      </c>
      <c r="F177" s="6"/>
      <c r="G177" s="6"/>
      <c r="H177" s="6"/>
      <c r="I177" s="6"/>
      <c r="J177" s="6"/>
      <c r="K177" s="6">
        <f t="shared" si="41"/>
        <v>0</v>
      </c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>
        <f t="shared" si="42"/>
        <v>0</v>
      </c>
      <c r="X177" s="6"/>
      <c r="Y177" s="7" t="s">
        <v>208</v>
      </c>
      <c r="Z177" s="18"/>
      <c r="AA177" s="7" t="s">
        <v>209</v>
      </c>
      <c r="AB177" s="7"/>
      <c r="AC177" s="6"/>
      <c r="AD177" s="6"/>
      <c r="AE177" s="6"/>
      <c r="AF177" s="6"/>
      <c r="AG177" s="6"/>
      <c r="AH177" s="6"/>
      <c r="AI177" s="8">
        <f t="shared" si="38"/>
        <v>0</v>
      </c>
      <c r="AJ177" s="8"/>
      <c r="AK177" s="6"/>
      <c r="AL177" s="6"/>
      <c r="AM177" s="6"/>
      <c r="AN177" s="6"/>
      <c r="AO177" s="6"/>
      <c r="AP177" s="6"/>
      <c r="AQ177" s="6"/>
      <c r="AR177" s="6"/>
      <c r="AS177" s="8">
        <f t="shared" si="39"/>
        <v>0</v>
      </c>
      <c r="AT177" s="8"/>
      <c r="AU177" s="6">
        <v>0</v>
      </c>
      <c r="AV177" s="6"/>
      <c r="AW177" s="6">
        <v>0</v>
      </c>
      <c r="AX177" s="6"/>
      <c r="AY177" s="6">
        <f t="shared" si="43"/>
        <v>0</v>
      </c>
      <c r="AZ177" s="6"/>
      <c r="BA177" s="7" t="s">
        <v>208</v>
      </c>
      <c r="BB177" s="18"/>
      <c r="BC177" s="7" t="s">
        <v>209</v>
      </c>
      <c r="BD177" s="7"/>
      <c r="BE177" s="6"/>
      <c r="BF177" s="6"/>
      <c r="BG177" s="6"/>
      <c r="BH177" s="6"/>
      <c r="BI177" s="6"/>
      <c r="BJ177" s="6"/>
      <c r="BK177" s="6"/>
      <c r="BL177" s="6"/>
      <c r="BM177" s="6">
        <f t="shared" si="37"/>
        <v>0</v>
      </c>
      <c r="BN177" s="17" t="s">
        <v>345</v>
      </c>
    </row>
    <row r="178" spans="1:68" ht="12.75" hidden="1" customHeight="1" x14ac:dyDescent="0.2">
      <c r="A178" s="7" t="s">
        <v>210</v>
      </c>
      <c r="C178" s="7" t="s">
        <v>211</v>
      </c>
      <c r="D178" s="7"/>
      <c r="E178" s="6">
        <f t="shared" si="40"/>
        <v>0</v>
      </c>
      <c r="F178" s="6"/>
      <c r="G178" s="6"/>
      <c r="H178" s="6"/>
      <c r="I178" s="6"/>
      <c r="J178" s="6"/>
      <c r="K178" s="6">
        <f t="shared" si="41"/>
        <v>0</v>
      </c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>
        <f t="shared" si="42"/>
        <v>0</v>
      </c>
      <c r="X178" s="6"/>
      <c r="Y178" s="7" t="s">
        <v>210</v>
      </c>
      <c r="Z178" s="18"/>
      <c r="AA178" s="7" t="s">
        <v>211</v>
      </c>
      <c r="AB178" s="7"/>
      <c r="AC178" s="6"/>
      <c r="AD178" s="6"/>
      <c r="AE178" s="6"/>
      <c r="AF178" s="6"/>
      <c r="AG178" s="6"/>
      <c r="AH178" s="6"/>
      <c r="AI178" s="8">
        <f t="shared" si="38"/>
        <v>0</v>
      </c>
      <c r="AJ178" s="8"/>
      <c r="AK178" s="6"/>
      <c r="AL178" s="6"/>
      <c r="AM178" s="6"/>
      <c r="AN178" s="6"/>
      <c r="AO178" s="6"/>
      <c r="AP178" s="6"/>
      <c r="AQ178" s="6"/>
      <c r="AR178" s="6"/>
      <c r="AS178" s="8">
        <f t="shared" si="39"/>
        <v>0</v>
      </c>
      <c r="AT178" s="8"/>
      <c r="AU178" s="6">
        <v>0</v>
      </c>
      <c r="AV178" s="6"/>
      <c r="AW178" s="6">
        <v>0</v>
      </c>
      <c r="AX178" s="6"/>
      <c r="AY178" s="6">
        <f t="shared" si="43"/>
        <v>0</v>
      </c>
      <c r="AZ178" s="6"/>
      <c r="BA178" s="7" t="s">
        <v>210</v>
      </c>
      <c r="BB178" s="18"/>
      <c r="BC178" s="7" t="s">
        <v>211</v>
      </c>
      <c r="BD178" s="7"/>
      <c r="BE178" s="6"/>
      <c r="BF178" s="6"/>
      <c r="BG178" s="6"/>
      <c r="BH178" s="6"/>
      <c r="BI178" s="6"/>
      <c r="BJ178" s="6"/>
      <c r="BK178" s="6"/>
      <c r="BL178" s="6"/>
      <c r="BM178" s="6">
        <f t="shared" si="37"/>
        <v>0</v>
      </c>
      <c r="BN178" s="17" t="s">
        <v>345</v>
      </c>
    </row>
    <row r="179" spans="1:68" ht="12.75" hidden="1" customHeight="1" x14ac:dyDescent="0.2">
      <c r="A179" s="7" t="s">
        <v>212</v>
      </c>
      <c r="C179" s="7" t="s">
        <v>84</v>
      </c>
      <c r="D179" s="7"/>
      <c r="E179" s="6">
        <f t="shared" si="40"/>
        <v>0</v>
      </c>
      <c r="F179" s="6"/>
      <c r="G179" s="6"/>
      <c r="H179" s="6"/>
      <c r="I179" s="6"/>
      <c r="J179" s="6"/>
      <c r="K179" s="6">
        <f t="shared" si="41"/>
        <v>0</v>
      </c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>
        <f t="shared" si="42"/>
        <v>0</v>
      </c>
      <c r="X179" s="6"/>
      <c r="Y179" s="7" t="s">
        <v>212</v>
      </c>
      <c r="Z179" s="18"/>
      <c r="AA179" s="7" t="s">
        <v>84</v>
      </c>
      <c r="AB179" s="7"/>
      <c r="AC179" s="6"/>
      <c r="AD179" s="6"/>
      <c r="AE179" s="6"/>
      <c r="AF179" s="6"/>
      <c r="AG179" s="6"/>
      <c r="AH179" s="6"/>
      <c r="AI179" s="8">
        <f t="shared" si="38"/>
        <v>0</v>
      </c>
      <c r="AJ179" s="8"/>
      <c r="AK179" s="6"/>
      <c r="AL179" s="6"/>
      <c r="AM179" s="6"/>
      <c r="AN179" s="6"/>
      <c r="AO179" s="6"/>
      <c r="AP179" s="6"/>
      <c r="AQ179" s="6"/>
      <c r="AR179" s="6"/>
      <c r="AS179" s="8">
        <f t="shared" si="39"/>
        <v>0</v>
      </c>
      <c r="AT179" s="8"/>
      <c r="AU179" s="6">
        <v>0</v>
      </c>
      <c r="AV179" s="6"/>
      <c r="AW179" s="6">
        <v>0</v>
      </c>
      <c r="AX179" s="6"/>
      <c r="AY179" s="6">
        <f t="shared" si="43"/>
        <v>0</v>
      </c>
      <c r="AZ179" s="6"/>
      <c r="BA179" s="7" t="s">
        <v>212</v>
      </c>
      <c r="BB179" s="18"/>
      <c r="BC179" s="7" t="s">
        <v>84</v>
      </c>
      <c r="BD179" s="7"/>
      <c r="BE179" s="6"/>
      <c r="BF179" s="6"/>
      <c r="BG179" s="6"/>
      <c r="BH179" s="6"/>
      <c r="BI179" s="6"/>
      <c r="BJ179" s="6"/>
      <c r="BK179" s="6"/>
      <c r="BL179" s="6"/>
      <c r="BM179" s="6">
        <f t="shared" si="37"/>
        <v>0</v>
      </c>
      <c r="BN179" s="17" t="s">
        <v>345</v>
      </c>
    </row>
    <row r="180" spans="1:68" ht="12.75" hidden="1" customHeight="1" x14ac:dyDescent="0.2">
      <c r="A180" s="6" t="s">
        <v>213</v>
      </c>
      <c r="C180" s="6" t="s">
        <v>20</v>
      </c>
      <c r="D180" s="6"/>
      <c r="E180" s="6">
        <f t="shared" si="40"/>
        <v>0</v>
      </c>
      <c r="F180" s="6"/>
      <c r="G180" s="6"/>
      <c r="H180" s="6"/>
      <c r="I180" s="6"/>
      <c r="J180" s="6"/>
      <c r="K180" s="6">
        <f t="shared" si="41"/>
        <v>0</v>
      </c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>
        <f t="shared" si="42"/>
        <v>0</v>
      </c>
      <c r="X180" s="6"/>
      <c r="Y180" s="6" t="s">
        <v>213</v>
      </c>
      <c r="Z180" s="18"/>
      <c r="AA180" s="6" t="s">
        <v>20</v>
      </c>
      <c r="AB180" s="6"/>
      <c r="AC180" s="6"/>
      <c r="AD180" s="6"/>
      <c r="AE180" s="6"/>
      <c r="AF180" s="6"/>
      <c r="AG180" s="6"/>
      <c r="AH180" s="6"/>
      <c r="AI180" s="8">
        <f t="shared" si="38"/>
        <v>0</v>
      </c>
      <c r="AJ180" s="8"/>
      <c r="AK180" s="6"/>
      <c r="AL180" s="6"/>
      <c r="AM180" s="6"/>
      <c r="AN180" s="6"/>
      <c r="AO180" s="6"/>
      <c r="AP180" s="6"/>
      <c r="AQ180" s="6"/>
      <c r="AR180" s="6"/>
      <c r="AS180" s="8">
        <f t="shared" si="39"/>
        <v>0</v>
      </c>
      <c r="AT180" s="8"/>
      <c r="AU180" s="6">
        <v>0</v>
      </c>
      <c r="AV180" s="6"/>
      <c r="AW180" s="6">
        <v>0</v>
      </c>
      <c r="AX180" s="6"/>
      <c r="AY180" s="6">
        <f t="shared" si="43"/>
        <v>0</v>
      </c>
      <c r="AZ180" s="6"/>
      <c r="BA180" s="6" t="s">
        <v>213</v>
      </c>
      <c r="BB180" s="18"/>
      <c r="BC180" s="6" t="s">
        <v>20</v>
      </c>
      <c r="BD180" s="6"/>
      <c r="BE180" s="6"/>
      <c r="BF180" s="6"/>
      <c r="BG180" s="6"/>
      <c r="BH180" s="6"/>
      <c r="BI180" s="6"/>
      <c r="BJ180" s="6"/>
      <c r="BK180" s="6"/>
      <c r="BL180" s="6"/>
      <c r="BM180" s="6">
        <f t="shared" si="37"/>
        <v>0</v>
      </c>
      <c r="BN180" s="17" t="s">
        <v>345</v>
      </c>
    </row>
    <row r="181" spans="1:68" ht="12.75" hidden="1" customHeight="1" x14ac:dyDescent="0.2">
      <c r="A181" s="6" t="s">
        <v>214</v>
      </c>
      <c r="C181" s="6" t="s">
        <v>43</v>
      </c>
      <c r="D181" s="6"/>
      <c r="E181" s="6">
        <f t="shared" si="40"/>
        <v>0</v>
      </c>
      <c r="F181" s="6"/>
      <c r="G181" s="6"/>
      <c r="H181" s="6"/>
      <c r="I181" s="6"/>
      <c r="J181" s="6"/>
      <c r="K181" s="6">
        <f t="shared" si="41"/>
        <v>0</v>
      </c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>
        <f t="shared" si="42"/>
        <v>0</v>
      </c>
      <c r="X181" s="6"/>
      <c r="Y181" s="6" t="s">
        <v>214</v>
      </c>
      <c r="Z181" s="18"/>
      <c r="AA181" s="6" t="s">
        <v>43</v>
      </c>
      <c r="AB181" s="6"/>
      <c r="AC181" s="6"/>
      <c r="AD181" s="6"/>
      <c r="AE181" s="6"/>
      <c r="AF181" s="6"/>
      <c r="AG181" s="6"/>
      <c r="AH181" s="6"/>
      <c r="AI181" s="8">
        <f t="shared" si="38"/>
        <v>0</v>
      </c>
      <c r="AJ181" s="8"/>
      <c r="AK181" s="6"/>
      <c r="AL181" s="6"/>
      <c r="AM181" s="6"/>
      <c r="AN181" s="6"/>
      <c r="AO181" s="6"/>
      <c r="AP181" s="6"/>
      <c r="AQ181" s="6"/>
      <c r="AR181" s="6"/>
      <c r="AS181" s="8">
        <f t="shared" si="39"/>
        <v>0</v>
      </c>
      <c r="AT181" s="8"/>
      <c r="AU181" s="6">
        <v>0</v>
      </c>
      <c r="AV181" s="6"/>
      <c r="AW181" s="6">
        <v>0</v>
      </c>
      <c r="AX181" s="6"/>
      <c r="AY181" s="6">
        <f t="shared" si="43"/>
        <v>0</v>
      </c>
      <c r="AZ181" s="6"/>
      <c r="BA181" s="6" t="s">
        <v>214</v>
      </c>
      <c r="BB181" s="18"/>
      <c r="BC181" s="6" t="s">
        <v>43</v>
      </c>
      <c r="BD181" s="6"/>
      <c r="BE181" s="6"/>
      <c r="BF181" s="6"/>
      <c r="BG181" s="6"/>
      <c r="BH181" s="6"/>
      <c r="BI181" s="6"/>
      <c r="BJ181" s="6"/>
      <c r="BK181" s="6"/>
      <c r="BL181" s="6"/>
      <c r="BM181" s="6">
        <f t="shared" si="37"/>
        <v>0</v>
      </c>
      <c r="BN181" s="17" t="s">
        <v>345</v>
      </c>
    </row>
    <row r="182" spans="1:68" ht="12.75" hidden="1" customHeight="1" x14ac:dyDescent="0.2">
      <c r="A182" s="6" t="s">
        <v>215</v>
      </c>
      <c r="C182" s="6" t="s">
        <v>41</v>
      </c>
      <c r="D182" s="6"/>
      <c r="E182" s="6">
        <f t="shared" si="40"/>
        <v>0</v>
      </c>
      <c r="F182" s="6"/>
      <c r="G182" s="6"/>
      <c r="H182" s="6"/>
      <c r="I182" s="6"/>
      <c r="J182" s="6"/>
      <c r="K182" s="6">
        <f t="shared" si="41"/>
        <v>0</v>
      </c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>
        <f t="shared" si="42"/>
        <v>0</v>
      </c>
      <c r="X182" s="6"/>
      <c r="Y182" s="6" t="s">
        <v>215</v>
      </c>
      <c r="Z182" s="18"/>
      <c r="AA182" s="6" t="s">
        <v>41</v>
      </c>
      <c r="AB182" s="6"/>
      <c r="AC182" s="6"/>
      <c r="AD182" s="6"/>
      <c r="AE182" s="6"/>
      <c r="AF182" s="6"/>
      <c r="AG182" s="6"/>
      <c r="AH182" s="6"/>
      <c r="AI182" s="8">
        <f t="shared" si="38"/>
        <v>0</v>
      </c>
      <c r="AJ182" s="8"/>
      <c r="AK182" s="6"/>
      <c r="AL182" s="6"/>
      <c r="AM182" s="6"/>
      <c r="AN182" s="6"/>
      <c r="AO182" s="6"/>
      <c r="AP182" s="6"/>
      <c r="AQ182" s="6"/>
      <c r="AR182" s="6"/>
      <c r="AS182" s="8">
        <f t="shared" si="39"/>
        <v>0</v>
      </c>
      <c r="AT182" s="8"/>
      <c r="AU182" s="6">
        <v>0</v>
      </c>
      <c r="AV182" s="6"/>
      <c r="AW182" s="6">
        <v>0</v>
      </c>
      <c r="AX182" s="6"/>
      <c r="AY182" s="6">
        <f t="shared" si="43"/>
        <v>0</v>
      </c>
      <c r="AZ182" s="6"/>
      <c r="BA182" s="6" t="s">
        <v>215</v>
      </c>
      <c r="BB182" s="18"/>
      <c r="BC182" s="6" t="s">
        <v>41</v>
      </c>
      <c r="BD182" s="6"/>
      <c r="BE182" s="6"/>
      <c r="BF182" s="6"/>
      <c r="BG182" s="6"/>
      <c r="BH182" s="6"/>
      <c r="BI182" s="6"/>
      <c r="BJ182" s="6"/>
      <c r="BK182" s="6"/>
      <c r="BL182" s="6"/>
      <c r="BM182" s="6">
        <f t="shared" si="37"/>
        <v>0</v>
      </c>
      <c r="BN182" s="17" t="s">
        <v>345</v>
      </c>
    </row>
    <row r="183" spans="1:68" ht="12.75" hidden="1" customHeight="1" x14ac:dyDescent="0.2">
      <c r="A183" s="6" t="s">
        <v>216</v>
      </c>
      <c r="C183" s="6" t="s">
        <v>25</v>
      </c>
      <c r="D183" s="6"/>
      <c r="E183" s="6">
        <f t="shared" si="40"/>
        <v>0</v>
      </c>
      <c r="F183" s="6"/>
      <c r="G183" s="6"/>
      <c r="H183" s="6"/>
      <c r="I183" s="6"/>
      <c r="J183" s="6"/>
      <c r="K183" s="6">
        <f t="shared" si="41"/>
        <v>0</v>
      </c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>
        <f t="shared" si="42"/>
        <v>0</v>
      </c>
      <c r="X183" s="6"/>
      <c r="Y183" s="6" t="s">
        <v>216</v>
      </c>
      <c r="Z183" s="18"/>
      <c r="AA183" s="6" t="s">
        <v>25</v>
      </c>
      <c r="AB183" s="6"/>
      <c r="AC183" s="6"/>
      <c r="AD183" s="6"/>
      <c r="AE183" s="6"/>
      <c r="AF183" s="6"/>
      <c r="AG183" s="6"/>
      <c r="AH183" s="6"/>
      <c r="AI183" s="8">
        <f t="shared" si="38"/>
        <v>0</v>
      </c>
      <c r="AJ183" s="8"/>
      <c r="AK183" s="6"/>
      <c r="AL183" s="6"/>
      <c r="AM183" s="6"/>
      <c r="AN183" s="6"/>
      <c r="AO183" s="6"/>
      <c r="AP183" s="6"/>
      <c r="AQ183" s="6"/>
      <c r="AR183" s="6"/>
      <c r="AS183" s="8">
        <f t="shared" si="39"/>
        <v>0</v>
      </c>
      <c r="AT183" s="8"/>
      <c r="AU183" s="6">
        <v>0</v>
      </c>
      <c r="AV183" s="6"/>
      <c r="AW183" s="6">
        <v>0</v>
      </c>
      <c r="AX183" s="6"/>
      <c r="AY183" s="6">
        <f t="shared" si="43"/>
        <v>0</v>
      </c>
      <c r="AZ183" s="6"/>
      <c r="BA183" s="6" t="s">
        <v>216</v>
      </c>
      <c r="BB183" s="18"/>
      <c r="BC183" s="6" t="s">
        <v>25</v>
      </c>
      <c r="BD183" s="6"/>
      <c r="BE183" s="6"/>
      <c r="BF183" s="6"/>
      <c r="BG183" s="6"/>
      <c r="BH183" s="6"/>
      <c r="BI183" s="6"/>
      <c r="BJ183" s="6"/>
      <c r="BK183" s="6"/>
      <c r="BL183" s="6"/>
      <c r="BM183" s="6">
        <f t="shared" si="37"/>
        <v>0</v>
      </c>
      <c r="BN183" s="17" t="s">
        <v>345</v>
      </c>
      <c r="BO183" s="6"/>
      <c r="BP183" s="6"/>
    </row>
    <row r="184" spans="1:68" ht="12.75" hidden="1" customHeight="1" x14ac:dyDescent="0.2">
      <c r="A184" s="6" t="s">
        <v>217</v>
      </c>
      <c r="C184" s="6" t="s">
        <v>197</v>
      </c>
      <c r="D184" s="6"/>
      <c r="E184" s="6">
        <f t="shared" si="40"/>
        <v>0</v>
      </c>
      <c r="F184" s="6"/>
      <c r="G184" s="6"/>
      <c r="H184" s="6"/>
      <c r="I184" s="6"/>
      <c r="J184" s="6"/>
      <c r="K184" s="6">
        <f t="shared" si="41"/>
        <v>0</v>
      </c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>
        <f t="shared" si="42"/>
        <v>0</v>
      </c>
      <c r="X184" s="6"/>
      <c r="Y184" s="6" t="s">
        <v>217</v>
      </c>
      <c r="Z184" s="18"/>
      <c r="AA184" s="6" t="s">
        <v>197</v>
      </c>
      <c r="AB184" s="6"/>
      <c r="AC184" s="6"/>
      <c r="AD184" s="6"/>
      <c r="AE184" s="6"/>
      <c r="AF184" s="6"/>
      <c r="AG184" s="6"/>
      <c r="AH184" s="6"/>
      <c r="AI184" s="8">
        <f t="shared" si="38"/>
        <v>0</v>
      </c>
      <c r="AJ184" s="8"/>
      <c r="AK184" s="6"/>
      <c r="AL184" s="6"/>
      <c r="AM184" s="6"/>
      <c r="AN184" s="6"/>
      <c r="AO184" s="6"/>
      <c r="AP184" s="6"/>
      <c r="AQ184" s="6"/>
      <c r="AR184" s="6"/>
      <c r="AS184" s="8">
        <f t="shared" si="39"/>
        <v>0</v>
      </c>
      <c r="AT184" s="8"/>
      <c r="AU184" s="6">
        <v>0</v>
      </c>
      <c r="AV184" s="6"/>
      <c r="AW184" s="6">
        <v>0</v>
      </c>
      <c r="AX184" s="6"/>
      <c r="AY184" s="6">
        <f t="shared" si="43"/>
        <v>0</v>
      </c>
      <c r="AZ184" s="6"/>
      <c r="BA184" s="6" t="s">
        <v>217</v>
      </c>
      <c r="BB184" s="18"/>
      <c r="BC184" s="6" t="s">
        <v>197</v>
      </c>
      <c r="BD184" s="6"/>
      <c r="BE184" s="6"/>
      <c r="BF184" s="6"/>
      <c r="BG184" s="6"/>
      <c r="BH184" s="6"/>
      <c r="BI184" s="6"/>
      <c r="BJ184" s="6"/>
      <c r="BK184" s="6"/>
      <c r="BL184" s="6"/>
      <c r="BM184" s="6">
        <f t="shared" si="37"/>
        <v>0</v>
      </c>
      <c r="BN184" s="17" t="s">
        <v>345</v>
      </c>
    </row>
    <row r="185" spans="1:68" ht="12.75" hidden="1" customHeight="1" x14ac:dyDescent="0.2">
      <c r="A185" s="6" t="s">
        <v>218</v>
      </c>
      <c r="C185" s="6" t="s">
        <v>64</v>
      </c>
      <c r="D185" s="6"/>
      <c r="E185" s="6">
        <f t="shared" si="40"/>
        <v>0</v>
      </c>
      <c r="F185" s="6"/>
      <c r="G185" s="6"/>
      <c r="H185" s="6"/>
      <c r="I185" s="6"/>
      <c r="J185" s="6"/>
      <c r="K185" s="6">
        <f t="shared" si="41"/>
        <v>0</v>
      </c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>
        <f t="shared" si="42"/>
        <v>0</v>
      </c>
      <c r="X185" s="6"/>
      <c r="Y185" s="6" t="s">
        <v>218</v>
      </c>
      <c r="Z185" s="18"/>
      <c r="AA185" s="6" t="s">
        <v>64</v>
      </c>
      <c r="AB185" s="6"/>
      <c r="AC185" s="6"/>
      <c r="AD185" s="6"/>
      <c r="AE185" s="6"/>
      <c r="AF185" s="6"/>
      <c r="AG185" s="6"/>
      <c r="AH185" s="6"/>
      <c r="AI185" s="8">
        <f t="shared" si="38"/>
        <v>0</v>
      </c>
      <c r="AJ185" s="8"/>
      <c r="AK185" s="6"/>
      <c r="AL185" s="6"/>
      <c r="AM185" s="6"/>
      <c r="AN185" s="6"/>
      <c r="AO185" s="6"/>
      <c r="AP185" s="6"/>
      <c r="AQ185" s="6"/>
      <c r="AR185" s="6"/>
      <c r="AS185" s="8">
        <f t="shared" si="39"/>
        <v>0</v>
      </c>
      <c r="AT185" s="8"/>
      <c r="AU185" s="6">
        <v>0</v>
      </c>
      <c r="AV185" s="6"/>
      <c r="AW185" s="6">
        <v>0</v>
      </c>
      <c r="AX185" s="6"/>
      <c r="AY185" s="6">
        <f t="shared" si="43"/>
        <v>0</v>
      </c>
      <c r="AZ185" s="6"/>
      <c r="BA185" s="6" t="s">
        <v>218</v>
      </c>
      <c r="BB185" s="18"/>
      <c r="BC185" s="6" t="s">
        <v>64</v>
      </c>
      <c r="BD185" s="6"/>
      <c r="BE185" s="6"/>
      <c r="BF185" s="6"/>
      <c r="BG185" s="6"/>
      <c r="BH185" s="6"/>
      <c r="BI185" s="6"/>
      <c r="BJ185" s="6"/>
      <c r="BK185" s="6"/>
      <c r="BL185" s="6"/>
      <c r="BM185" s="6">
        <f t="shared" si="37"/>
        <v>0</v>
      </c>
      <c r="BN185" s="35" t="s">
        <v>345</v>
      </c>
    </row>
    <row r="186" spans="1:68" ht="12.75" hidden="1" customHeight="1" x14ac:dyDescent="0.2">
      <c r="A186" s="6" t="s">
        <v>219</v>
      </c>
      <c r="C186" s="6" t="s">
        <v>25</v>
      </c>
      <c r="D186" s="6"/>
      <c r="E186" s="6">
        <f t="shared" si="40"/>
        <v>0</v>
      </c>
      <c r="F186" s="6"/>
      <c r="G186" s="6"/>
      <c r="H186" s="6"/>
      <c r="I186" s="6"/>
      <c r="J186" s="6"/>
      <c r="K186" s="6">
        <f t="shared" si="41"/>
        <v>0</v>
      </c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>
        <f t="shared" si="42"/>
        <v>0</v>
      </c>
      <c r="X186" s="6"/>
      <c r="Y186" s="6" t="s">
        <v>219</v>
      </c>
      <c r="Z186" s="18"/>
      <c r="AA186" s="6" t="s">
        <v>25</v>
      </c>
      <c r="AB186" s="6"/>
      <c r="AC186" s="6"/>
      <c r="AD186" s="6"/>
      <c r="AE186" s="6"/>
      <c r="AF186" s="6"/>
      <c r="AG186" s="6"/>
      <c r="AH186" s="6"/>
      <c r="AI186" s="8">
        <f t="shared" si="38"/>
        <v>0</v>
      </c>
      <c r="AJ186" s="8"/>
      <c r="AK186" s="6"/>
      <c r="AL186" s="6"/>
      <c r="AM186" s="6"/>
      <c r="AN186" s="6"/>
      <c r="AO186" s="6"/>
      <c r="AP186" s="6"/>
      <c r="AQ186" s="6"/>
      <c r="AR186" s="6"/>
      <c r="AS186" s="8">
        <f t="shared" si="39"/>
        <v>0</v>
      </c>
      <c r="AT186" s="8"/>
      <c r="AU186" s="6">
        <v>0</v>
      </c>
      <c r="AV186" s="6"/>
      <c r="AW186" s="6">
        <v>0</v>
      </c>
      <c r="AX186" s="6"/>
      <c r="AY186" s="6">
        <f t="shared" si="43"/>
        <v>0</v>
      </c>
      <c r="AZ186" s="6"/>
      <c r="BA186" s="6" t="s">
        <v>219</v>
      </c>
      <c r="BB186" s="18"/>
      <c r="BC186" s="6" t="s">
        <v>25</v>
      </c>
      <c r="BD186" s="6"/>
      <c r="BE186" s="6"/>
      <c r="BF186" s="6"/>
      <c r="BG186" s="6"/>
      <c r="BH186" s="6"/>
      <c r="BI186" s="6"/>
      <c r="BJ186" s="6"/>
      <c r="BK186" s="6"/>
      <c r="BL186" s="6"/>
      <c r="BM186" s="6">
        <f t="shared" si="37"/>
        <v>0</v>
      </c>
      <c r="BN186" s="35" t="s">
        <v>345</v>
      </c>
    </row>
    <row r="187" spans="1:68" ht="12.75" hidden="1" customHeight="1" x14ac:dyDescent="0.2">
      <c r="A187" s="6" t="s">
        <v>220</v>
      </c>
      <c r="C187" s="6" t="s">
        <v>45</v>
      </c>
      <c r="D187" s="6"/>
      <c r="E187" s="6">
        <f t="shared" si="40"/>
        <v>0</v>
      </c>
      <c r="F187" s="6"/>
      <c r="G187" s="6"/>
      <c r="H187" s="6"/>
      <c r="I187" s="6"/>
      <c r="J187" s="6"/>
      <c r="K187" s="6">
        <f t="shared" si="41"/>
        <v>0</v>
      </c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>
        <f t="shared" si="42"/>
        <v>0</v>
      </c>
      <c r="X187" s="6"/>
      <c r="Y187" s="6" t="s">
        <v>220</v>
      </c>
      <c r="Z187" s="18"/>
      <c r="AA187" s="6" t="s">
        <v>45</v>
      </c>
      <c r="AB187" s="6"/>
      <c r="AC187" s="6"/>
      <c r="AD187" s="6"/>
      <c r="AE187" s="6"/>
      <c r="AF187" s="6"/>
      <c r="AG187" s="6"/>
      <c r="AH187" s="6"/>
      <c r="AI187" s="8">
        <f t="shared" si="38"/>
        <v>0</v>
      </c>
      <c r="AJ187" s="8"/>
      <c r="AK187" s="6"/>
      <c r="AL187" s="6"/>
      <c r="AM187" s="6"/>
      <c r="AN187" s="6"/>
      <c r="AO187" s="6"/>
      <c r="AP187" s="6"/>
      <c r="AQ187" s="6"/>
      <c r="AR187" s="6"/>
      <c r="AS187" s="8">
        <f t="shared" si="39"/>
        <v>0</v>
      </c>
      <c r="AT187" s="8"/>
      <c r="AU187" s="6">
        <v>0</v>
      </c>
      <c r="AV187" s="6"/>
      <c r="AW187" s="6">
        <v>0</v>
      </c>
      <c r="AX187" s="6"/>
      <c r="AY187" s="6">
        <f t="shared" si="43"/>
        <v>0</v>
      </c>
      <c r="AZ187" s="6"/>
      <c r="BA187" s="6" t="s">
        <v>220</v>
      </c>
      <c r="BB187" s="18"/>
      <c r="BC187" s="6" t="s">
        <v>45</v>
      </c>
      <c r="BD187" s="6"/>
      <c r="BE187" s="6"/>
      <c r="BF187" s="6"/>
      <c r="BG187" s="6"/>
      <c r="BH187" s="6"/>
      <c r="BI187" s="6"/>
      <c r="BJ187" s="6"/>
      <c r="BK187" s="6"/>
      <c r="BL187" s="6"/>
      <c r="BM187" s="6">
        <f t="shared" si="37"/>
        <v>0</v>
      </c>
      <c r="BN187" s="35" t="s">
        <v>345</v>
      </c>
    </row>
    <row r="188" spans="1:68" ht="12.75" hidden="1" customHeight="1" x14ac:dyDescent="0.2">
      <c r="A188" s="6" t="s">
        <v>221</v>
      </c>
      <c r="C188" s="6" t="s">
        <v>92</v>
      </c>
      <c r="D188" s="6"/>
      <c r="E188" s="6">
        <f t="shared" si="40"/>
        <v>0</v>
      </c>
      <c r="F188" s="6"/>
      <c r="G188" s="6"/>
      <c r="H188" s="6"/>
      <c r="I188" s="6"/>
      <c r="J188" s="6"/>
      <c r="K188" s="6">
        <f t="shared" si="41"/>
        <v>0</v>
      </c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>
        <f t="shared" si="42"/>
        <v>0</v>
      </c>
      <c r="X188" s="6"/>
      <c r="Y188" s="6" t="s">
        <v>221</v>
      </c>
      <c r="Z188" s="18"/>
      <c r="AA188" s="6" t="s">
        <v>92</v>
      </c>
      <c r="AB188" s="6"/>
      <c r="AC188" s="6"/>
      <c r="AD188" s="6"/>
      <c r="AE188" s="6"/>
      <c r="AF188" s="6"/>
      <c r="AG188" s="6"/>
      <c r="AH188" s="6"/>
      <c r="AI188" s="8">
        <f t="shared" si="38"/>
        <v>0</v>
      </c>
      <c r="AJ188" s="8"/>
      <c r="AK188" s="6"/>
      <c r="AL188" s="6"/>
      <c r="AM188" s="6"/>
      <c r="AN188" s="6"/>
      <c r="AO188" s="6"/>
      <c r="AP188" s="6"/>
      <c r="AQ188" s="6"/>
      <c r="AR188" s="6"/>
      <c r="AS188" s="8">
        <f t="shared" si="39"/>
        <v>0</v>
      </c>
      <c r="AT188" s="8"/>
      <c r="AU188" s="6">
        <v>0</v>
      </c>
      <c r="AV188" s="6"/>
      <c r="AW188" s="6">
        <v>0</v>
      </c>
      <c r="AX188" s="6"/>
      <c r="AY188" s="6">
        <f t="shared" si="43"/>
        <v>0</v>
      </c>
      <c r="AZ188" s="6"/>
      <c r="BA188" s="6" t="s">
        <v>221</v>
      </c>
      <c r="BB188" s="18"/>
      <c r="BC188" s="6" t="s">
        <v>92</v>
      </c>
      <c r="BD188" s="6"/>
      <c r="BE188" s="6"/>
      <c r="BF188" s="6"/>
      <c r="BG188" s="6"/>
      <c r="BH188" s="6"/>
      <c r="BI188" s="6"/>
      <c r="BJ188" s="6"/>
      <c r="BK188" s="6"/>
      <c r="BL188" s="6"/>
      <c r="BM188" s="6">
        <f t="shared" si="37"/>
        <v>0</v>
      </c>
      <c r="BN188" s="35" t="s">
        <v>345</v>
      </c>
    </row>
    <row r="189" spans="1:68" ht="12.75" hidden="1" customHeight="1" x14ac:dyDescent="0.2">
      <c r="A189" s="6" t="s">
        <v>74</v>
      </c>
      <c r="C189" s="6" t="s">
        <v>130</v>
      </c>
      <c r="D189" s="6"/>
      <c r="E189" s="6">
        <f t="shared" si="40"/>
        <v>0</v>
      </c>
      <c r="F189" s="6"/>
      <c r="G189" s="6"/>
      <c r="H189" s="6"/>
      <c r="I189" s="6"/>
      <c r="J189" s="6"/>
      <c r="K189" s="6">
        <f t="shared" si="41"/>
        <v>0</v>
      </c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>
        <f t="shared" si="42"/>
        <v>0</v>
      </c>
      <c r="X189" s="6"/>
      <c r="Y189" s="6" t="s">
        <v>74</v>
      </c>
      <c r="Z189" s="18"/>
      <c r="AA189" s="6" t="s">
        <v>130</v>
      </c>
      <c r="AB189" s="6"/>
      <c r="AC189" s="6"/>
      <c r="AD189" s="6"/>
      <c r="AE189" s="6"/>
      <c r="AF189" s="6"/>
      <c r="AG189" s="6"/>
      <c r="AH189" s="6"/>
      <c r="AI189" s="8">
        <f t="shared" si="38"/>
        <v>0</v>
      </c>
      <c r="AJ189" s="8"/>
      <c r="AK189" s="6"/>
      <c r="AL189" s="6"/>
      <c r="AM189" s="6"/>
      <c r="AN189" s="6"/>
      <c r="AO189" s="6"/>
      <c r="AP189" s="6"/>
      <c r="AQ189" s="6"/>
      <c r="AR189" s="6"/>
      <c r="AS189" s="8">
        <f t="shared" si="39"/>
        <v>0</v>
      </c>
      <c r="AT189" s="8"/>
      <c r="AU189" s="6">
        <v>0</v>
      </c>
      <c r="AV189" s="6"/>
      <c r="AW189" s="6">
        <v>0</v>
      </c>
      <c r="AX189" s="6"/>
      <c r="AY189" s="6">
        <f t="shared" si="43"/>
        <v>0</v>
      </c>
      <c r="AZ189" s="6"/>
      <c r="BA189" s="6" t="s">
        <v>74</v>
      </c>
      <c r="BB189" s="18"/>
      <c r="BC189" s="6" t="s">
        <v>130</v>
      </c>
      <c r="BD189" s="6"/>
      <c r="BE189" s="6"/>
      <c r="BF189" s="6"/>
      <c r="BG189" s="6"/>
      <c r="BH189" s="6"/>
      <c r="BI189" s="6"/>
      <c r="BJ189" s="6"/>
      <c r="BK189" s="6"/>
      <c r="BL189" s="6"/>
      <c r="BM189" s="6">
        <f t="shared" si="37"/>
        <v>0</v>
      </c>
      <c r="BN189" s="17" t="s">
        <v>345</v>
      </c>
    </row>
    <row r="190" spans="1:68" ht="12.75" hidden="1" customHeight="1" x14ac:dyDescent="0.2">
      <c r="A190" s="6" t="s">
        <v>222</v>
      </c>
      <c r="C190" s="6" t="s">
        <v>25</v>
      </c>
      <c r="D190" s="6"/>
      <c r="E190" s="6">
        <f t="shared" si="40"/>
        <v>0</v>
      </c>
      <c r="F190" s="6"/>
      <c r="G190" s="6"/>
      <c r="H190" s="6"/>
      <c r="I190" s="6"/>
      <c r="J190" s="6"/>
      <c r="K190" s="6">
        <f t="shared" si="41"/>
        <v>0</v>
      </c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>
        <f t="shared" si="42"/>
        <v>0</v>
      </c>
      <c r="X190" s="6"/>
      <c r="Y190" s="6" t="s">
        <v>222</v>
      </c>
      <c r="Z190" s="18"/>
      <c r="AA190" s="6" t="s">
        <v>25</v>
      </c>
      <c r="AB190" s="6"/>
      <c r="AC190" s="6"/>
      <c r="AD190" s="6"/>
      <c r="AE190" s="6"/>
      <c r="AF190" s="6"/>
      <c r="AG190" s="6"/>
      <c r="AH190" s="6"/>
      <c r="AI190" s="8">
        <f t="shared" si="38"/>
        <v>0</v>
      </c>
      <c r="AJ190" s="8"/>
      <c r="AK190" s="6"/>
      <c r="AL190" s="6"/>
      <c r="AM190" s="6"/>
      <c r="AN190" s="6"/>
      <c r="AO190" s="6"/>
      <c r="AP190" s="6"/>
      <c r="AQ190" s="6"/>
      <c r="AR190" s="6"/>
      <c r="AS190" s="8">
        <f t="shared" si="39"/>
        <v>0</v>
      </c>
      <c r="AT190" s="8"/>
      <c r="AU190" s="6">
        <v>0</v>
      </c>
      <c r="AV190" s="6"/>
      <c r="AW190" s="6">
        <v>0</v>
      </c>
      <c r="AX190" s="6"/>
      <c r="AY190" s="6">
        <f t="shared" si="43"/>
        <v>0</v>
      </c>
      <c r="AZ190" s="6"/>
      <c r="BA190" s="6" t="s">
        <v>222</v>
      </c>
      <c r="BB190" s="18"/>
      <c r="BC190" s="6" t="s">
        <v>25</v>
      </c>
      <c r="BD190" s="6"/>
      <c r="BE190" s="6"/>
      <c r="BF190" s="6"/>
      <c r="BG190" s="6"/>
      <c r="BH190" s="6"/>
      <c r="BI190" s="6"/>
      <c r="BJ190" s="6"/>
      <c r="BK190" s="6"/>
      <c r="BL190" s="6"/>
      <c r="BM190" s="6">
        <f t="shared" si="37"/>
        <v>0</v>
      </c>
      <c r="BN190" s="17" t="s">
        <v>345</v>
      </c>
      <c r="BO190" s="6"/>
      <c r="BP190" s="6"/>
    </row>
    <row r="191" spans="1:68" ht="12.75" hidden="1" customHeight="1" x14ac:dyDescent="0.2">
      <c r="A191" s="6" t="s">
        <v>223</v>
      </c>
      <c r="C191" s="6" t="s">
        <v>25</v>
      </c>
      <c r="D191" s="6"/>
      <c r="E191" s="6">
        <f t="shared" si="40"/>
        <v>0</v>
      </c>
      <c r="F191" s="6"/>
      <c r="G191" s="6"/>
      <c r="H191" s="6"/>
      <c r="I191" s="6"/>
      <c r="J191" s="6"/>
      <c r="K191" s="6">
        <f t="shared" si="41"/>
        <v>0</v>
      </c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>
        <f t="shared" si="42"/>
        <v>0</v>
      </c>
      <c r="X191" s="6"/>
      <c r="Y191" s="6" t="s">
        <v>223</v>
      </c>
      <c r="Z191" s="18"/>
      <c r="AA191" s="6" t="s">
        <v>25</v>
      </c>
      <c r="AB191" s="6"/>
      <c r="AC191" s="6"/>
      <c r="AD191" s="6"/>
      <c r="AE191" s="6"/>
      <c r="AF191" s="6"/>
      <c r="AG191" s="6"/>
      <c r="AH191" s="6"/>
      <c r="AI191" s="8">
        <f t="shared" si="38"/>
        <v>0</v>
      </c>
      <c r="AJ191" s="8"/>
      <c r="AK191" s="6"/>
      <c r="AL191" s="6"/>
      <c r="AM191" s="6"/>
      <c r="AN191" s="6"/>
      <c r="AO191" s="6"/>
      <c r="AP191" s="6"/>
      <c r="AQ191" s="6"/>
      <c r="AR191" s="6"/>
      <c r="AS191" s="8">
        <f t="shared" si="39"/>
        <v>0</v>
      </c>
      <c r="AT191" s="8"/>
      <c r="AU191" s="6">
        <v>0</v>
      </c>
      <c r="AV191" s="6"/>
      <c r="AW191" s="6">
        <v>0</v>
      </c>
      <c r="AX191" s="6"/>
      <c r="AY191" s="6">
        <f t="shared" si="43"/>
        <v>0</v>
      </c>
      <c r="AZ191" s="6"/>
      <c r="BA191" s="6" t="s">
        <v>223</v>
      </c>
      <c r="BB191" s="18"/>
      <c r="BC191" s="6" t="s">
        <v>25</v>
      </c>
      <c r="BD191" s="6"/>
      <c r="BE191" s="6"/>
      <c r="BF191" s="6"/>
      <c r="BG191" s="6"/>
      <c r="BH191" s="6"/>
      <c r="BI191" s="6"/>
      <c r="BJ191" s="6"/>
      <c r="BK191" s="6"/>
      <c r="BL191" s="6"/>
      <c r="BM191" s="6">
        <f t="shared" si="37"/>
        <v>0</v>
      </c>
      <c r="BN191" s="17" t="s">
        <v>345</v>
      </c>
    </row>
    <row r="192" spans="1:68" ht="12.75" hidden="1" customHeight="1" x14ac:dyDescent="0.2">
      <c r="A192" s="6" t="s">
        <v>224</v>
      </c>
      <c r="C192" s="6" t="s">
        <v>43</v>
      </c>
      <c r="D192" s="6"/>
      <c r="E192" s="6">
        <f t="shared" si="40"/>
        <v>0</v>
      </c>
      <c r="F192" s="6"/>
      <c r="G192" s="6"/>
      <c r="H192" s="6"/>
      <c r="I192" s="6"/>
      <c r="J192" s="6"/>
      <c r="K192" s="6">
        <f t="shared" si="41"/>
        <v>0</v>
      </c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>
        <f t="shared" si="42"/>
        <v>0</v>
      </c>
      <c r="X192" s="6"/>
      <c r="Y192" s="6" t="s">
        <v>224</v>
      </c>
      <c r="Z192" s="18"/>
      <c r="AA192" s="6" t="s">
        <v>43</v>
      </c>
      <c r="AB192" s="6"/>
      <c r="AC192" s="6"/>
      <c r="AD192" s="6"/>
      <c r="AE192" s="6"/>
      <c r="AF192" s="6"/>
      <c r="AG192" s="6"/>
      <c r="AH192" s="6"/>
      <c r="AI192" s="8">
        <f t="shared" si="38"/>
        <v>0</v>
      </c>
      <c r="AJ192" s="8"/>
      <c r="AK192" s="6"/>
      <c r="AL192" s="6"/>
      <c r="AM192" s="6"/>
      <c r="AN192" s="6"/>
      <c r="AO192" s="6"/>
      <c r="AP192" s="6"/>
      <c r="AQ192" s="6"/>
      <c r="AR192" s="6"/>
      <c r="AS192" s="8">
        <f t="shared" si="39"/>
        <v>0</v>
      </c>
      <c r="AT192" s="8"/>
      <c r="AU192" s="6">
        <v>0</v>
      </c>
      <c r="AV192" s="6"/>
      <c r="AW192" s="6">
        <v>0</v>
      </c>
      <c r="AX192" s="6"/>
      <c r="AY192" s="6">
        <f t="shared" si="43"/>
        <v>0</v>
      </c>
      <c r="AZ192" s="6"/>
      <c r="BA192" s="6" t="s">
        <v>224</v>
      </c>
      <c r="BB192" s="18"/>
      <c r="BC192" s="6" t="s">
        <v>43</v>
      </c>
      <c r="BD192" s="6"/>
      <c r="BE192" s="6"/>
      <c r="BF192" s="6"/>
      <c r="BG192" s="6"/>
      <c r="BH192" s="6"/>
      <c r="BI192" s="6"/>
      <c r="BJ192" s="6"/>
      <c r="BK192" s="6"/>
      <c r="BL192" s="6"/>
      <c r="BM192" s="6">
        <f t="shared" si="37"/>
        <v>0</v>
      </c>
      <c r="BN192" s="17" t="s">
        <v>345</v>
      </c>
    </row>
    <row r="193" spans="1:74" ht="12.75" hidden="1" customHeight="1" x14ac:dyDescent="0.2">
      <c r="A193" s="6" t="s">
        <v>225</v>
      </c>
      <c r="C193" s="6" t="s">
        <v>15</v>
      </c>
      <c r="D193" s="6"/>
      <c r="E193" s="6">
        <f t="shared" si="40"/>
        <v>0</v>
      </c>
      <c r="F193" s="6"/>
      <c r="G193" s="6"/>
      <c r="H193" s="6"/>
      <c r="I193" s="6"/>
      <c r="J193" s="6"/>
      <c r="K193" s="6">
        <f t="shared" si="41"/>
        <v>0</v>
      </c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>
        <f t="shared" si="42"/>
        <v>0</v>
      </c>
      <c r="X193" s="6"/>
      <c r="Y193" s="6" t="s">
        <v>225</v>
      </c>
      <c r="Z193" s="18"/>
      <c r="AA193" s="6" t="s">
        <v>15</v>
      </c>
      <c r="AB193" s="6"/>
      <c r="AC193" s="6"/>
      <c r="AD193" s="6"/>
      <c r="AE193" s="6"/>
      <c r="AF193" s="6"/>
      <c r="AG193" s="6"/>
      <c r="AH193" s="6"/>
      <c r="AI193" s="8">
        <f t="shared" si="38"/>
        <v>0</v>
      </c>
      <c r="AJ193" s="8"/>
      <c r="AK193" s="6"/>
      <c r="AL193" s="6"/>
      <c r="AM193" s="6"/>
      <c r="AN193" s="6"/>
      <c r="AO193" s="6"/>
      <c r="AP193" s="6"/>
      <c r="AQ193" s="6"/>
      <c r="AR193" s="6"/>
      <c r="AS193" s="8">
        <f t="shared" si="39"/>
        <v>0</v>
      </c>
      <c r="AT193" s="8"/>
      <c r="AU193" s="6">
        <v>0</v>
      </c>
      <c r="AV193" s="6"/>
      <c r="AW193" s="6">
        <v>0</v>
      </c>
      <c r="AX193" s="6"/>
      <c r="AY193" s="6">
        <f t="shared" si="43"/>
        <v>0</v>
      </c>
      <c r="AZ193" s="6"/>
      <c r="BA193" s="6" t="s">
        <v>225</v>
      </c>
      <c r="BB193" s="18"/>
      <c r="BC193" s="6" t="s">
        <v>15</v>
      </c>
      <c r="BD193" s="6"/>
      <c r="BE193" s="6"/>
      <c r="BF193" s="6"/>
      <c r="BG193" s="6"/>
      <c r="BH193" s="6"/>
      <c r="BI193" s="6"/>
      <c r="BJ193" s="6"/>
      <c r="BK193" s="6"/>
      <c r="BL193" s="6"/>
      <c r="BM193" s="6">
        <v>0</v>
      </c>
      <c r="BN193" s="17" t="s">
        <v>345</v>
      </c>
    </row>
    <row r="194" spans="1:74" ht="12.75" customHeight="1" x14ac:dyDescent="0.2">
      <c r="A194" s="6" t="s">
        <v>226</v>
      </c>
      <c r="C194" s="6" t="s">
        <v>151</v>
      </c>
      <c r="D194" s="6"/>
      <c r="E194" s="6">
        <v>7280648</v>
      </c>
      <c r="F194" s="6"/>
      <c r="G194" s="6">
        <v>10660322</v>
      </c>
      <c r="H194" s="6"/>
      <c r="I194" s="6">
        <f>+E194+G194</f>
        <v>17940970</v>
      </c>
      <c r="J194" s="6"/>
      <c r="K194" s="6">
        <v>1090088</v>
      </c>
      <c r="L194" s="6"/>
      <c r="M194" s="6">
        <v>1457822</v>
      </c>
      <c r="N194" s="6"/>
      <c r="O194" s="6">
        <f>+K194+M194</f>
        <v>2547910</v>
      </c>
      <c r="P194" s="6"/>
      <c r="Q194" s="6">
        <v>8365094</v>
      </c>
      <c r="R194" s="6"/>
      <c r="S194" s="6">
        <v>0</v>
      </c>
      <c r="T194" s="6"/>
      <c r="U194" s="6">
        <v>7027966</v>
      </c>
      <c r="V194" s="6"/>
      <c r="W194" s="6">
        <f t="shared" si="42"/>
        <v>15393060</v>
      </c>
      <c r="X194" s="6"/>
      <c r="Y194" s="6" t="s">
        <v>226</v>
      </c>
      <c r="Z194" s="18"/>
      <c r="AA194" s="6" t="s">
        <v>151</v>
      </c>
      <c r="AB194" s="6"/>
      <c r="AC194" s="6">
        <v>10542238</v>
      </c>
      <c r="AD194" s="6"/>
      <c r="AE194" s="6">
        <f>8992730-589189</f>
        <v>8403541</v>
      </c>
      <c r="AF194" s="6"/>
      <c r="AG194" s="6">
        <v>589189</v>
      </c>
      <c r="AH194" s="6"/>
      <c r="AI194" s="8">
        <f t="shared" si="38"/>
        <v>1549508</v>
      </c>
      <c r="AJ194" s="8"/>
      <c r="AK194" s="6">
        <v>-137775</v>
      </c>
      <c r="AL194" s="6"/>
      <c r="AM194" s="6">
        <v>0</v>
      </c>
      <c r="AN194" s="6"/>
      <c r="AO194" s="6">
        <v>0</v>
      </c>
      <c r="AP194" s="6"/>
      <c r="AQ194" s="6">
        <v>0</v>
      </c>
      <c r="AR194" s="6"/>
      <c r="AS194" s="8">
        <f t="shared" si="39"/>
        <v>1411733</v>
      </c>
      <c r="AT194" s="8"/>
      <c r="AU194" s="6">
        <v>0</v>
      </c>
      <c r="AV194" s="6"/>
      <c r="AW194" s="6">
        <v>0</v>
      </c>
      <c r="AX194" s="6"/>
      <c r="AY194" s="6">
        <f t="shared" si="43"/>
        <v>6190560</v>
      </c>
      <c r="AZ194" s="6"/>
      <c r="BA194" s="6" t="s">
        <v>226</v>
      </c>
      <c r="BB194" s="18"/>
      <c r="BC194" s="6" t="s">
        <v>151</v>
      </c>
      <c r="BD194" s="6"/>
      <c r="BE194" s="6">
        <f>1350000+450000</f>
        <v>1800000</v>
      </c>
      <c r="BF194" s="6"/>
      <c r="BG194" s="6">
        <v>0</v>
      </c>
      <c r="BH194" s="6"/>
      <c r="BI194" s="6">
        <v>0</v>
      </c>
      <c r="BJ194" s="6"/>
      <c r="BK194" s="6">
        <f>107822+37943</f>
        <v>145765</v>
      </c>
      <c r="BL194" s="6"/>
      <c r="BM194" s="6">
        <f t="shared" ref="BM194:BM212" si="44">SUM(BE194:BK194)</f>
        <v>1945765</v>
      </c>
      <c r="BN194" s="17" t="s">
        <v>345</v>
      </c>
    </row>
    <row r="195" spans="1:74" ht="12.75" hidden="1" customHeight="1" x14ac:dyDescent="0.2">
      <c r="A195" s="6" t="s">
        <v>227</v>
      </c>
      <c r="C195" s="6" t="s">
        <v>226</v>
      </c>
      <c r="D195" s="6"/>
      <c r="E195" s="6">
        <f t="shared" si="40"/>
        <v>0</v>
      </c>
      <c r="F195" s="6"/>
      <c r="G195" s="6"/>
      <c r="H195" s="6"/>
      <c r="I195" s="6"/>
      <c r="J195" s="6"/>
      <c r="K195" s="6">
        <f t="shared" si="41"/>
        <v>0</v>
      </c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>
        <f t="shared" si="42"/>
        <v>0</v>
      </c>
      <c r="X195" s="6"/>
      <c r="Y195" s="6" t="s">
        <v>227</v>
      </c>
      <c r="Z195" s="18"/>
      <c r="AA195" s="6" t="s">
        <v>226</v>
      </c>
      <c r="AB195" s="6"/>
      <c r="AC195" s="6"/>
      <c r="AD195" s="6"/>
      <c r="AE195" s="6"/>
      <c r="AF195" s="6"/>
      <c r="AG195" s="6"/>
      <c r="AH195" s="6"/>
      <c r="AI195" s="8">
        <f t="shared" si="38"/>
        <v>0</v>
      </c>
      <c r="AJ195" s="8"/>
      <c r="AK195" s="6"/>
      <c r="AL195" s="6"/>
      <c r="AM195" s="6"/>
      <c r="AN195" s="6"/>
      <c r="AO195" s="6"/>
      <c r="AP195" s="6"/>
      <c r="AQ195" s="6"/>
      <c r="AR195" s="6"/>
      <c r="AS195" s="8">
        <f t="shared" si="39"/>
        <v>0</v>
      </c>
      <c r="AT195" s="8"/>
      <c r="AU195" s="6">
        <v>0</v>
      </c>
      <c r="AV195" s="6"/>
      <c r="AW195" s="6">
        <v>0</v>
      </c>
      <c r="AX195" s="6"/>
      <c r="AY195" s="6">
        <f t="shared" si="43"/>
        <v>0</v>
      </c>
      <c r="AZ195" s="6"/>
      <c r="BA195" s="6" t="s">
        <v>227</v>
      </c>
      <c r="BB195" s="18"/>
      <c r="BC195" s="6" t="s">
        <v>226</v>
      </c>
      <c r="BD195" s="6"/>
      <c r="BE195" s="6"/>
      <c r="BF195" s="6"/>
      <c r="BG195" s="6"/>
      <c r="BH195" s="6"/>
      <c r="BI195" s="6"/>
      <c r="BJ195" s="6"/>
      <c r="BK195" s="6"/>
      <c r="BL195" s="6"/>
      <c r="BM195" s="6">
        <f t="shared" si="44"/>
        <v>0</v>
      </c>
      <c r="BN195" s="17" t="s">
        <v>345</v>
      </c>
    </row>
    <row r="196" spans="1:74" ht="12.75" hidden="1" customHeight="1" x14ac:dyDescent="0.2">
      <c r="A196" s="6" t="s">
        <v>228</v>
      </c>
      <c r="C196" s="6" t="s">
        <v>43</v>
      </c>
      <c r="D196" s="6"/>
      <c r="E196" s="6">
        <f t="shared" si="40"/>
        <v>0</v>
      </c>
      <c r="F196" s="6"/>
      <c r="G196" s="6"/>
      <c r="H196" s="6"/>
      <c r="I196" s="6"/>
      <c r="J196" s="6"/>
      <c r="K196" s="6">
        <f t="shared" si="41"/>
        <v>0</v>
      </c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>
        <f t="shared" si="42"/>
        <v>0</v>
      </c>
      <c r="X196" s="6"/>
      <c r="Y196" s="6" t="s">
        <v>228</v>
      </c>
      <c r="Z196" s="18"/>
      <c r="AA196" s="6" t="s">
        <v>43</v>
      </c>
      <c r="AB196" s="6"/>
      <c r="AC196" s="6"/>
      <c r="AD196" s="6"/>
      <c r="AE196" s="6"/>
      <c r="AF196" s="6"/>
      <c r="AG196" s="6"/>
      <c r="AH196" s="6"/>
      <c r="AI196" s="8">
        <f t="shared" si="38"/>
        <v>0</v>
      </c>
      <c r="AJ196" s="8"/>
      <c r="AK196" s="6"/>
      <c r="AL196" s="6"/>
      <c r="AM196" s="6"/>
      <c r="AN196" s="6"/>
      <c r="AO196" s="6"/>
      <c r="AP196" s="6"/>
      <c r="AQ196" s="6"/>
      <c r="AR196" s="6"/>
      <c r="AS196" s="8">
        <f t="shared" si="39"/>
        <v>0</v>
      </c>
      <c r="AT196" s="8"/>
      <c r="AU196" s="6">
        <v>0</v>
      </c>
      <c r="AV196" s="6"/>
      <c r="AW196" s="6">
        <v>0</v>
      </c>
      <c r="AX196" s="6"/>
      <c r="AY196" s="6">
        <f t="shared" si="43"/>
        <v>0</v>
      </c>
      <c r="AZ196" s="6"/>
      <c r="BA196" s="6" t="s">
        <v>228</v>
      </c>
      <c r="BB196" s="18"/>
      <c r="BC196" s="6" t="s">
        <v>43</v>
      </c>
      <c r="BD196" s="6"/>
      <c r="BE196" s="6"/>
      <c r="BF196" s="6"/>
      <c r="BG196" s="6"/>
      <c r="BH196" s="6"/>
      <c r="BI196" s="6"/>
      <c r="BJ196" s="6"/>
      <c r="BK196" s="6"/>
      <c r="BL196" s="6"/>
      <c r="BM196" s="6">
        <f t="shared" si="44"/>
        <v>0</v>
      </c>
      <c r="BN196" s="17" t="s">
        <v>345</v>
      </c>
      <c r="BS196" s="7"/>
    </row>
    <row r="197" spans="1:74" ht="12.75" hidden="1" customHeight="1" x14ac:dyDescent="0.2">
      <c r="A197" s="6" t="s">
        <v>229</v>
      </c>
      <c r="C197" s="6" t="s">
        <v>25</v>
      </c>
      <c r="D197" s="6"/>
      <c r="E197" s="6">
        <f t="shared" si="40"/>
        <v>0</v>
      </c>
      <c r="F197" s="6"/>
      <c r="G197" s="6"/>
      <c r="H197" s="6"/>
      <c r="I197" s="6"/>
      <c r="J197" s="6"/>
      <c r="K197" s="6">
        <f t="shared" si="41"/>
        <v>0</v>
      </c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>
        <f t="shared" si="42"/>
        <v>0</v>
      </c>
      <c r="X197" s="6"/>
      <c r="Y197" s="6" t="s">
        <v>229</v>
      </c>
      <c r="Z197" s="18"/>
      <c r="AA197" s="6" t="s">
        <v>25</v>
      </c>
      <c r="AB197" s="6"/>
      <c r="AC197" s="6"/>
      <c r="AD197" s="6"/>
      <c r="AE197" s="6"/>
      <c r="AF197" s="6"/>
      <c r="AG197" s="6"/>
      <c r="AH197" s="6"/>
      <c r="AI197" s="8">
        <f t="shared" si="38"/>
        <v>0</v>
      </c>
      <c r="AJ197" s="8"/>
      <c r="AK197" s="6"/>
      <c r="AL197" s="6"/>
      <c r="AM197" s="6"/>
      <c r="AN197" s="6"/>
      <c r="AO197" s="6"/>
      <c r="AP197" s="6"/>
      <c r="AQ197" s="6"/>
      <c r="AR197" s="6"/>
      <c r="AS197" s="8">
        <f t="shared" si="39"/>
        <v>0</v>
      </c>
      <c r="AT197" s="8"/>
      <c r="AU197" s="6">
        <v>0</v>
      </c>
      <c r="AV197" s="6"/>
      <c r="AW197" s="6">
        <v>0</v>
      </c>
      <c r="AX197" s="6"/>
      <c r="AY197" s="6">
        <f t="shared" si="43"/>
        <v>0</v>
      </c>
      <c r="AZ197" s="6"/>
      <c r="BA197" s="6" t="s">
        <v>229</v>
      </c>
      <c r="BB197" s="18"/>
      <c r="BC197" s="6" t="s">
        <v>25</v>
      </c>
      <c r="BD197" s="6"/>
      <c r="BE197" s="6"/>
      <c r="BF197" s="6"/>
      <c r="BG197" s="6"/>
      <c r="BH197" s="6"/>
      <c r="BI197" s="6"/>
      <c r="BJ197" s="6"/>
      <c r="BK197" s="6"/>
      <c r="BL197" s="6"/>
      <c r="BM197" s="6">
        <f t="shared" si="44"/>
        <v>0</v>
      </c>
      <c r="BN197" s="17" t="s">
        <v>345</v>
      </c>
    </row>
    <row r="198" spans="1:74" ht="12.75" hidden="1" customHeight="1" x14ac:dyDescent="0.2">
      <c r="A198" s="6" t="s">
        <v>230</v>
      </c>
      <c r="C198" s="6" t="s">
        <v>25</v>
      </c>
      <c r="D198" s="6"/>
      <c r="E198" s="6">
        <f t="shared" si="40"/>
        <v>0</v>
      </c>
      <c r="F198" s="6"/>
      <c r="G198" s="6"/>
      <c r="H198" s="6"/>
      <c r="I198" s="6"/>
      <c r="J198" s="6"/>
      <c r="K198" s="6">
        <f t="shared" si="41"/>
        <v>0</v>
      </c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>
        <f t="shared" si="42"/>
        <v>0</v>
      </c>
      <c r="X198" s="6"/>
      <c r="Y198" s="6" t="s">
        <v>230</v>
      </c>
      <c r="Z198" s="18"/>
      <c r="AA198" s="6" t="s">
        <v>25</v>
      </c>
      <c r="AB198" s="6"/>
      <c r="AC198" s="6"/>
      <c r="AD198" s="6"/>
      <c r="AE198" s="6"/>
      <c r="AF198" s="6"/>
      <c r="AG198" s="6"/>
      <c r="AH198" s="6"/>
      <c r="AI198" s="8">
        <f t="shared" si="38"/>
        <v>0</v>
      </c>
      <c r="AJ198" s="8"/>
      <c r="AK198" s="6"/>
      <c r="AL198" s="6"/>
      <c r="AM198" s="6"/>
      <c r="AN198" s="6"/>
      <c r="AO198" s="6"/>
      <c r="AP198" s="6"/>
      <c r="AQ198" s="6"/>
      <c r="AR198" s="6"/>
      <c r="AS198" s="8">
        <f t="shared" si="39"/>
        <v>0</v>
      </c>
      <c r="AT198" s="8"/>
      <c r="AU198" s="6">
        <v>0</v>
      </c>
      <c r="AV198" s="6"/>
      <c r="AW198" s="6">
        <v>0</v>
      </c>
      <c r="AX198" s="6"/>
      <c r="AY198" s="6">
        <f t="shared" si="43"/>
        <v>0</v>
      </c>
      <c r="AZ198" s="6"/>
      <c r="BA198" s="6" t="s">
        <v>230</v>
      </c>
      <c r="BB198" s="18"/>
      <c r="BC198" s="6" t="s">
        <v>25</v>
      </c>
      <c r="BD198" s="6"/>
      <c r="BE198" s="6"/>
      <c r="BF198" s="6"/>
      <c r="BG198" s="6"/>
      <c r="BH198" s="6"/>
      <c r="BI198" s="6"/>
      <c r="BJ198" s="6"/>
      <c r="BK198" s="6"/>
      <c r="BL198" s="6"/>
      <c r="BM198" s="6">
        <f t="shared" si="44"/>
        <v>0</v>
      </c>
      <c r="BN198" s="17" t="s">
        <v>345</v>
      </c>
      <c r="BO198" s="6"/>
      <c r="BP198" s="6"/>
      <c r="BQ198" s="6"/>
      <c r="BR198" s="6"/>
      <c r="BS198" s="6"/>
      <c r="BT198" s="6"/>
      <c r="BU198" s="6"/>
      <c r="BV198" s="6"/>
    </row>
    <row r="199" spans="1:74" ht="12.75" hidden="1" customHeight="1" x14ac:dyDescent="0.2">
      <c r="A199" s="6" t="s">
        <v>231</v>
      </c>
      <c r="C199" s="6" t="s">
        <v>109</v>
      </c>
      <c r="D199" s="6"/>
      <c r="E199" s="6">
        <f t="shared" si="40"/>
        <v>0</v>
      </c>
      <c r="F199" s="6"/>
      <c r="G199" s="6"/>
      <c r="H199" s="6"/>
      <c r="I199" s="6"/>
      <c r="J199" s="6"/>
      <c r="K199" s="6">
        <f t="shared" si="41"/>
        <v>0</v>
      </c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>
        <f t="shared" si="42"/>
        <v>0</v>
      </c>
      <c r="X199" s="6"/>
      <c r="Y199" s="6" t="s">
        <v>231</v>
      </c>
      <c r="Z199" s="18"/>
      <c r="AA199" s="6" t="s">
        <v>109</v>
      </c>
      <c r="AB199" s="6"/>
      <c r="AC199" s="6"/>
      <c r="AD199" s="6"/>
      <c r="AE199" s="6"/>
      <c r="AF199" s="6"/>
      <c r="AG199" s="6"/>
      <c r="AH199" s="6"/>
      <c r="AI199" s="8">
        <f t="shared" si="38"/>
        <v>0</v>
      </c>
      <c r="AJ199" s="8"/>
      <c r="AK199" s="6"/>
      <c r="AL199" s="6"/>
      <c r="AM199" s="6"/>
      <c r="AN199" s="6"/>
      <c r="AO199" s="6"/>
      <c r="AP199" s="6"/>
      <c r="AQ199" s="6"/>
      <c r="AR199" s="6"/>
      <c r="AS199" s="8">
        <f t="shared" si="39"/>
        <v>0</v>
      </c>
      <c r="AT199" s="8"/>
      <c r="AU199" s="6">
        <v>0</v>
      </c>
      <c r="AV199" s="6"/>
      <c r="AW199" s="6">
        <v>0</v>
      </c>
      <c r="AX199" s="6"/>
      <c r="AY199" s="6">
        <f t="shared" si="43"/>
        <v>0</v>
      </c>
      <c r="AZ199" s="6"/>
      <c r="BA199" s="6" t="s">
        <v>231</v>
      </c>
      <c r="BB199" s="18"/>
      <c r="BC199" s="6" t="s">
        <v>109</v>
      </c>
      <c r="BD199" s="6"/>
      <c r="BE199" s="6"/>
      <c r="BF199" s="6"/>
      <c r="BG199" s="6"/>
      <c r="BH199" s="6"/>
      <c r="BI199" s="6"/>
      <c r="BJ199" s="6"/>
      <c r="BK199" s="6"/>
      <c r="BL199" s="6"/>
      <c r="BM199" s="6">
        <f t="shared" si="44"/>
        <v>0</v>
      </c>
      <c r="BN199" s="17" t="s">
        <v>345</v>
      </c>
      <c r="BO199" s="6"/>
      <c r="BP199" s="6"/>
      <c r="BQ199" s="6"/>
      <c r="BR199" s="6"/>
      <c r="BS199" s="6"/>
      <c r="BT199" s="6"/>
      <c r="BU199" s="6"/>
      <c r="BV199" s="6"/>
    </row>
    <row r="200" spans="1:74" ht="12.75" hidden="1" customHeight="1" x14ac:dyDescent="0.2">
      <c r="A200" s="6" t="s">
        <v>232</v>
      </c>
      <c r="C200" s="6" t="s">
        <v>43</v>
      </c>
      <c r="D200" s="6"/>
      <c r="E200" s="6">
        <f t="shared" si="40"/>
        <v>0</v>
      </c>
      <c r="F200" s="6"/>
      <c r="G200" s="6"/>
      <c r="H200" s="6"/>
      <c r="I200" s="6"/>
      <c r="J200" s="6"/>
      <c r="K200" s="6">
        <f t="shared" si="41"/>
        <v>0</v>
      </c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>
        <f t="shared" si="42"/>
        <v>0</v>
      </c>
      <c r="X200" s="6"/>
      <c r="Y200" s="6" t="s">
        <v>232</v>
      </c>
      <c r="Z200" s="18"/>
      <c r="AA200" s="6" t="s">
        <v>43</v>
      </c>
      <c r="AB200" s="6"/>
      <c r="AC200" s="6"/>
      <c r="AD200" s="6"/>
      <c r="AE200" s="6"/>
      <c r="AF200" s="6"/>
      <c r="AG200" s="6"/>
      <c r="AH200" s="6"/>
      <c r="AI200" s="8">
        <f t="shared" si="38"/>
        <v>0</v>
      </c>
      <c r="AJ200" s="8"/>
      <c r="AK200" s="6"/>
      <c r="AL200" s="6"/>
      <c r="AM200" s="6"/>
      <c r="AN200" s="6"/>
      <c r="AO200" s="6"/>
      <c r="AP200" s="6"/>
      <c r="AQ200" s="6"/>
      <c r="AR200" s="6"/>
      <c r="AS200" s="8">
        <f t="shared" si="39"/>
        <v>0</v>
      </c>
      <c r="AT200" s="8"/>
      <c r="AU200" s="6">
        <v>0</v>
      </c>
      <c r="AV200" s="6"/>
      <c r="AW200" s="6">
        <v>0</v>
      </c>
      <c r="AX200" s="6"/>
      <c r="AY200" s="6">
        <f t="shared" si="43"/>
        <v>0</v>
      </c>
      <c r="AZ200" s="6"/>
      <c r="BA200" s="6" t="s">
        <v>232</v>
      </c>
      <c r="BB200" s="18"/>
      <c r="BC200" s="6" t="s">
        <v>43</v>
      </c>
      <c r="BD200" s="6"/>
      <c r="BE200" s="6"/>
      <c r="BF200" s="6"/>
      <c r="BG200" s="6"/>
      <c r="BH200" s="6"/>
      <c r="BI200" s="6"/>
      <c r="BJ200" s="6"/>
      <c r="BK200" s="6"/>
      <c r="BL200" s="6"/>
      <c r="BM200" s="6">
        <f t="shared" si="44"/>
        <v>0</v>
      </c>
      <c r="BN200" s="17" t="s">
        <v>345</v>
      </c>
      <c r="BO200" s="6" t="s">
        <v>369</v>
      </c>
      <c r="BP200" s="6"/>
      <c r="BQ200" s="6"/>
      <c r="BR200" s="6"/>
      <c r="BS200" s="6"/>
      <c r="BT200" s="6"/>
      <c r="BU200" s="6"/>
      <c r="BV200" s="6"/>
    </row>
    <row r="201" spans="1:74" ht="12.75" hidden="1" customHeight="1" x14ac:dyDescent="0.2">
      <c r="A201" s="6" t="s">
        <v>233</v>
      </c>
      <c r="C201" s="6" t="s">
        <v>181</v>
      </c>
      <c r="D201" s="6"/>
      <c r="E201" s="6">
        <f t="shared" si="40"/>
        <v>0</v>
      </c>
      <c r="F201" s="6"/>
      <c r="G201" s="6"/>
      <c r="H201" s="6"/>
      <c r="I201" s="6"/>
      <c r="J201" s="6"/>
      <c r="K201" s="6">
        <f t="shared" si="41"/>
        <v>0</v>
      </c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>
        <f t="shared" si="42"/>
        <v>0</v>
      </c>
      <c r="X201" s="6"/>
      <c r="Y201" s="6" t="s">
        <v>233</v>
      </c>
      <c r="Z201" s="18"/>
      <c r="AA201" s="6" t="s">
        <v>181</v>
      </c>
      <c r="AB201" s="6"/>
      <c r="AC201" s="6"/>
      <c r="AD201" s="6"/>
      <c r="AE201" s="6"/>
      <c r="AF201" s="6"/>
      <c r="AG201" s="6"/>
      <c r="AH201" s="6"/>
      <c r="AI201" s="8">
        <f t="shared" si="38"/>
        <v>0</v>
      </c>
      <c r="AJ201" s="8"/>
      <c r="AK201" s="6"/>
      <c r="AL201" s="6"/>
      <c r="AM201" s="6"/>
      <c r="AN201" s="6"/>
      <c r="AO201" s="6"/>
      <c r="AP201" s="6"/>
      <c r="AQ201" s="6"/>
      <c r="AR201" s="6"/>
      <c r="AS201" s="8">
        <f t="shared" si="39"/>
        <v>0</v>
      </c>
      <c r="AT201" s="8"/>
      <c r="AU201" s="6">
        <v>0</v>
      </c>
      <c r="AV201" s="6"/>
      <c r="AW201" s="6">
        <v>0</v>
      </c>
      <c r="AX201" s="6"/>
      <c r="AY201" s="6">
        <f t="shared" si="43"/>
        <v>0</v>
      </c>
      <c r="AZ201" s="6"/>
      <c r="BA201" s="6" t="s">
        <v>233</v>
      </c>
      <c r="BB201" s="18"/>
      <c r="BC201" s="6" t="s">
        <v>181</v>
      </c>
      <c r="BD201" s="6"/>
      <c r="BE201" s="6"/>
      <c r="BF201" s="6"/>
      <c r="BG201" s="6"/>
      <c r="BH201" s="6"/>
      <c r="BI201" s="6"/>
      <c r="BJ201" s="6"/>
      <c r="BK201" s="6"/>
      <c r="BL201" s="6"/>
      <c r="BM201" s="6">
        <f t="shared" si="44"/>
        <v>0</v>
      </c>
      <c r="BN201" s="17" t="s">
        <v>345</v>
      </c>
      <c r="BO201" s="6"/>
      <c r="BP201" s="6"/>
    </row>
    <row r="202" spans="1:74" ht="12.75" hidden="1" customHeight="1" x14ac:dyDescent="0.2">
      <c r="A202" s="6" t="s">
        <v>234</v>
      </c>
      <c r="C202" s="6" t="s">
        <v>43</v>
      </c>
      <c r="D202" s="6"/>
      <c r="E202" s="6">
        <f t="shared" si="40"/>
        <v>0</v>
      </c>
      <c r="F202" s="6"/>
      <c r="G202" s="6"/>
      <c r="H202" s="6"/>
      <c r="I202" s="6"/>
      <c r="J202" s="6"/>
      <c r="K202" s="6">
        <f t="shared" si="41"/>
        <v>0</v>
      </c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>
        <f t="shared" si="42"/>
        <v>0</v>
      </c>
      <c r="X202" s="6"/>
      <c r="Y202" s="6" t="s">
        <v>234</v>
      </c>
      <c r="Z202" s="18"/>
      <c r="AA202" s="6" t="s">
        <v>43</v>
      </c>
      <c r="AB202" s="6"/>
      <c r="AC202" s="6"/>
      <c r="AD202" s="6"/>
      <c r="AE202" s="6"/>
      <c r="AF202" s="6"/>
      <c r="AG202" s="6"/>
      <c r="AH202" s="6"/>
      <c r="AI202" s="8">
        <f t="shared" si="38"/>
        <v>0</v>
      </c>
      <c r="AJ202" s="8"/>
      <c r="AK202" s="6"/>
      <c r="AL202" s="6"/>
      <c r="AM202" s="6"/>
      <c r="AN202" s="6"/>
      <c r="AO202" s="6"/>
      <c r="AP202" s="6"/>
      <c r="AQ202" s="6"/>
      <c r="AR202" s="6"/>
      <c r="AS202" s="8">
        <f t="shared" si="39"/>
        <v>0</v>
      </c>
      <c r="AT202" s="8"/>
      <c r="AU202" s="6">
        <v>0</v>
      </c>
      <c r="AV202" s="6"/>
      <c r="AW202" s="6">
        <v>0</v>
      </c>
      <c r="AX202" s="6"/>
      <c r="AY202" s="6">
        <f t="shared" si="43"/>
        <v>0</v>
      </c>
      <c r="AZ202" s="6"/>
      <c r="BA202" s="6" t="s">
        <v>234</v>
      </c>
      <c r="BB202" s="18"/>
      <c r="BC202" s="6" t="s">
        <v>43</v>
      </c>
      <c r="BD202" s="6"/>
      <c r="BE202" s="6"/>
      <c r="BF202" s="6"/>
      <c r="BG202" s="6"/>
      <c r="BH202" s="6"/>
      <c r="BI202" s="6"/>
      <c r="BJ202" s="6"/>
      <c r="BK202" s="6"/>
      <c r="BL202" s="6"/>
      <c r="BM202" s="6">
        <f t="shared" si="44"/>
        <v>0</v>
      </c>
      <c r="BN202" s="17" t="s">
        <v>345</v>
      </c>
    </row>
    <row r="203" spans="1:74" ht="12.75" hidden="1" customHeight="1" x14ac:dyDescent="0.2">
      <c r="A203" s="6" t="s">
        <v>235</v>
      </c>
      <c r="C203" s="6" t="s">
        <v>31</v>
      </c>
      <c r="D203" s="6"/>
      <c r="E203" s="6">
        <f t="shared" si="40"/>
        <v>3745264</v>
      </c>
      <c r="F203" s="6"/>
      <c r="G203" s="6">
        <v>4671866</v>
      </c>
      <c r="H203" s="6"/>
      <c r="I203" s="6">
        <v>8417130</v>
      </c>
      <c r="J203" s="6"/>
      <c r="K203" s="6">
        <f t="shared" si="41"/>
        <v>535961</v>
      </c>
      <c r="L203" s="6"/>
      <c r="M203" s="6">
        <v>5438068</v>
      </c>
      <c r="N203" s="6"/>
      <c r="O203" s="6">
        <v>5974029</v>
      </c>
      <c r="P203" s="6"/>
      <c r="Q203" s="6">
        <v>-630177</v>
      </c>
      <c r="R203" s="6"/>
      <c r="S203" s="6">
        <v>0</v>
      </c>
      <c r="T203" s="6"/>
      <c r="U203" s="6">
        <v>3073278</v>
      </c>
      <c r="V203" s="6"/>
      <c r="W203" s="6">
        <f t="shared" si="42"/>
        <v>2443101</v>
      </c>
      <c r="X203" s="6"/>
      <c r="Y203" s="6" t="s">
        <v>235</v>
      </c>
      <c r="Z203" s="18"/>
      <c r="AA203" s="6" t="s">
        <v>31</v>
      </c>
      <c r="AB203" s="6"/>
      <c r="AC203" s="6">
        <v>4998093</v>
      </c>
      <c r="AD203" s="6"/>
      <c r="AE203" s="6">
        <f>4450210-145879</f>
        <v>4304331</v>
      </c>
      <c r="AF203" s="6"/>
      <c r="AG203" s="6">
        <v>145879</v>
      </c>
      <c r="AH203" s="6"/>
      <c r="AI203" s="8">
        <f t="shared" si="38"/>
        <v>547883</v>
      </c>
      <c r="AJ203" s="8"/>
      <c r="AK203" s="6">
        <v>-218562</v>
      </c>
      <c r="AL203" s="6"/>
      <c r="AM203" s="6">
        <v>0</v>
      </c>
      <c r="AN203" s="6"/>
      <c r="AO203" s="6">
        <v>0</v>
      </c>
      <c r="AP203" s="6"/>
      <c r="AQ203" s="6">
        <v>0</v>
      </c>
      <c r="AR203" s="6"/>
      <c r="AS203" s="8">
        <f t="shared" si="39"/>
        <v>329321</v>
      </c>
      <c r="AT203" s="8"/>
      <c r="AU203" s="6">
        <v>0</v>
      </c>
      <c r="AV203" s="6"/>
      <c r="AW203" s="6">
        <v>0</v>
      </c>
      <c r="AX203" s="6"/>
      <c r="AY203" s="6">
        <f t="shared" si="43"/>
        <v>3209303</v>
      </c>
      <c r="AZ203" s="6"/>
      <c r="BA203" s="6" t="s">
        <v>235</v>
      </c>
      <c r="BB203" s="18"/>
      <c r="BC203" s="6" t="s">
        <v>31</v>
      </c>
      <c r="BD203" s="6"/>
      <c r="BE203" s="6">
        <f>5418736+165000</f>
        <v>5583736</v>
      </c>
      <c r="BF203" s="6"/>
      <c r="BG203" s="6">
        <v>0</v>
      </c>
      <c r="BH203" s="6"/>
      <c r="BI203" s="6">
        <v>0</v>
      </c>
      <c r="BJ203" s="6"/>
      <c r="BK203" s="6">
        <f>19332+1802</f>
        <v>21134</v>
      </c>
      <c r="BL203" s="6"/>
      <c r="BM203" s="6">
        <f t="shared" si="44"/>
        <v>5604870</v>
      </c>
      <c r="BN203" s="17" t="s">
        <v>345</v>
      </c>
    </row>
    <row r="204" spans="1:74" ht="12.75" customHeight="1" x14ac:dyDescent="0.2">
      <c r="A204" s="19" t="s">
        <v>236</v>
      </c>
      <c r="B204" s="36"/>
      <c r="C204" s="19" t="s">
        <v>237</v>
      </c>
      <c r="D204" s="19"/>
      <c r="E204" s="6">
        <v>9377700</v>
      </c>
      <c r="F204" s="6"/>
      <c r="G204" s="6">
        <v>8037929</v>
      </c>
      <c r="H204" s="6"/>
      <c r="I204" s="6">
        <f>+E204+G204</f>
        <v>17415629</v>
      </c>
      <c r="J204" s="6"/>
      <c r="K204" s="6">
        <v>2184030</v>
      </c>
      <c r="L204" s="6"/>
      <c r="M204" s="6">
        <v>3468222</v>
      </c>
      <c r="N204" s="6"/>
      <c r="O204" s="6">
        <f>+K204+M204</f>
        <v>5652252</v>
      </c>
      <c r="P204" s="6"/>
      <c r="Q204" s="6">
        <v>5904689</v>
      </c>
      <c r="R204" s="6"/>
      <c r="S204" s="6">
        <v>0</v>
      </c>
      <c r="T204" s="6"/>
      <c r="U204" s="6">
        <v>5858688</v>
      </c>
      <c r="V204" s="6"/>
      <c r="W204" s="6">
        <f t="shared" si="42"/>
        <v>11763377</v>
      </c>
      <c r="X204" s="19"/>
      <c r="Y204" s="19" t="s">
        <v>236</v>
      </c>
      <c r="Z204" s="36"/>
      <c r="AA204" s="19" t="s">
        <v>237</v>
      </c>
      <c r="AB204" s="19"/>
      <c r="AC204" s="6">
        <v>16464142</v>
      </c>
      <c r="AD204" s="6"/>
      <c r="AE204" s="6">
        <f>16850053-638020</f>
        <v>16212033</v>
      </c>
      <c r="AF204" s="6"/>
      <c r="AG204" s="6">
        <v>638020</v>
      </c>
      <c r="AH204" s="6"/>
      <c r="AI204" s="8">
        <f t="shared" si="38"/>
        <v>-385911</v>
      </c>
      <c r="AJ204" s="8"/>
      <c r="AK204" s="6">
        <v>-123356</v>
      </c>
      <c r="AL204" s="6"/>
      <c r="AM204" s="6">
        <v>872666</v>
      </c>
      <c r="AN204" s="6"/>
      <c r="AO204" s="6">
        <v>0</v>
      </c>
      <c r="AP204" s="6"/>
      <c r="AQ204" s="6">
        <v>0</v>
      </c>
      <c r="AR204" s="6"/>
      <c r="AS204" s="8">
        <f t="shared" si="39"/>
        <v>363399</v>
      </c>
      <c r="AT204" s="8"/>
      <c r="AU204" s="6">
        <v>0</v>
      </c>
      <c r="AV204" s="6"/>
      <c r="AW204" s="6">
        <v>0</v>
      </c>
      <c r="AX204" s="6"/>
      <c r="AY204" s="6">
        <f t="shared" si="43"/>
        <v>7193670</v>
      </c>
      <c r="AZ204" s="6"/>
      <c r="BA204" s="19" t="s">
        <v>236</v>
      </c>
      <c r="BB204" s="36"/>
      <c r="BC204" s="19" t="s">
        <v>237</v>
      </c>
      <c r="BD204" s="19"/>
      <c r="BE204" s="6">
        <f>888224+103725</f>
        <v>991949</v>
      </c>
      <c r="BF204" s="6"/>
      <c r="BG204" s="6">
        <v>0</v>
      </c>
      <c r="BH204" s="6"/>
      <c r="BI204" s="6">
        <v>0</v>
      </c>
      <c r="BJ204" s="6"/>
      <c r="BK204" s="6">
        <f>128622+2451376+200000+50036</f>
        <v>2830034</v>
      </c>
      <c r="BL204" s="6"/>
      <c r="BM204" s="6">
        <f t="shared" si="44"/>
        <v>3821983</v>
      </c>
      <c r="BN204" s="17" t="s">
        <v>345</v>
      </c>
    </row>
    <row r="205" spans="1:74" ht="12.75" hidden="1" customHeight="1" x14ac:dyDescent="0.2">
      <c r="A205" s="6" t="s">
        <v>480</v>
      </c>
      <c r="B205" s="18"/>
      <c r="C205" s="6" t="s">
        <v>247</v>
      </c>
      <c r="D205" s="6"/>
      <c r="E205" s="6">
        <f t="shared" si="40"/>
        <v>0</v>
      </c>
      <c r="F205" s="6"/>
      <c r="G205" s="6"/>
      <c r="H205" s="6"/>
      <c r="I205" s="6"/>
      <c r="J205" s="6"/>
      <c r="K205" s="6">
        <f t="shared" si="41"/>
        <v>0</v>
      </c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>
        <f t="shared" si="42"/>
        <v>0</v>
      </c>
      <c r="X205" s="6"/>
      <c r="Y205" s="6" t="s">
        <v>480</v>
      </c>
      <c r="Z205" s="18"/>
      <c r="AA205" s="6" t="s">
        <v>247</v>
      </c>
      <c r="AB205" s="6"/>
      <c r="AC205" s="6"/>
      <c r="AD205" s="6"/>
      <c r="AE205" s="6"/>
      <c r="AF205" s="6"/>
      <c r="AG205" s="6"/>
      <c r="AH205" s="6"/>
      <c r="AI205" s="8">
        <f t="shared" si="38"/>
        <v>0</v>
      </c>
      <c r="AJ205" s="8"/>
      <c r="AK205" s="6"/>
      <c r="AL205" s="6"/>
      <c r="AM205" s="6"/>
      <c r="AN205" s="6"/>
      <c r="AO205" s="6"/>
      <c r="AP205" s="6"/>
      <c r="AQ205" s="6"/>
      <c r="AR205" s="6"/>
      <c r="AS205" s="8">
        <f t="shared" si="39"/>
        <v>0</v>
      </c>
      <c r="AT205" s="8"/>
      <c r="AU205" s="6">
        <v>0</v>
      </c>
      <c r="AV205" s="6"/>
      <c r="AW205" s="6">
        <v>0</v>
      </c>
      <c r="AX205" s="6"/>
      <c r="AY205" s="6">
        <f t="shared" si="43"/>
        <v>0</v>
      </c>
      <c r="AZ205" s="6"/>
      <c r="BA205" s="6" t="s">
        <v>480</v>
      </c>
      <c r="BB205" s="18"/>
      <c r="BC205" s="6" t="s">
        <v>247</v>
      </c>
      <c r="BD205" s="6"/>
      <c r="BE205" s="6"/>
      <c r="BF205" s="6"/>
      <c r="BG205" s="6"/>
      <c r="BH205" s="6"/>
      <c r="BI205" s="6"/>
      <c r="BJ205" s="6"/>
      <c r="BK205" s="6"/>
      <c r="BL205" s="6"/>
      <c r="BM205" s="6">
        <f t="shared" si="44"/>
        <v>0</v>
      </c>
      <c r="BN205" s="17"/>
    </row>
    <row r="206" spans="1:74" ht="12.75" hidden="1" customHeight="1" x14ac:dyDescent="0.2">
      <c r="A206" s="6" t="s">
        <v>238</v>
      </c>
      <c r="C206" s="6" t="s">
        <v>11</v>
      </c>
      <c r="D206" s="6"/>
      <c r="E206" s="6">
        <f t="shared" si="40"/>
        <v>0</v>
      </c>
      <c r="F206" s="6"/>
      <c r="G206" s="6"/>
      <c r="H206" s="6"/>
      <c r="I206" s="6"/>
      <c r="J206" s="6"/>
      <c r="K206" s="6">
        <f t="shared" si="41"/>
        <v>0</v>
      </c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>
        <f t="shared" si="42"/>
        <v>0</v>
      </c>
      <c r="X206" s="6"/>
      <c r="Y206" s="6" t="s">
        <v>238</v>
      </c>
      <c r="Z206" s="18"/>
      <c r="AA206" s="6" t="s">
        <v>11</v>
      </c>
      <c r="AB206" s="6"/>
      <c r="AC206" s="6"/>
      <c r="AD206" s="6"/>
      <c r="AE206" s="6"/>
      <c r="AF206" s="6"/>
      <c r="AG206" s="6"/>
      <c r="AH206" s="6"/>
      <c r="AI206" s="8">
        <f t="shared" si="38"/>
        <v>0</v>
      </c>
      <c r="AJ206" s="8"/>
      <c r="AK206" s="6"/>
      <c r="AL206" s="6"/>
      <c r="AM206" s="6"/>
      <c r="AN206" s="6"/>
      <c r="AO206" s="6"/>
      <c r="AP206" s="6"/>
      <c r="AQ206" s="6"/>
      <c r="AR206" s="6"/>
      <c r="AS206" s="8">
        <f t="shared" si="39"/>
        <v>0</v>
      </c>
      <c r="AT206" s="8"/>
      <c r="AU206" s="6">
        <v>0</v>
      </c>
      <c r="AV206" s="6"/>
      <c r="AW206" s="6">
        <v>0</v>
      </c>
      <c r="AX206" s="6"/>
      <c r="AY206" s="6">
        <f t="shared" si="43"/>
        <v>0</v>
      </c>
      <c r="AZ206" s="6"/>
      <c r="BA206" s="6" t="s">
        <v>238</v>
      </c>
      <c r="BB206" s="18"/>
      <c r="BC206" s="6" t="s">
        <v>11</v>
      </c>
      <c r="BD206" s="6"/>
      <c r="BE206" s="6"/>
      <c r="BF206" s="6"/>
      <c r="BG206" s="6"/>
      <c r="BH206" s="6"/>
      <c r="BI206" s="6"/>
      <c r="BJ206" s="6"/>
      <c r="BK206" s="6"/>
      <c r="BL206" s="6"/>
      <c r="BM206" s="6">
        <f t="shared" si="44"/>
        <v>0</v>
      </c>
      <c r="BN206" s="17" t="s">
        <v>345</v>
      </c>
      <c r="BO206" s="6" t="s">
        <v>369</v>
      </c>
      <c r="BP206" s="6"/>
    </row>
    <row r="207" spans="1:74" ht="12.75" hidden="1" customHeight="1" x14ac:dyDescent="0.2">
      <c r="A207" s="6" t="s">
        <v>239</v>
      </c>
      <c r="C207" s="6" t="s">
        <v>20</v>
      </c>
      <c r="D207" s="6"/>
      <c r="E207" s="6">
        <f t="shared" si="40"/>
        <v>0</v>
      </c>
      <c r="F207" s="6"/>
      <c r="G207" s="6"/>
      <c r="H207" s="6"/>
      <c r="I207" s="6"/>
      <c r="J207" s="6"/>
      <c r="K207" s="6">
        <f t="shared" si="41"/>
        <v>0</v>
      </c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>
        <f t="shared" si="42"/>
        <v>0</v>
      </c>
      <c r="X207" s="6"/>
      <c r="Y207" s="6" t="s">
        <v>239</v>
      </c>
      <c r="Z207" s="18"/>
      <c r="AA207" s="6" t="s">
        <v>20</v>
      </c>
      <c r="AB207" s="6"/>
      <c r="AC207" s="6"/>
      <c r="AD207" s="6"/>
      <c r="AE207" s="6"/>
      <c r="AF207" s="6"/>
      <c r="AG207" s="6"/>
      <c r="AH207" s="6"/>
      <c r="AI207" s="8">
        <f t="shared" si="38"/>
        <v>0</v>
      </c>
      <c r="AJ207" s="8"/>
      <c r="AK207" s="6"/>
      <c r="AL207" s="6"/>
      <c r="AM207" s="6"/>
      <c r="AN207" s="6"/>
      <c r="AO207" s="6"/>
      <c r="AP207" s="6"/>
      <c r="AQ207" s="6"/>
      <c r="AR207" s="6"/>
      <c r="AS207" s="8">
        <f t="shared" si="39"/>
        <v>0</v>
      </c>
      <c r="AT207" s="8"/>
      <c r="AU207" s="6">
        <v>0</v>
      </c>
      <c r="AV207" s="6"/>
      <c r="AW207" s="6">
        <v>0</v>
      </c>
      <c r="AX207" s="6"/>
      <c r="AY207" s="6">
        <f t="shared" si="43"/>
        <v>0</v>
      </c>
      <c r="AZ207" s="6"/>
      <c r="BA207" s="6" t="s">
        <v>239</v>
      </c>
      <c r="BB207" s="18"/>
      <c r="BC207" s="6" t="s">
        <v>20</v>
      </c>
      <c r="BD207" s="6"/>
      <c r="BE207" s="6"/>
      <c r="BF207" s="6"/>
      <c r="BG207" s="6"/>
      <c r="BH207" s="6"/>
      <c r="BI207" s="6"/>
      <c r="BJ207" s="6"/>
      <c r="BK207" s="6"/>
      <c r="BL207" s="6"/>
      <c r="BM207" s="6">
        <f t="shared" si="44"/>
        <v>0</v>
      </c>
      <c r="BN207" s="17" t="s">
        <v>345</v>
      </c>
    </row>
    <row r="208" spans="1:74" ht="12.75" hidden="1" customHeight="1" x14ac:dyDescent="0.2">
      <c r="A208" s="6" t="s">
        <v>240</v>
      </c>
      <c r="C208" s="6" t="s">
        <v>25</v>
      </c>
      <c r="D208" s="6"/>
      <c r="E208" s="6">
        <f t="shared" si="40"/>
        <v>0</v>
      </c>
      <c r="F208" s="6"/>
      <c r="G208" s="6"/>
      <c r="H208" s="6"/>
      <c r="I208" s="6"/>
      <c r="J208" s="6"/>
      <c r="K208" s="6">
        <f t="shared" si="41"/>
        <v>0</v>
      </c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>
        <f t="shared" si="42"/>
        <v>0</v>
      </c>
      <c r="X208" s="6"/>
      <c r="Y208" s="6" t="s">
        <v>240</v>
      </c>
      <c r="Z208" s="18"/>
      <c r="AA208" s="6" t="s">
        <v>25</v>
      </c>
      <c r="AB208" s="6"/>
      <c r="AC208" s="6"/>
      <c r="AD208" s="6"/>
      <c r="AE208" s="6"/>
      <c r="AF208" s="6"/>
      <c r="AG208" s="6"/>
      <c r="AH208" s="6"/>
      <c r="AI208" s="8">
        <f t="shared" si="38"/>
        <v>0</v>
      </c>
      <c r="AJ208" s="8"/>
      <c r="AK208" s="6"/>
      <c r="AL208" s="6"/>
      <c r="AM208" s="6"/>
      <c r="AN208" s="6"/>
      <c r="AO208" s="6"/>
      <c r="AP208" s="6"/>
      <c r="AQ208" s="6"/>
      <c r="AR208" s="6"/>
      <c r="AS208" s="8">
        <f t="shared" si="39"/>
        <v>0</v>
      </c>
      <c r="AT208" s="8"/>
      <c r="AU208" s="6">
        <v>0</v>
      </c>
      <c r="AV208" s="6"/>
      <c r="AW208" s="6">
        <v>0</v>
      </c>
      <c r="AX208" s="6"/>
      <c r="AY208" s="6">
        <f t="shared" si="43"/>
        <v>0</v>
      </c>
      <c r="AZ208" s="6"/>
      <c r="BA208" s="6" t="s">
        <v>240</v>
      </c>
      <c r="BB208" s="18"/>
      <c r="BC208" s="6" t="s">
        <v>25</v>
      </c>
      <c r="BD208" s="6"/>
      <c r="BE208" s="6"/>
      <c r="BF208" s="6"/>
      <c r="BG208" s="6"/>
      <c r="BH208" s="6"/>
      <c r="BI208" s="6"/>
      <c r="BJ208" s="6"/>
      <c r="BK208" s="6"/>
      <c r="BL208" s="6"/>
      <c r="BM208" s="6">
        <f t="shared" si="44"/>
        <v>0</v>
      </c>
      <c r="BN208" s="17" t="s">
        <v>345</v>
      </c>
    </row>
    <row r="209" spans="1:67" ht="12.75" hidden="1" customHeight="1" x14ac:dyDescent="0.2">
      <c r="A209" s="6" t="s">
        <v>241</v>
      </c>
      <c r="C209" s="6" t="s">
        <v>161</v>
      </c>
      <c r="D209" s="6"/>
      <c r="E209" s="6">
        <f t="shared" si="40"/>
        <v>0</v>
      </c>
      <c r="F209" s="6"/>
      <c r="G209" s="6"/>
      <c r="H209" s="6"/>
      <c r="I209" s="6"/>
      <c r="J209" s="6"/>
      <c r="K209" s="6">
        <f t="shared" si="41"/>
        <v>0</v>
      </c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>
        <f t="shared" si="42"/>
        <v>0</v>
      </c>
      <c r="X209" s="6"/>
      <c r="Y209" s="6" t="s">
        <v>241</v>
      </c>
      <c r="Z209" s="18"/>
      <c r="AA209" s="6" t="s">
        <v>161</v>
      </c>
      <c r="AB209" s="6"/>
      <c r="AC209" s="6"/>
      <c r="AD209" s="6"/>
      <c r="AE209" s="6"/>
      <c r="AF209" s="6"/>
      <c r="AG209" s="6"/>
      <c r="AH209" s="6"/>
      <c r="AI209" s="8">
        <f t="shared" si="38"/>
        <v>0</v>
      </c>
      <c r="AJ209" s="8"/>
      <c r="AK209" s="6"/>
      <c r="AL209" s="6"/>
      <c r="AM209" s="6"/>
      <c r="AN209" s="6"/>
      <c r="AO209" s="6"/>
      <c r="AP209" s="6"/>
      <c r="AQ209" s="6"/>
      <c r="AR209" s="6"/>
      <c r="AS209" s="8">
        <f t="shared" si="39"/>
        <v>0</v>
      </c>
      <c r="AT209" s="8"/>
      <c r="AU209" s="6">
        <v>0</v>
      </c>
      <c r="AV209" s="6"/>
      <c r="AW209" s="6">
        <v>0</v>
      </c>
      <c r="AX209" s="6"/>
      <c r="AY209" s="6">
        <f t="shared" si="43"/>
        <v>0</v>
      </c>
      <c r="AZ209" s="6"/>
      <c r="BA209" s="6" t="s">
        <v>241</v>
      </c>
      <c r="BB209" s="18"/>
      <c r="BC209" s="6" t="s">
        <v>161</v>
      </c>
      <c r="BD209" s="6"/>
      <c r="BE209" s="6"/>
      <c r="BF209" s="6"/>
      <c r="BG209" s="6"/>
      <c r="BH209" s="6"/>
      <c r="BI209" s="6"/>
      <c r="BJ209" s="6"/>
      <c r="BK209" s="6"/>
      <c r="BL209" s="6"/>
      <c r="BM209" s="6">
        <f t="shared" si="44"/>
        <v>0</v>
      </c>
      <c r="BN209" s="35" t="s">
        <v>345</v>
      </c>
    </row>
    <row r="210" spans="1:67" ht="12.75" hidden="1" customHeight="1" x14ac:dyDescent="0.2">
      <c r="A210" s="6" t="s">
        <v>242</v>
      </c>
      <c r="C210" s="6" t="s">
        <v>11</v>
      </c>
      <c r="D210" s="6"/>
      <c r="E210" s="6">
        <f t="shared" si="40"/>
        <v>0</v>
      </c>
      <c r="F210" s="6"/>
      <c r="G210" s="6"/>
      <c r="H210" s="6"/>
      <c r="I210" s="6"/>
      <c r="J210" s="6"/>
      <c r="K210" s="6">
        <f t="shared" si="41"/>
        <v>0</v>
      </c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>
        <f t="shared" si="42"/>
        <v>0</v>
      </c>
      <c r="X210" s="6"/>
      <c r="Y210" s="6" t="s">
        <v>242</v>
      </c>
      <c r="Z210" s="18"/>
      <c r="AA210" s="6" t="s">
        <v>11</v>
      </c>
      <c r="AB210" s="6"/>
      <c r="AC210" s="6"/>
      <c r="AD210" s="6"/>
      <c r="AE210" s="6"/>
      <c r="AF210" s="6"/>
      <c r="AG210" s="6"/>
      <c r="AH210" s="6"/>
      <c r="AI210" s="8">
        <f t="shared" si="38"/>
        <v>0</v>
      </c>
      <c r="AJ210" s="8"/>
      <c r="AK210" s="6"/>
      <c r="AL210" s="6"/>
      <c r="AM210" s="6"/>
      <c r="AN210" s="6"/>
      <c r="AO210" s="6"/>
      <c r="AP210" s="6"/>
      <c r="AQ210" s="6"/>
      <c r="AR210" s="6"/>
      <c r="AS210" s="8">
        <f t="shared" si="39"/>
        <v>0</v>
      </c>
      <c r="AT210" s="8"/>
      <c r="AU210" s="6">
        <v>0</v>
      </c>
      <c r="AV210" s="6"/>
      <c r="AW210" s="6">
        <v>0</v>
      </c>
      <c r="AX210" s="6"/>
      <c r="AY210" s="6">
        <f t="shared" si="43"/>
        <v>0</v>
      </c>
      <c r="AZ210" s="6"/>
      <c r="BA210" s="6" t="s">
        <v>242</v>
      </c>
      <c r="BB210" s="18"/>
      <c r="BC210" s="6" t="s">
        <v>11</v>
      </c>
      <c r="BD210" s="6"/>
      <c r="BE210" s="6"/>
      <c r="BF210" s="6"/>
      <c r="BG210" s="6"/>
      <c r="BH210" s="6"/>
      <c r="BI210" s="6"/>
      <c r="BJ210" s="6"/>
      <c r="BK210" s="6"/>
      <c r="BL210" s="6"/>
      <c r="BM210" s="6">
        <f t="shared" si="44"/>
        <v>0</v>
      </c>
      <c r="BN210" s="17" t="s">
        <v>345</v>
      </c>
    </row>
    <row r="211" spans="1:67" ht="12.75" hidden="1" customHeight="1" x14ac:dyDescent="0.2">
      <c r="A211" s="6" t="s">
        <v>243</v>
      </c>
      <c r="C211" s="6" t="s">
        <v>108</v>
      </c>
      <c r="D211" s="6"/>
      <c r="E211" s="6">
        <f t="shared" si="40"/>
        <v>0</v>
      </c>
      <c r="F211" s="6"/>
      <c r="G211" s="6"/>
      <c r="H211" s="6"/>
      <c r="I211" s="6"/>
      <c r="J211" s="6"/>
      <c r="K211" s="6">
        <f t="shared" si="41"/>
        <v>0</v>
      </c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>
        <f t="shared" si="42"/>
        <v>0</v>
      </c>
      <c r="X211" s="6"/>
      <c r="Y211" s="6" t="s">
        <v>243</v>
      </c>
      <c r="Z211" s="18"/>
      <c r="AA211" s="6" t="s">
        <v>108</v>
      </c>
      <c r="AB211" s="6"/>
      <c r="AC211" s="6"/>
      <c r="AD211" s="6"/>
      <c r="AE211" s="6"/>
      <c r="AF211" s="6"/>
      <c r="AG211" s="6"/>
      <c r="AH211" s="6"/>
      <c r="AI211" s="8">
        <f t="shared" si="38"/>
        <v>0</v>
      </c>
      <c r="AJ211" s="8"/>
      <c r="AK211" s="6"/>
      <c r="AL211" s="6"/>
      <c r="AM211" s="6"/>
      <c r="AN211" s="6"/>
      <c r="AO211" s="6"/>
      <c r="AP211" s="6"/>
      <c r="AQ211" s="6"/>
      <c r="AR211" s="6"/>
      <c r="AS211" s="8">
        <f t="shared" si="39"/>
        <v>0</v>
      </c>
      <c r="AT211" s="8"/>
      <c r="AU211" s="6">
        <v>0</v>
      </c>
      <c r="AV211" s="6"/>
      <c r="AW211" s="6">
        <v>0</v>
      </c>
      <c r="AX211" s="6"/>
      <c r="AY211" s="6">
        <f t="shared" si="43"/>
        <v>0</v>
      </c>
      <c r="AZ211" s="6"/>
      <c r="BA211" s="6" t="s">
        <v>243</v>
      </c>
      <c r="BB211" s="18"/>
      <c r="BC211" s="6" t="s">
        <v>108</v>
      </c>
      <c r="BD211" s="6"/>
      <c r="BE211" s="6"/>
      <c r="BF211" s="6"/>
      <c r="BG211" s="6"/>
      <c r="BH211" s="6"/>
      <c r="BI211" s="6"/>
      <c r="BJ211" s="6"/>
      <c r="BK211" s="6"/>
      <c r="BL211" s="6"/>
      <c r="BM211" s="6">
        <f t="shared" si="44"/>
        <v>0</v>
      </c>
      <c r="BN211" s="17" t="s">
        <v>345</v>
      </c>
    </row>
    <row r="212" spans="1:67" ht="12.75" customHeight="1" x14ac:dyDescent="0.2">
      <c r="A212" s="6" t="s">
        <v>244</v>
      </c>
      <c r="C212" s="6" t="s">
        <v>207</v>
      </c>
      <c r="D212" s="6"/>
      <c r="E212" s="6">
        <v>10397368</v>
      </c>
      <c r="F212" s="6"/>
      <c r="G212" s="6">
        <v>8967590</v>
      </c>
      <c r="H212" s="6"/>
      <c r="I212" s="6">
        <f>+E212+G212</f>
        <v>19364958</v>
      </c>
      <c r="J212" s="6"/>
      <c r="K212" s="6">
        <v>2802796</v>
      </c>
      <c r="L212" s="6"/>
      <c r="M212" s="6">
        <v>297735</v>
      </c>
      <c r="N212" s="6"/>
      <c r="O212" s="6">
        <f>+K212+M212</f>
        <v>3100531</v>
      </c>
      <c r="P212" s="6"/>
      <c r="Q212" s="6">
        <v>7720590</v>
      </c>
      <c r="R212" s="6"/>
      <c r="S212" s="6">
        <v>0</v>
      </c>
      <c r="T212" s="6"/>
      <c r="U212" s="6">
        <v>8283337</v>
      </c>
      <c r="V212" s="6"/>
      <c r="W212" s="6">
        <f t="shared" si="42"/>
        <v>16003927</v>
      </c>
      <c r="X212" s="6"/>
      <c r="Y212" s="6" t="s">
        <v>244</v>
      </c>
      <c r="Z212" s="18"/>
      <c r="AA212" s="6" t="s">
        <v>207</v>
      </c>
      <c r="AB212" s="6"/>
      <c r="AC212" s="6">
        <v>12105894</v>
      </c>
      <c r="AD212" s="6"/>
      <c r="AE212" s="6">
        <f>10927931-495625</f>
        <v>10432306</v>
      </c>
      <c r="AF212" s="6"/>
      <c r="AG212" s="6">
        <v>495625</v>
      </c>
      <c r="AH212" s="6"/>
      <c r="AI212" s="8">
        <f t="shared" si="38"/>
        <v>1177963</v>
      </c>
      <c r="AJ212" s="8"/>
      <c r="AK212" s="6">
        <v>-11109</v>
      </c>
      <c r="AL212" s="6"/>
      <c r="AM212" s="6">
        <v>0</v>
      </c>
      <c r="AN212" s="6"/>
      <c r="AO212" s="6">
        <v>5547</v>
      </c>
      <c r="AP212" s="6"/>
      <c r="AQ212" s="6">
        <v>0</v>
      </c>
      <c r="AR212" s="6"/>
      <c r="AS212" s="8">
        <f t="shared" si="39"/>
        <v>1161307</v>
      </c>
      <c r="AT212" s="8"/>
      <c r="AU212" s="6">
        <v>0</v>
      </c>
      <c r="AV212" s="6"/>
      <c r="AW212" s="6">
        <v>0</v>
      </c>
      <c r="AX212" s="6"/>
      <c r="AY212" s="6">
        <f t="shared" si="43"/>
        <v>7594572</v>
      </c>
      <c r="AZ212" s="6"/>
      <c r="BA212" s="6" t="s">
        <v>244</v>
      </c>
      <c r="BB212" s="18"/>
      <c r="BC212" s="6" t="s">
        <v>207</v>
      </c>
      <c r="BD212" s="6"/>
      <c r="BE212" s="6">
        <f>145000+50000</f>
        <v>195000</v>
      </c>
      <c r="BF212" s="6"/>
      <c r="BG212" s="6">
        <v>0</v>
      </c>
      <c r="BH212" s="6"/>
      <c r="BI212" s="6">
        <v>0</v>
      </c>
      <c r="BJ212" s="6"/>
      <c r="BK212" s="6">
        <f>152735+37181</f>
        <v>189916</v>
      </c>
      <c r="BL212" s="6"/>
      <c r="BM212" s="6">
        <f t="shared" si="44"/>
        <v>384916</v>
      </c>
      <c r="BN212" s="17" t="s">
        <v>345</v>
      </c>
      <c r="BO212" s="18" t="s">
        <v>313</v>
      </c>
    </row>
    <row r="213" spans="1:67" ht="12.75" hidden="1" customHeight="1" x14ac:dyDescent="0.2">
      <c r="A213" s="6" t="s">
        <v>245</v>
      </c>
      <c r="B213" s="18"/>
      <c r="C213" s="6" t="s">
        <v>161</v>
      </c>
      <c r="D213" s="6"/>
      <c r="E213" s="6">
        <f t="shared" si="40"/>
        <v>0</v>
      </c>
      <c r="F213" s="6"/>
      <c r="G213" s="6"/>
      <c r="H213" s="6"/>
      <c r="I213" s="6"/>
      <c r="J213" s="6"/>
      <c r="K213" s="6">
        <f t="shared" si="41"/>
        <v>0</v>
      </c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>
        <f t="shared" si="42"/>
        <v>0</v>
      </c>
      <c r="X213" s="6"/>
      <c r="Y213" s="6" t="s">
        <v>245</v>
      </c>
      <c r="Z213" s="18"/>
      <c r="AA213" s="6" t="s">
        <v>161</v>
      </c>
      <c r="AB213" s="6"/>
      <c r="AC213" s="6"/>
      <c r="AD213" s="6"/>
      <c r="AE213" s="6"/>
      <c r="AF213" s="6"/>
      <c r="AG213" s="6"/>
      <c r="AH213" s="6"/>
      <c r="AI213" s="8">
        <f t="shared" si="38"/>
        <v>0</v>
      </c>
      <c r="AJ213" s="8"/>
      <c r="AK213" s="6"/>
      <c r="AL213" s="6"/>
      <c r="AM213" s="6"/>
      <c r="AN213" s="6"/>
      <c r="AO213" s="6"/>
      <c r="AP213" s="6"/>
      <c r="AQ213" s="6"/>
      <c r="AR213" s="6"/>
      <c r="AS213" s="8">
        <f t="shared" si="39"/>
        <v>0</v>
      </c>
      <c r="AT213" s="8"/>
      <c r="AU213" s="6">
        <v>0</v>
      </c>
      <c r="AV213" s="6"/>
      <c r="AW213" s="6">
        <v>0</v>
      </c>
      <c r="AX213" s="6"/>
      <c r="AY213" s="6">
        <f t="shared" si="43"/>
        <v>0</v>
      </c>
      <c r="AZ213" s="6"/>
      <c r="BA213" s="6" t="s">
        <v>245</v>
      </c>
      <c r="BB213" s="18"/>
      <c r="BC213" s="6" t="s">
        <v>161</v>
      </c>
      <c r="BD213" s="6"/>
      <c r="BE213" s="6"/>
      <c r="BF213" s="6"/>
      <c r="BG213" s="6"/>
      <c r="BH213" s="6"/>
      <c r="BI213" s="6"/>
      <c r="BJ213" s="6"/>
      <c r="BK213" s="6"/>
      <c r="BL213" s="6"/>
      <c r="BM213" s="6">
        <f t="shared" ref="BM213:BM233" si="45">SUM(BE213:BK213)</f>
        <v>0</v>
      </c>
      <c r="BN213" s="17" t="s">
        <v>345</v>
      </c>
    </row>
    <row r="214" spans="1:67" ht="12.75" hidden="1" customHeight="1" x14ac:dyDescent="0.2">
      <c r="A214" s="6" t="s">
        <v>246</v>
      </c>
      <c r="B214" s="18"/>
      <c r="C214" s="6" t="s">
        <v>247</v>
      </c>
      <c r="D214" s="6"/>
      <c r="E214" s="6">
        <f t="shared" si="40"/>
        <v>0</v>
      </c>
      <c r="F214" s="6"/>
      <c r="G214" s="6"/>
      <c r="H214" s="6"/>
      <c r="I214" s="6"/>
      <c r="J214" s="6"/>
      <c r="K214" s="6">
        <f t="shared" si="41"/>
        <v>0</v>
      </c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>
        <f t="shared" si="42"/>
        <v>0</v>
      </c>
      <c r="X214" s="6"/>
      <c r="Y214" s="6" t="s">
        <v>246</v>
      </c>
      <c r="Z214" s="18"/>
      <c r="AA214" s="6" t="s">
        <v>247</v>
      </c>
      <c r="AB214" s="6"/>
      <c r="AC214" s="6"/>
      <c r="AD214" s="6"/>
      <c r="AE214" s="6"/>
      <c r="AF214" s="6"/>
      <c r="AG214" s="6"/>
      <c r="AH214" s="6"/>
      <c r="AI214" s="8">
        <f t="shared" si="38"/>
        <v>0</v>
      </c>
      <c r="AJ214" s="8"/>
      <c r="AK214" s="6"/>
      <c r="AL214" s="6"/>
      <c r="AM214" s="6"/>
      <c r="AN214" s="6"/>
      <c r="AO214" s="6"/>
      <c r="AP214" s="6"/>
      <c r="AQ214" s="6"/>
      <c r="AR214" s="6"/>
      <c r="AS214" s="8">
        <f t="shared" si="39"/>
        <v>0</v>
      </c>
      <c r="AT214" s="8"/>
      <c r="AU214" s="6">
        <v>0</v>
      </c>
      <c r="AV214" s="6"/>
      <c r="AW214" s="6">
        <v>0</v>
      </c>
      <c r="AX214" s="6"/>
      <c r="AY214" s="6">
        <f t="shared" si="43"/>
        <v>0</v>
      </c>
      <c r="AZ214" s="6"/>
      <c r="BA214" s="6" t="s">
        <v>246</v>
      </c>
      <c r="BB214" s="18"/>
      <c r="BC214" s="6" t="s">
        <v>247</v>
      </c>
      <c r="BD214" s="6"/>
      <c r="BE214" s="6"/>
      <c r="BF214" s="6"/>
      <c r="BG214" s="6"/>
      <c r="BH214" s="6"/>
      <c r="BI214" s="6"/>
      <c r="BJ214" s="6"/>
      <c r="BK214" s="6"/>
      <c r="BL214" s="6"/>
      <c r="BM214" s="6">
        <f t="shared" si="45"/>
        <v>0</v>
      </c>
      <c r="BN214" s="17"/>
    </row>
    <row r="215" spans="1:67" ht="12.75" hidden="1" customHeight="1" x14ac:dyDescent="0.2">
      <c r="A215" s="6" t="s">
        <v>248</v>
      </c>
      <c r="C215" s="6" t="s">
        <v>101</v>
      </c>
      <c r="D215" s="6"/>
      <c r="E215" s="6">
        <f t="shared" si="40"/>
        <v>0</v>
      </c>
      <c r="F215" s="6"/>
      <c r="G215" s="6"/>
      <c r="H215" s="6"/>
      <c r="I215" s="6"/>
      <c r="J215" s="6"/>
      <c r="K215" s="6">
        <f t="shared" si="41"/>
        <v>0</v>
      </c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>
        <f t="shared" si="42"/>
        <v>0</v>
      </c>
      <c r="X215" s="6"/>
      <c r="Y215" s="6" t="s">
        <v>248</v>
      </c>
      <c r="Z215" s="18"/>
      <c r="AA215" s="6" t="s">
        <v>101</v>
      </c>
      <c r="AB215" s="6"/>
      <c r="AC215" s="6"/>
      <c r="AD215" s="6"/>
      <c r="AE215" s="6"/>
      <c r="AF215" s="6"/>
      <c r="AG215" s="6"/>
      <c r="AH215" s="6"/>
      <c r="AI215" s="8">
        <f t="shared" si="38"/>
        <v>0</v>
      </c>
      <c r="AJ215" s="8"/>
      <c r="AK215" s="6"/>
      <c r="AL215" s="6"/>
      <c r="AM215" s="6"/>
      <c r="AN215" s="6"/>
      <c r="AO215" s="6"/>
      <c r="AP215" s="6"/>
      <c r="AQ215" s="6"/>
      <c r="AR215" s="6"/>
      <c r="AS215" s="8">
        <f t="shared" si="39"/>
        <v>0</v>
      </c>
      <c r="AT215" s="8"/>
      <c r="AU215" s="6">
        <v>0</v>
      </c>
      <c r="AV215" s="6"/>
      <c r="AW215" s="6">
        <v>0</v>
      </c>
      <c r="AX215" s="6"/>
      <c r="AY215" s="6">
        <f t="shared" si="43"/>
        <v>0</v>
      </c>
      <c r="AZ215" s="6"/>
      <c r="BA215" s="6" t="s">
        <v>248</v>
      </c>
      <c r="BB215" s="18"/>
      <c r="BC215" s="6" t="s">
        <v>101</v>
      </c>
      <c r="BD215" s="6"/>
      <c r="BE215" s="6"/>
      <c r="BF215" s="6"/>
      <c r="BG215" s="6"/>
      <c r="BH215" s="6"/>
      <c r="BI215" s="6"/>
      <c r="BJ215" s="6"/>
      <c r="BK215" s="6"/>
      <c r="BL215" s="6"/>
      <c r="BM215" s="6">
        <f t="shared" si="45"/>
        <v>0</v>
      </c>
      <c r="BN215" s="17" t="s">
        <v>345</v>
      </c>
    </row>
    <row r="216" spans="1:67" ht="12.75" hidden="1" customHeight="1" x14ac:dyDescent="0.2">
      <c r="A216" s="6" t="s">
        <v>249</v>
      </c>
      <c r="C216" s="6" t="s">
        <v>64</v>
      </c>
      <c r="D216" s="6"/>
      <c r="E216" s="6">
        <f t="shared" si="40"/>
        <v>0</v>
      </c>
      <c r="F216" s="6"/>
      <c r="G216" s="6"/>
      <c r="H216" s="6"/>
      <c r="I216" s="6"/>
      <c r="J216" s="6"/>
      <c r="K216" s="6">
        <f t="shared" si="41"/>
        <v>0</v>
      </c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>
        <f t="shared" si="42"/>
        <v>0</v>
      </c>
      <c r="X216" s="6"/>
      <c r="Y216" s="6" t="s">
        <v>249</v>
      </c>
      <c r="Z216" s="18"/>
      <c r="AA216" s="6" t="s">
        <v>64</v>
      </c>
      <c r="AB216" s="6"/>
      <c r="AC216" s="6"/>
      <c r="AD216" s="6"/>
      <c r="AE216" s="6"/>
      <c r="AF216" s="6"/>
      <c r="AG216" s="6"/>
      <c r="AH216" s="6"/>
      <c r="AI216" s="8">
        <f t="shared" si="38"/>
        <v>0</v>
      </c>
      <c r="AJ216" s="8"/>
      <c r="AK216" s="6"/>
      <c r="AL216" s="6"/>
      <c r="AM216" s="6"/>
      <c r="AN216" s="6"/>
      <c r="AO216" s="6"/>
      <c r="AP216" s="6"/>
      <c r="AQ216" s="6"/>
      <c r="AR216" s="6"/>
      <c r="AS216" s="8">
        <f t="shared" si="39"/>
        <v>0</v>
      </c>
      <c r="AT216" s="8"/>
      <c r="AU216" s="6">
        <v>0</v>
      </c>
      <c r="AV216" s="6"/>
      <c r="AW216" s="6">
        <v>0</v>
      </c>
      <c r="AX216" s="6"/>
      <c r="AY216" s="6">
        <f t="shared" si="43"/>
        <v>0</v>
      </c>
      <c r="AZ216" s="6"/>
      <c r="BA216" s="6" t="s">
        <v>249</v>
      </c>
      <c r="BB216" s="18"/>
      <c r="BC216" s="6" t="s">
        <v>64</v>
      </c>
      <c r="BD216" s="6"/>
      <c r="BE216" s="6"/>
      <c r="BF216" s="6"/>
      <c r="BG216" s="6"/>
      <c r="BH216" s="6"/>
      <c r="BI216" s="6"/>
      <c r="BJ216" s="6"/>
      <c r="BK216" s="6"/>
      <c r="BL216" s="6"/>
      <c r="BM216" s="6">
        <f t="shared" si="45"/>
        <v>0</v>
      </c>
      <c r="BN216" s="17" t="s">
        <v>345</v>
      </c>
    </row>
    <row r="217" spans="1:67" ht="12.75" hidden="1" customHeight="1" x14ac:dyDescent="0.2">
      <c r="A217" s="6" t="s">
        <v>250</v>
      </c>
      <c r="C217" s="6" t="s">
        <v>207</v>
      </c>
      <c r="D217" s="6"/>
      <c r="E217" s="6">
        <f t="shared" si="40"/>
        <v>0</v>
      </c>
      <c r="F217" s="6"/>
      <c r="G217" s="6"/>
      <c r="H217" s="6"/>
      <c r="I217" s="6"/>
      <c r="J217" s="6"/>
      <c r="K217" s="6">
        <f t="shared" si="41"/>
        <v>0</v>
      </c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>
        <f t="shared" si="42"/>
        <v>0</v>
      </c>
      <c r="X217" s="6"/>
      <c r="Y217" s="6" t="s">
        <v>250</v>
      </c>
      <c r="Z217" s="18"/>
      <c r="AA217" s="6" t="s">
        <v>207</v>
      </c>
      <c r="AB217" s="6"/>
      <c r="AC217" s="6"/>
      <c r="AD217" s="6"/>
      <c r="AE217" s="6"/>
      <c r="AF217" s="6"/>
      <c r="AG217" s="6"/>
      <c r="AH217" s="6"/>
      <c r="AI217" s="8">
        <f t="shared" si="38"/>
        <v>0</v>
      </c>
      <c r="AJ217" s="8"/>
      <c r="AK217" s="6"/>
      <c r="AL217" s="6"/>
      <c r="AM217" s="6"/>
      <c r="AN217" s="6"/>
      <c r="AO217" s="6"/>
      <c r="AP217" s="6"/>
      <c r="AQ217" s="6"/>
      <c r="AR217" s="6"/>
      <c r="AS217" s="8">
        <f t="shared" si="39"/>
        <v>0</v>
      </c>
      <c r="AT217" s="8"/>
      <c r="AU217" s="6">
        <v>0</v>
      </c>
      <c r="AV217" s="6"/>
      <c r="AW217" s="6">
        <v>0</v>
      </c>
      <c r="AX217" s="6"/>
      <c r="AY217" s="6">
        <f t="shared" si="43"/>
        <v>0</v>
      </c>
      <c r="AZ217" s="6"/>
      <c r="BA217" s="6" t="s">
        <v>250</v>
      </c>
      <c r="BB217" s="18"/>
      <c r="BC217" s="6" t="s">
        <v>207</v>
      </c>
      <c r="BD217" s="6"/>
      <c r="BE217" s="6"/>
      <c r="BF217" s="6"/>
      <c r="BG217" s="6"/>
      <c r="BH217" s="6"/>
      <c r="BI217" s="6"/>
      <c r="BJ217" s="6"/>
      <c r="BK217" s="6"/>
      <c r="BL217" s="6"/>
      <c r="BM217" s="6">
        <f t="shared" si="45"/>
        <v>0</v>
      </c>
      <c r="BN217" s="17" t="s">
        <v>345</v>
      </c>
    </row>
    <row r="218" spans="1:67" ht="12.75" hidden="1" customHeight="1" x14ac:dyDescent="0.2">
      <c r="A218" s="6" t="s">
        <v>251</v>
      </c>
      <c r="C218" s="6" t="s">
        <v>11</v>
      </c>
      <c r="D218" s="6"/>
      <c r="E218" s="6">
        <f t="shared" si="40"/>
        <v>0</v>
      </c>
      <c r="F218" s="6"/>
      <c r="G218" s="6"/>
      <c r="H218" s="6"/>
      <c r="I218" s="6"/>
      <c r="J218" s="6"/>
      <c r="K218" s="6">
        <f t="shared" si="41"/>
        <v>0</v>
      </c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>
        <f t="shared" si="42"/>
        <v>0</v>
      </c>
      <c r="X218" s="6"/>
      <c r="Y218" s="6" t="s">
        <v>251</v>
      </c>
      <c r="Z218" s="18"/>
      <c r="AA218" s="6" t="s">
        <v>11</v>
      </c>
      <c r="AB218" s="6"/>
      <c r="AC218" s="6"/>
      <c r="AD218" s="6"/>
      <c r="AE218" s="6"/>
      <c r="AF218" s="6"/>
      <c r="AG218" s="6"/>
      <c r="AH218" s="6"/>
      <c r="AI218" s="8">
        <f t="shared" si="38"/>
        <v>0</v>
      </c>
      <c r="AJ218" s="8"/>
      <c r="AK218" s="6"/>
      <c r="AL218" s="6"/>
      <c r="AM218" s="6"/>
      <c r="AN218" s="6"/>
      <c r="AO218" s="6"/>
      <c r="AP218" s="6"/>
      <c r="AQ218" s="6"/>
      <c r="AR218" s="6"/>
      <c r="AS218" s="8">
        <f t="shared" si="39"/>
        <v>0</v>
      </c>
      <c r="AT218" s="8"/>
      <c r="AU218" s="6">
        <v>0</v>
      </c>
      <c r="AV218" s="6"/>
      <c r="AW218" s="6">
        <v>0</v>
      </c>
      <c r="AX218" s="6"/>
      <c r="AY218" s="6">
        <f t="shared" si="43"/>
        <v>0</v>
      </c>
      <c r="AZ218" s="6"/>
      <c r="BA218" s="6" t="s">
        <v>251</v>
      </c>
      <c r="BB218" s="18"/>
      <c r="BC218" s="6" t="s">
        <v>11</v>
      </c>
      <c r="BD218" s="6"/>
      <c r="BE218" s="6"/>
      <c r="BF218" s="6"/>
      <c r="BG218" s="6"/>
      <c r="BH218" s="6"/>
      <c r="BI218" s="6"/>
      <c r="BJ218" s="6"/>
      <c r="BK218" s="6"/>
      <c r="BL218" s="6"/>
      <c r="BM218" s="6">
        <f t="shared" si="45"/>
        <v>0</v>
      </c>
      <c r="BN218" s="17" t="s">
        <v>345</v>
      </c>
    </row>
    <row r="219" spans="1:67" ht="12.75" hidden="1" customHeight="1" x14ac:dyDescent="0.2">
      <c r="A219" s="6" t="s">
        <v>252</v>
      </c>
      <c r="C219" s="6" t="s">
        <v>87</v>
      </c>
      <c r="D219" s="6"/>
      <c r="E219" s="6">
        <f t="shared" si="40"/>
        <v>0</v>
      </c>
      <c r="F219" s="6"/>
      <c r="G219" s="6"/>
      <c r="H219" s="6"/>
      <c r="I219" s="6"/>
      <c r="J219" s="6"/>
      <c r="K219" s="6">
        <f t="shared" si="41"/>
        <v>0</v>
      </c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>
        <f t="shared" si="42"/>
        <v>0</v>
      </c>
      <c r="X219" s="6"/>
      <c r="Y219" s="6" t="s">
        <v>252</v>
      </c>
      <c r="Z219" s="18"/>
      <c r="AA219" s="6" t="s">
        <v>87</v>
      </c>
      <c r="AB219" s="6"/>
      <c r="AC219" s="6"/>
      <c r="AD219" s="6"/>
      <c r="AE219" s="6"/>
      <c r="AF219" s="6"/>
      <c r="AG219" s="6"/>
      <c r="AH219" s="6"/>
      <c r="AI219" s="8">
        <f t="shared" si="38"/>
        <v>0</v>
      </c>
      <c r="AJ219" s="8"/>
      <c r="AK219" s="6"/>
      <c r="AL219" s="6"/>
      <c r="AM219" s="6"/>
      <c r="AN219" s="6"/>
      <c r="AO219" s="6"/>
      <c r="AP219" s="6"/>
      <c r="AQ219" s="6"/>
      <c r="AR219" s="6"/>
      <c r="AS219" s="8">
        <f t="shared" si="39"/>
        <v>0</v>
      </c>
      <c r="AT219" s="8"/>
      <c r="AU219" s="6">
        <v>0</v>
      </c>
      <c r="AV219" s="6"/>
      <c r="AW219" s="6">
        <v>0</v>
      </c>
      <c r="AX219" s="6"/>
      <c r="AY219" s="6">
        <f t="shared" si="43"/>
        <v>0</v>
      </c>
      <c r="AZ219" s="6"/>
      <c r="BA219" s="6" t="s">
        <v>252</v>
      </c>
      <c r="BB219" s="18"/>
      <c r="BC219" s="6" t="s">
        <v>87</v>
      </c>
      <c r="BD219" s="6"/>
      <c r="BE219" s="6"/>
      <c r="BF219" s="6"/>
      <c r="BG219" s="6"/>
      <c r="BH219" s="6"/>
      <c r="BI219" s="6"/>
      <c r="BJ219" s="6"/>
      <c r="BK219" s="6"/>
      <c r="BL219" s="6"/>
      <c r="BM219" s="6">
        <f t="shared" si="45"/>
        <v>0</v>
      </c>
      <c r="BN219" s="17" t="s">
        <v>345</v>
      </c>
    </row>
    <row r="220" spans="1:67" ht="12.75" hidden="1" customHeight="1" x14ac:dyDescent="0.2">
      <c r="A220" s="6" t="s">
        <v>157</v>
      </c>
      <c r="C220" s="6" t="s">
        <v>64</v>
      </c>
      <c r="D220" s="6"/>
      <c r="E220" s="6">
        <f t="shared" si="40"/>
        <v>0</v>
      </c>
      <c r="F220" s="6"/>
      <c r="G220" s="6"/>
      <c r="H220" s="6"/>
      <c r="I220" s="6"/>
      <c r="J220" s="6"/>
      <c r="K220" s="6">
        <f t="shared" si="41"/>
        <v>0</v>
      </c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>
        <f t="shared" si="42"/>
        <v>0</v>
      </c>
      <c r="X220" s="6"/>
      <c r="Y220" s="6" t="s">
        <v>157</v>
      </c>
      <c r="Z220" s="18"/>
      <c r="AA220" s="6" t="s">
        <v>64</v>
      </c>
      <c r="AB220" s="6"/>
      <c r="AC220" s="6"/>
      <c r="AD220" s="6"/>
      <c r="AE220" s="6"/>
      <c r="AF220" s="6"/>
      <c r="AG220" s="6"/>
      <c r="AH220" s="6"/>
      <c r="AI220" s="8">
        <f t="shared" si="38"/>
        <v>0</v>
      </c>
      <c r="AJ220" s="8"/>
      <c r="AK220" s="6"/>
      <c r="AL220" s="6"/>
      <c r="AM220" s="6"/>
      <c r="AN220" s="6"/>
      <c r="AO220" s="6"/>
      <c r="AP220" s="6"/>
      <c r="AQ220" s="6"/>
      <c r="AR220" s="6"/>
      <c r="AS220" s="8">
        <f t="shared" si="39"/>
        <v>0</v>
      </c>
      <c r="AT220" s="8"/>
      <c r="AU220" s="6">
        <v>0</v>
      </c>
      <c r="AV220" s="6"/>
      <c r="AW220" s="6">
        <v>0</v>
      </c>
      <c r="AX220" s="6"/>
      <c r="AY220" s="6">
        <f t="shared" si="43"/>
        <v>0</v>
      </c>
      <c r="AZ220" s="6"/>
      <c r="BA220" s="6" t="s">
        <v>157</v>
      </c>
      <c r="BB220" s="18"/>
      <c r="BC220" s="6" t="s">
        <v>64</v>
      </c>
      <c r="BD220" s="6"/>
      <c r="BE220" s="6"/>
      <c r="BF220" s="6"/>
      <c r="BG220" s="6"/>
      <c r="BH220" s="6"/>
      <c r="BI220" s="6"/>
      <c r="BJ220" s="6"/>
      <c r="BK220" s="6"/>
      <c r="BL220" s="6"/>
      <c r="BM220" s="6">
        <f t="shared" si="45"/>
        <v>0</v>
      </c>
      <c r="BN220" s="17" t="s">
        <v>345</v>
      </c>
    </row>
    <row r="221" spans="1:67" ht="12.75" hidden="1" customHeight="1" x14ac:dyDescent="0.2">
      <c r="A221" s="6" t="s">
        <v>253</v>
      </c>
      <c r="C221" s="6" t="s">
        <v>25</v>
      </c>
      <c r="D221" s="6"/>
      <c r="E221" s="6">
        <f t="shared" si="40"/>
        <v>0</v>
      </c>
      <c r="F221" s="6"/>
      <c r="G221" s="6"/>
      <c r="H221" s="6"/>
      <c r="I221" s="6"/>
      <c r="J221" s="6"/>
      <c r="K221" s="6">
        <f t="shared" si="41"/>
        <v>0</v>
      </c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>
        <f t="shared" si="42"/>
        <v>0</v>
      </c>
      <c r="X221" s="6"/>
      <c r="Y221" s="6" t="s">
        <v>253</v>
      </c>
      <c r="Z221" s="18"/>
      <c r="AA221" s="6" t="s">
        <v>25</v>
      </c>
      <c r="AB221" s="6"/>
      <c r="AC221" s="6"/>
      <c r="AD221" s="6"/>
      <c r="AE221" s="6"/>
      <c r="AF221" s="6"/>
      <c r="AG221" s="6"/>
      <c r="AH221" s="6"/>
      <c r="AI221" s="8">
        <f t="shared" si="38"/>
        <v>0</v>
      </c>
      <c r="AJ221" s="8"/>
      <c r="AK221" s="6"/>
      <c r="AL221" s="6"/>
      <c r="AM221" s="6"/>
      <c r="AN221" s="6"/>
      <c r="AO221" s="6"/>
      <c r="AP221" s="6"/>
      <c r="AQ221" s="6"/>
      <c r="AR221" s="6"/>
      <c r="AS221" s="8">
        <f t="shared" si="39"/>
        <v>0</v>
      </c>
      <c r="AT221" s="8"/>
      <c r="AU221" s="6">
        <v>0</v>
      </c>
      <c r="AV221" s="6"/>
      <c r="AW221" s="6">
        <v>0</v>
      </c>
      <c r="AX221" s="6"/>
      <c r="AY221" s="6">
        <f t="shared" si="43"/>
        <v>0</v>
      </c>
      <c r="AZ221" s="6"/>
      <c r="BA221" s="6" t="s">
        <v>253</v>
      </c>
      <c r="BB221" s="18"/>
      <c r="BC221" s="6" t="s">
        <v>25</v>
      </c>
      <c r="BD221" s="6"/>
      <c r="BE221" s="6"/>
      <c r="BF221" s="6"/>
      <c r="BG221" s="6"/>
      <c r="BH221" s="6"/>
      <c r="BI221" s="6"/>
      <c r="BJ221" s="6"/>
      <c r="BK221" s="6"/>
      <c r="BL221" s="6"/>
      <c r="BM221" s="6">
        <f t="shared" si="45"/>
        <v>0</v>
      </c>
      <c r="BN221" s="17" t="s">
        <v>345</v>
      </c>
    </row>
    <row r="222" spans="1:67" ht="12.75" hidden="1" customHeight="1" x14ac:dyDescent="0.2">
      <c r="A222" s="6" t="s">
        <v>254</v>
      </c>
      <c r="C222" s="6" t="s">
        <v>41</v>
      </c>
      <c r="D222" s="6"/>
      <c r="E222" s="6">
        <f t="shared" si="40"/>
        <v>0</v>
      </c>
      <c r="F222" s="6"/>
      <c r="G222" s="6"/>
      <c r="H222" s="6"/>
      <c r="I222" s="6"/>
      <c r="J222" s="6"/>
      <c r="K222" s="6">
        <f t="shared" si="41"/>
        <v>0</v>
      </c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>
        <f t="shared" si="42"/>
        <v>0</v>
      </c>
      <c r="X222" s="6"/>
      <c r="Y222" s="6" t="s">
        <v>254</v>
      </c>
      <c r="Z222" s="18"/>
      <c r="AA222" s="6" t="s">
        <v>41</v>
      </c>
      <c r="AB222" s="6"/>
      <c r="AC222" s="6"/>
      <c r="AD222" s="6"/>
      <c r="AE222" s="6"/>
      <c r="AF222" s="6"/>
      <c r="AG222" s="6"/>
      <c r="AH222" s="6"/>
      <c r="AI222" s="8">
        <f t="shared" si="38"/>
        <v>0</v>
      </c>
      <c r="AJ222" s="8"/>
      <c r="AK222" s="6"/>
      <c r="AL222" s="6"/>
      <c r="AM222" s="6"/>
      <c r="AN222" s="6"/>
      <c r="AO222" s="6"/>
      <c r="AP222" s="6"/>
      <c r="AQ222" s="6"/>
      <c r="AR222" s="6"/>
      <c r="AS222" s="8">
        <f t="shared" si="39"/>
        <v>0</v>
      </c>
      <c r="AT222" s="8"/>
      <c r="AU222" s="6">
        <v>0</v>
      </c>
      <c r="AV222" s="6"/>
      <c r="AW222" s="6">
        <v>0</v>
      </c>
      <c r="AX222" s="6"/>
      <c r="AY222" s="6">
        <f t="shared" si="43"/>
        <v>0</v>
      </c>
      <c r="AZ222" s="6"/>
      <c r="BA222" s="6" t="s">
        <v>254</v>
      </c>
      <c r="BB222" s="18"/>
      <c r="BC222" s="6" t="s">
        <v>41</v>
      </c>
      <c r="BD222" s="6"/>
      <c r="BE222" s="6"/>
      <c r="BF222" s="6"/>
      <c r="BG222" s="6"/>
      <c r="BH222" s="6"/>
      <c r="BI222" s="6"/>
      <c r="BJ222" s="6"/>
      <c r="BK222" s="6"/>
      <c r="BL222" s="6"/>
      <c r="BM222" s="6">
        <f t="shared" si="45"/>
        <v>0</v>
      </c>
      <c r="BN222" s="17" t="s">
        <v>345</v>
      </c>
    </row>
    <row r="223" spans="1:67" ht="12.75" hidden="1" customHeight="1" x14ac:dyDescent="0.2">
      <c r="A223" s="6" t="s">
        <v>255</v>
      </c>
      <c r="C223" s="6" t="s">
        <v>256</v>
      </c>
      <c r="D223" s="6"/>
      <c r="E223" s="6">
        <f t="shared" si="40"/>
        <v>0</v>
      </c>
      <c r="F223" s="6"/>
      <c r="G223" s="6"/>
      <c r="H223" s="6"/>
      <c r="I223" s="6"/>
      <c r="J223" s="6"/>
      <c r="K223" s="6">
        <f t="shared" si="41"/>
        <v>0</v>
      </c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>
        <f t="shared" si="42"/>
        <v>0</v>
      </c>
      <c r="X223" s="6"/>
      <c r="Y223" s="6" t="s">
        <v>255</v>
      </c>
      <c r="Z223" s="18"/>
      <c r="AA223" s="6" t="s">
        <v>256</v>
      </c>
      <c r="AB223" s="6"/>
      <c r="AC223" s="6"/>
      <c r="AD223" s="6"/>
      <c r="AE223" s="6"/>
      <c r="AF223" s="6"/>
      <c r="AG223" s="6"/>
      <c r="AH223" s="6"/>
      <c r="AI223" s="8">
        <f t="shared" si="38"/>
        <v>0</v>
      </c>
      <c r="AJ223" s="8"/>
      <c r="AK223" s="6"/>
      <c r="AL223" s="6"/>
      <c r="AM223" s="6"/>
      <c r="AN223" s="6"/>
      <c r="AO223" s="6"/>
      <c r="AP223" s="6"/>
      <c r="AQ223" s="6"/>
      <c r="AR223" s="6"/>
      <c r="AS223" s="8">
        <f t="shared" si="39"/>
        <v>0</v>
      </c>
      <c r="AT223" s="8"/>
      <c r="AU223" s="6">
        <v>0</v>
      </c>
      <c r="AV223" s="6"/>
      <c r="AW223" s="6">
        <v>0</v>
      </c>
      <c r="AX223" s="6"/>
      <c r="AY223" s="6">
        <f t="shared" si="43"/>
        <v>0</v>
      </c>
      <c r="AZ223" s="6"/>
      <c r="BA223" s="6" t="s">
        <v>255</v>
      </c>
      <c r="BB223" s="18"/>
      <c r="BC223" s="6" t="s">
        <v>256</v>
      </c>
      <c r="BD223" s="6"/>
      <c r="BE223" s="6"/>
      <c r="BF223" s="6"/>
      <c r="BG223" s="6"/>
      <c r="BH223" s="6"/>
      <c r="BI223" s="6"/>
      <c r="BJ223" s="6"/>
      <c r="BK223" s="6"/>
      <c r="BL223" s="6"/>
      <c r="BM223" s="6">
        <f t="shared" si="45"/>
        <v>0</v>
      </c>
      <c r="BN223" s="17" t="s">
        <v>345</v>
      </c>
    </row>
    <row r="224" spans="1:67" ht="12.75" hidden="1" customHeight="1" x14ac:dyDescent="0.2">
      <c r="A224" s="6" t="s">
        <v>257</v>
      </c>
      <c r="C224" s="6" t="s">
        <v>367</v>
      </c>
      <c r="D224" s="6"/>
      <c r="E224" s="6">
        <f t="shared" si="40"/>
        <v>0</v>
      </c>
      <c r="F224" s="6"/>
      <c r="G224" s="6"/>
      <c r="H224" s="6"/>
      <c r="I224" s="6"/>
      <c r="J224" s="6"/>
      <c r="K224" s="6">
        <f t="shared" si="41"/>
        <v>0</v>
      </c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>
        <f t="shared" si="42"/>
        <v>0</v>
      </c>
      <c r="X224" s="6"/>
      <c r="Y224" s="6" t="s">
        <v>257</v>
      </c>
      <c r="Z224" s="18"/>
      <c r="AA224" s="6" t="s">
        <v>367</v>
      </c>
      <c r="AB224" s="6"/>
      <c r="AC224" s="6"/>
      <c r="AD224" s="6"/>
      <c r="AE224" s="6"/>
      <c r="AF224" s="6"/>
      <c r="AG224" s="6"/>
      <c r="AH224" s="6"/>
      <c r="AI224" s="8">
        <f t="shared" si="38"/>
        <v>0</v>
      </c>
      <c r="AJ224" s="8"/>
      <c r="AK224" s="6"/>
      <c r="AL224" s="6"/>
      <c r="AM224" s="6"/>
      <c r="AN224" s="6"/>
      <c r="AO224" s="6"/>
      <c r="AP224" s="6"/>
      <c r="AQ224" s="6"/>
      <c r="AR224" s="6"/>
      <c r="AS224" s="8">
        <f t="shared" si="39"/>
        <v>0</v>
      </c>
      <c r="AT224" s="8"/>
      <c r="AU224" s="6">
        <v>0</v>
      </c>
      <c r="AV224" s="6"/>
      <c r="AW224" s="6">
        <v>0</v>
      </c>
      <c r="AX224" s="6"/>
      <c r="AY224" s="6">
        <f t="shared" si="43"/>
        <v>0</v>
      </c>
      <c r="AZ224" s="6"/>
      <c r="BA224" s="6" t="s">
        <v>257</v>
      </c>
      <c r="BB224" s="18"/>
      <c r="BC224" s="6" t="s">
        <v>367</v>
      </c>
      <c r="BD224" s="6"/>
      <c r="BE224" s="6"/>
      <c r="BF224" s="6"/>
      <c r="BG224" s="6"/>
      <c r="BH224" s="6"/>
      <c r="BI224" s="6"/>
      <c r="BJ224" s="6"/>
      <c r="BK224" s="6"/>
      <c r="BL224" s="6"/>
      <c r="BM224" s="6">
        <f t="shared" si="45"/>
        <v>0</v>
      </c>
      <c r="BN224" s="17" t="s">
        <v>345</v>
      </c>
    </row>
    <row r="225" spans="1:66" ht="12.75" hidden="1" customHeight="1" x14ac:dyDescent="0.2">
      <c r="A225" s="6" t="s">
        <v>259</v>
      </c>
      <c r="C225" s="6" t="s">
        <v>64</v>
      </c>
      <c r="D225" s="6"/>
      <c r="E225" s="6">
        <f t="shared" si="40"/>
        <v>0</v>
      </c>
      <c r="F225" s="6"/>
      <c r="G225" s="6"/>
      <c r="H225" s="6"/>
      <c r="I225" s="6"/>
      <c r="J225" s="6"/>
      <c r="K225" s="6">
        <f t="shared" si="41"/>
        <v>0</v>
      </c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>
        <f t="shared" si="42"/>
        <v>0</v>
      </c>
      <c r="X225" s="6"/>
      <c r="Y225" s="6" t="s">
        <v>259</v>
      </c>
      <c r="Z225" s="18"/>
      <c r="AA225" s="6" t="s">
        <v>64</v>
      </c>
      <c r="AB225" s="6"/>
      <c r="AC225" s="6"/>
      <c r="AD225" s="6"/>
      <c r="AE225" s="6"/>
      <c r="AF225" s="6"/>
      <c r="AG225" s="6"/>
      <c r="AH225" s="6"/>
      <c r="AI225" s="8">
        <f t="shared" si="38"/>
        <v>0</v>
      </c>
      <c r="AJ225" s="8"/>
      <c r="AK225" s="6"/>
      <c r="AL225" s="6"/>
      <c r="AM225" s="6"/>
      <c r="AN225" s="6"/>
      <c r="AO225" s="6"/>
      <c r="AP225" s="6"/>
      <c r="AQ225" s="6"/>
      <c r="AR225" s="6"/>
      <c r="AS225" s="8">
        <f t="shared" si="39"/>
        <v>0</v>
      </c>
      <c r="AT225" s="8"/>
      <c r="AU225" s="6">
        <v>0</v>
      </c>
      <c r="AV225" s="6"/>
      <c r="AW225" s="6">
        <v>0</v>
      </c>
      <c r="AX225" s="6"/>
      <c r="AY225" s="6">
        <f t="shared" si="43"/>
        <v>0</v>
      </c>
      <c r="AZ225" s="6"/>
      <c r="BA225" s="6" t="s">
        <v>259</v>
      </c>
      <c r="BB225" s="18"/>
      <c r="BC225" s="6" t="s">
        <v>64</v>
      </c>
      <c r="BD225" s="6"/>
      <c r="BE225" s="6"/>
      <c r="BF225" s="6"/>
      <c r="BG225" s="6"/>
      <c r="BH225" s="6"/>
      <c r="BI225" s="6"/>
      <c r="BJ225" s="6"/>
      <c r="BK225" s="6"/>
      <c r="BL225" s="6"/>
      <c r="BM225" s="6">
        <f t="shared" si="45"/>
        <v>0</v>
      </c>
      <c r="BN225" s="17" t="s">
        <v>345</v>
      </c>
    </row>
    <row r="226" spans="1:66" ht="12.75" hidden="1" customHeight="1" x14ac:dyDescent="0.2">
      <c r="A226" s="6" t="s">
        <v>260</v>
      </c>
      <c r="C226" s="6" t="s">
        <v>130</v>
      </c>
      <c r="D226" s="6"/>
      <c r="E226" s="6">
        <f t="shared" si="40"/>
        <v>0</v>
      </c>
      <c r="F226" s="6"/>
      <c r="G226" s="6"/>
      <c r="H226" s="6"/>
      <c r="I226" s="6"/>
      <c r="J226" s="6"/>
      <c r="K226" s="6">
        <f t="shared" si="41"/>
        <v>0</v>
      </c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>
        <f t="shared" si="42"/>
        <v>0</v>
      </c>
      <c r="X226" s="6"/>
      <c r="Y226" s="6" t="s">
        <v>260</v>
      </c>
      <c r="Z226" s="18"/>
      <c r="AA226" s="6" t="s">
        <v>130</v>
      </c>
      <c r="AB226" s="6"/>
      <c r="AC226" s="6"/>
      <c r="AD226" s="6"/>
      <c r="AE226" s="6"/>
      <c r="AF226" s="6"/>
      <c r="AG226" s="6"/>
      <c r="AH226" s="6"/>
      <c r="AI226" s="8">
        <f t="shared" si="38"/>
        <v>0</v>
      </c>
      <c r="AJ226" s="8"/>
      <c r="AK226" s="6"/>
      <c r="AL226" s="6"/>
      <c r="AM226" s="6"/>
      <c r="AN226" s="6"/>
      <c r="AO226" s="6"/>
      <c r="AP226" s="6"/>
      <c r="AQ226" s="6"/>
      <c r="AR226" s="6"/>
      <c r="AS226" s="8">
        <f t="shared" si="39"/>
        <v>0</v>
      </c>
      <c r="AT226" s="8"/>
      <c r="AU226" s="6">
        <v>0</v>
      </c>
      <c r="AV226" s="6"/>
      <c r="AW226" s="6">
        <v>0</v>
      </c>
      <c r="AX226" s="6"/>
      <c r="AY226" s="6">
        <f t="shared" si="43"/>
        <v>0</v>
      </c>
      <c r="AZ226" s="6"/>
      <c r="BA226" s="6" t="s">
        <v>260</v>
      </c>
      <c r="BB226" s="18"/>
      <c r="BC226" s="6" t="s">
        <v>130</v>
      </c>
      <c r="BD226" s="6"/>
      <c r="BE226" s="6"/>
      <c r="BF226" s="6"/>
      <c r="BG226" s="6"/>
      <c r="BH226" s="6"/>
      <c r="BI226" s="6"/>
      <c r="BJ226" s="6"/>
      <c r="BK226" s="6"/>
      <c r="BL226" s="6"/>
      <c r="BM226" s="6">
        <f t="shared" si="45"/>
        <v>0</v>
      </c>
      <c r="BN226" s="17" t="s">
        <v>345</v>
      </c>
    </row>
    <row r="227" spans="1:66" ht="12.75" hidden="1" customHeight="1" x14ac:dyDescent="0.2">
      <c r="A227" s="7" t="s">
        <v>497</v>
      </c>
      <c r="B227" s="10"/>
      <c r="C227" s="7" t="s">
        <v>43</v>
      </c>
      <c r="D227" s="6"/>
      <c r="E227" s="6">
        <f t="shared" si="40"/>
        <v>0</v>
      </c>
      <c r="F227" s="6"/>
      <c r="G227" s="6"/>
      <c r="H227" s="6"/>
      <c r="I227" s="6"/>
      <c r="J227" s="6"/>
      <c r="K227" s="6">
        <f t="shared" si="41"/>
        <v>0</v>
      </c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>
        <f t="shared" si="42"/>
        <v>0</v>
      </c>
      <c r="X227" s="6"/>
      <c r="Y227" s="7" t="s">
        <v>497</v>
      </c>
      <c r="AA227" s="7" t="s">
        <v>43</v>
      </c>
      <c r="AB227" s="6"/>
      <c r="AC227" s="6"/>
      <c r="AD227" s="6"/>
      <c r="AE227" s="6"/>
      <c r="AF227" s="6"/>
      <c r="AG227" s="6"/>
      <c r="AH227" s="6"/>
      <c r="AI227" s="8">
        <f t="shared" si="38"/>
        <v>0</v>
      </c>
      <c r="AJ227" s="8"/>
      <c r="AK227" s="6"/>
      <c r="AL227" s="6"/>
      <c r="AM227" s="6"/>
      <c r="AN227" s="6"/>
      <c r="AO227" s="6"/>
      <c r="AP227" s="6"/>
      <c r="AQ227" s="6"/>
      <c r="AR227" s="6"/>
      <c r="AS227" s="8">
        <f t="shared" si="39"/>
        <v>0</v>
      </c>
      <c r="AT227" s="8"/>
      <c r="AU227" s="6">
        <v>0</v>
      </c>
      <c r="AV227" s="6"/>
      <c r="AW227" s="6">
        <v>0</v>
      </c>
      <c r="AX227" s="6"/>
      <c r="AY227" s="6">
        <f t="shared" si="43"/>
        <v>0</v>
      </c>
      <c r="AZ227" s="6"/>
      <c r="BA227" s="7" t="s">
        <v>497</v>
      </c>
      <c r="BC227" s="7" t="s">
        <v>43</v>
      </c>
      <c r="BD227" s="6"/>
      <c r="BE227" s="6"/>
      <c r="BF227" s="6"/>
      <c r="BG227" s="6"/>
      <c r="BH227" s="6"/>
      <c r="BI227" s="6"/>
      <c r="BJ227" s="6"/>
      <c r="BK227" s="6"/>
      <c r="BL227" s="6"/>
      <c r="BM227" s="6">
        <f t="shared" si="45"/>
        <v>0</v>
      </c>
      <c r="BN227" s="17" t="s">
        <v>345</v>
      </c>
    </row>
    <row r="228" spans="1:66" ht="12.75" customHeight="1" x14ac:dyDescent="0.2">
      <c r="A228" s="18" t="s">
        <v>261</v>
      </c>
      <c r="C228" s="18" t="s">
        <v>51</v>
      </c>
      <c r="E228" s="6">
        <v>18557661</v>
      </c>
      <c r="F228" s="6"/>
      <c r="G228" s="6">
        <v>30196502</v>
      </c>
      <c r="H228" s="6"/>
      <c r="I228" s="6">
        <f>+E228+G228</f>
        <v>48754163</v>
      </c>
      <c r="J228" s="6"/>
      <c r="K228" s="6">
        <v>10473168</v>
      </c>
      <c r="L228" s="6"/>
      <c r="M228" s="6">
        <v>11766508</v>
      </c>
      <c r="N228" s="6"/>
      <c r="O228" s="6">
        <f>+K228+M228</f>
        <v>22239676</v>
      </c>
      <c r="P228" s="6"/>
      <c r="Q228" s="6">
        <v>20482459</v>
      </c>
      <c r="R228" s="6"/>
      <c r="S228" s="6">
        <v>0</v>
      </c>
      <c r="T228" s="6"/>
      <c r="U228" s="6">
        <v>6032028</v>
      </c>
      <c r="V228" s="6"/>
      <c r="W228" s="6">
        <f t="shared" si="42"/>
        <v>26514487</v>
      </c>
      <c r="Y228" s="18" t="s">
        <v>261</v>
      </c>
      <c r="Z228" s="18"/>
      <c r="AA228" s="18" t="s">
        <v>51</v>
      </c>
      <c r="AC228" s="6">
        <v>28852855</v>
      </c>
      <c r="AD228" s="6"/>
      <c r="AE228" s="6">
        <f>26158711-1730795</f>
        <v>24427916</v>
      </c>
      <c r="AF228" s="6"/>
      <c r="AG228" s="6">
        <v>1730795</v>
      </c>
      <c r="AH228" s="6"/>
      <c r="AI228" s="8">
        <f t="shared" si="38"/>
        <v>2694144</v>
      </c>
      <c r="AJ228" s="8"/>
      <c r="AK228" s="6">
        <v>-428043</v>
      </c>
      <c r="AL228" s="6"/>
      <c r="AM228" s="6">
        <v>0</v>
      </c>
      <c r="AN228" s="6"/>
      <c r="AO228" s="6">
        <v>0</v>
      </c>
      <c r="AP228" s="6"/>
      <c r="AQ228" s="6">
        <f>1428578-4584933</f>
        <v>-3156355</v>
      </c>
      <c r="AR228" s="6"/>
      <c r="AS228" s="8">
        <f t="shared" si="39"/>
        <v>-890254</v>
      </c>
      <c r="AT228" s="8"/>
      <c r="AU228" s="6">
        <v>0</v>
      </c>
      <c r="AV228" s="6"/>
      <c r="AW228" s="6">
        <v>0</v>
      </c>
      <c r="AX228" s="6"/>
      <c r="AY228" s="6">
        <f t="shared" si="43"/>
        <v>8084493</v>
      </c>
      <c r="AZ228" s="16"/>
      <c r="BA228" s="18" t="s">
        <v>261</v>
      </c>
      <c r="BB228" s="18"/>
      <c r="BC228" s="18" t="s">
        <v>51</v>
      </c>
      <c r="BE228" s="6">
        <f>218305+35551</f>
        <v>253856</v>
      </c>
      <c r="BF228" s="6"/>
      <c r="BG228" s="6">
        <f>6619243+558632</f>
        <v>7177875</v>
      </c>
      <c r="BH228" s="6"/>
      <c r="BI228" s="6">
        <f>4961992+624000</f>
        <v>5585992</v>
      </c>
      <c r="BJ228" s="6"/>
      <c r="BK228" s="6">
        <f>794372+5791839+128981</f>
        <v>6715192</v>
      </c>
      <c r="BL228" s="6"/>
      <c r="BM228" s="6">
        <f t="shared" si="45"/>
        <v>19732915</v>
      </c>
      <c r="BN228" s="6"/>
    </row>
    <row r="229" spans="1:66" ht="12.75" customHeight="1" x14ac:dyDescent="0.2">
      <c r="A229" s="6" t="s">
        <v>262</v>
      </c>
      <c r="B229" s="18"/>
      <c r="C229" s="6" t="s">
        <v>237</v>
      </c>
      <c r="D229" s="6"/>
      <c r="E229" s="6">
        <v>10716556</v>
      </c>
      <c r="F229" s="6"/>
      <c r="G229" s="6">
        <v>15804792</v>
      </c>
      <c r="H229" s="6"/>
      <c r="I229" s="6">
        <f>+E229+G229</f>
        <v>26521348</v>
      </c>
      <c r="J229" s="6"/>
      <c r="K229" s="6">
        <v>1660496</v>
      </c>
      <c r="L229" s="6"/>
      <c r="M229" s="6">
        <v>303113</v>
      </c>
      <c r="N229" s="6"/>
      <c r="O229" s="6">
        <f>+K229+M229</f>
        <v>1963609</v>
      </c>
      <c r="P229" s="6"/>
      <c r="Q229" s="6">
        <v>15596398</v>
      </c>
      <c r="R229" s="6"/>
      <c r="S229" s="6">
        <v>0</v>
      </c>
      <c r="T229" s="6"/>
      <c r="U229" s="6">
        <v>8961341</v>
      </c>
      <c r="V229" s="6"/>
      <c r="W229" s="6">
        <f t="shared" si="42"/>
        <v>24557739</v>
      </c>
      <c r="X229" s="6"/>
      <c r="Y229" s="6" t="s">
        <v>262</v>
      </c>
      <c r="Z229" s="18"/>
      <c r="AA229" s="6" t="s">
        <v>237</v>
      </c>
      <c r="AB229" s="6"/>
      <c r="AC229" s="6">
        <v>13404477</v>
      </c>
      <c r="AD229" s="6"/>
      <c r="AE229" s="6">
        <f>13293302-510346</f>
        <v>12782956</v>
      </c>
      <c r="AF229" s="6"/>
      <c r="AG229" s="6">
        <v>510346</v>
      </c>
      <c r="AH229" s="6"/>
      <c r="AI229" s="8">
        <f t="shared" si="38"/>
        <v>111175</v>
      </c>
      <c r="AJ229" s="8"/>
      <c r="AK229" s="6">
        <v>-289870</v>
      </c>
      <c r="AL229" s="6"/>
      <c r="AM229" s="6">
        <v>230500</v>
      </c>
      <c r="AN229" s="6"/>
      <c r="AO229" s="6">
        <v>32789</v>
      </c>
      <c r="AP229" s="6"/>
      <c r="AQ229" s="6">
        <v>0</v>
      </c>
      <c r="AR229" s="6"/>
      <c r="AS229" s="8">
        <f t="shared" si="39"/>
        <v>19016</v>
      </c>
      <c r="AT229" s="8"/>
      <c r="AU229" s="6">
        <v>0</v>
      </c>
      <c r="AV229" s="6"/>
      <c r="AW229" s="6">
        <v>0</v>
      </c>
      <c r="AX229" s="6"/>
      <c r="AY229" s="6">
        <f t="shared" si="43"/>
        <v>9056060</v>
      </c>
      <c r="AZ229" s="6"/>
      <c r="BA229" s="6" t="s">
        <v>262</v>
      </c>
      <c r="BB229" s="18"/>
      <c r="BC229" s="6" t="s">
        <v>237</v>
      </c>
      <c r="BD229" s="6"/>
      <c r="BE229" s="6">
        <v>0</v>
      </c>
      <c r="BF229" s="6"/>
      <c r="BG229" s="6">
        <v>0</v>
      </c>
      <c r="BH229" s="6"/>
      <c r="BI229" s="6">
        <v>0</v>
      </c>
      <c r="BJ229" s="6"/>
      <c r="BK229" s="6">
        <f>208394+94719+33927</f>
        <v>337040</v>
      </c>
      <c r="BL229" s="6"/>
      <c r="BM229" s="6">
        <f t="shared" si="45"/>
        <v>337040</v>
      </c>
      <c r="BN229" s="17" t="s">
        <v>345</v>
      </c>
    </row>
    <row r="230" spans="1:66" ht="12.75" hidden="1" customHeight="1" x14ac:dyDescent="0.2">
      <c r="A230" s="6" t="s">
        <v>109</v>
      </c>
      <c r="C230" s="7" t="s">
        <v>78</v>
      </c>
      <c r="D230" s="7"/>
      <c r="E230" s="6">
        <f t="shared" si="40"/>
        <v>0</v>
      </c>
      <c r="F230" s="6"/>
      <c r="G230" s="6"/>
      <c r="H230" s="6"/>
      <c r="I230" s="6"/>
      <c r="J230" s="6"/>
      <c r="K230" s="6">
        <f t="shared" si="41"/>
        <v>0</v>
      </c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>
        <f t="shared" si="42"/>
        <v>0</v>
      </c>
      <c r="X230" s="6"/>
      <c r="Y230" s="6" t="s">
        <v>109</v>
      </c>
      <c r="Z230" s="18"/>
      <c r="AA230" s="7" t="s">
        <v>78</v>
      </c>
      <c r="AB230" s="7"/>
      <c r="AC230" s="6"/>
      <c r="AD230" s="6"/>
      <c r="AE230" s="6"/>
      <c r="AF230" s="6"/>
      <c r="AG230" s="6"/>
      <c r="AH230" s="6"/>
      <c r="AI230" s="8">
        <f t="shared" ref="AI230:AI237" si="46">+AC230-AE230-AG230</f>
        <v>0</v>
      </c>
      <c r="AJ230" s="8"/>
      <c r="AK230" s="6"/>
      <c r="AL230" s="6"/>
      <c r="AM230" s="6"/>
      <c r="AN230" s="6"/>
      <c r="AO230" s="6"/>
      <c r="AP230" s="6"/>
      <c r="AQ230" s="6"/>
      <c r="AR230" s="6"/>
      <c r="AS230" s="8">
        <f t="shared" si="39"/>
        <v>0</v>
      </c>
      <c r="AT230" s="8"/>
      <c r="AU230" s="6">
        <v>0</v>
      </c>
      <c r="AV230" s="6"/>
      <c r="AW230" s="6">
        <v>0</v>
      </c>
      <c r="AX230" s="6"/>
      <c r="AY230" s="6">
        <f t="shared" si="43"/>
        <v>0</v>
      </c>
      <c r="AZ230" s="6"/>
      <c r="BA230" s="6" t="s">
        <v>109</v>
      </c>
      <c r="BB230" s="18"/>
      <c r="BC230" s="7" t="s">
        <v>78</v>
      </c>
      <c r="BD230" s="7"/>
      <c r="BE230" s="6"/>
      <c r="BF230" s="6"/>
      <c r="BG230" s="6"/>
      <c r="BH230" s="6"/>
      <c r="BI230" s="6"/>
      <c r="BJ230" s="6"/>
      <c r="BK230" s="6"/>
      <c r="BL230" s="6"/>
      <c r="BM230" s="6">
        <f t="shared" si="45"/>
        <v>0</v>
      </c>
      <c r="BN230" s="17" t="s">
        <v>345</v>
      </c>
    </row>
    <row r="231" spans="1:66" ht="12.75" hidden="1" customHeight="1" x14ac:dyDescent="0.2">
      <c r="A231" s="6" t="s">
        <v>263</v>
      </c>
      <c r="C231" s="7" t="s">
        <v>25</v>
      </c>
      <c r="D231" s="7"/>
      <c r="E231" s="6">
        <f t="shared" si="40"/>
        <v>0</v>
      </c>
      <c r="F231" s="6"/>
      <c r="G231" s="6"/>
      <c r="H231" s="6"/>
      <c r="I231" s="6"/>
      <c r="J231" s="6"/>
      <c r="K231" s="6">
        <f t="shared" si="41"/>
        <v>0</v>
      </c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>
        <f t="shared" si="42"/>
        <v>0</v>
      </c>
      <c r="X231" s="6"/>
      <c r="Y231" s="6" t="s">
        <v>263</v>
      </c>
      <c r="Z231" s="18"/>
      <c r="AA231" s="7" t="s">
        <v>25</v>
      </c>
      <c r="AB231" s="7"/>
      <c r="AC231" s="6"/>
      <c r="AD231" s="6"/>
      <c r="AE231" s="6"/>
      <c r="AF231" s="6"/>
      <c r="AG231" s="6"/>
      <c r="AH231" s="6"/>
      <c r="AI231" s="8">
        <f t="shared" si="46"/>
        <v>0</v>
      </c>
      <c r="AJ231" s="8"/>
      <c r="AK231" s="6"/>
      <c r="AL231" s="6"/>
      <c r="AM231" s="6"/>
      <c r="AN231" s="6"/>
      <c r="AO231" s="6"/>
      <c r="AP231" s="6"/>
      <c r="AQ231" s="6"/>
      <c r="AR231" s="6"/>
      <c r="AS231" s="8">
        <f t="shared" si="39"/>
        <v>0</v>
      </c>
      <c r="AT231" s="8"/>
      <c r="AU231" s="6">
        <v>0</v>
      </c>
      <c r="AV231" s="6"/>
      <c r="AW231" s="6">
        <v>0</v>
      </c>
      <c r="AX231" s="6"/>
      <c r="AY231" s="6">
        <f t="shared" si="43"/>
        <v>0</v>
      </c>
      <c r="AZ231" s="6"/>
      <c r="BA231" s="6" t="s">
        <v>263</v>
      </c>
      <c r="BB231" s="18"/>
      <c r="BC231" s="7" t="s">
        <v>25</v>
      </c>
      <c r="BD231" s="7"/>
      <c r="BE231" s="6"/>
      <c r="BF231" s="6"/>
      <c r="BG231" s="6"/>
      <c r="BH231" s="6"/>
      <c r="BI231" s="6"/>
      <c r="BJ231" s="6"/>
      <c r="BK231" s="6"/>
      <c r="BL231" s="6"/>
      <c r="BM231" s="6">
        <f t="shared" si="45"/>
        <v>0</v>
      </c>
      <c r="BN231" s="17" t="s">
        <v>345</v>
      </c>
    </row>
    <row r="232" spans="1:66" ht="12.75" hidden="1" customHeight="1" x14ac:dyDescent="0.2">
      <c r="A232" s="6" t="s">
        <v>38</v>
      </c>
      <c r="C232" s="10" t="s">
        <v>448</v>
      </c>
      <c r="D232" s="6"/>
      <c r="E232" s="6">
        <f t="shared" si="40"/>
        <v>0</v>
      </c>
      <c r="F232" s="6"/>
      <c r="G232" s="6"/>
      <c r="H232" s="6"/>
      <c r="I232" s="6"/>
      <c r="J232" s="6"/>
      <c r="K232" s="6">
        <f t="shared" si="41"/>
        <v>0</v>
      </c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>
        <f t="shared" si="42"/>
        <v>0</v>
      </c>
      <c r="X232" s="6"/>
      <c r="Y232" s="6" t="s">
        <v>38</v>
      </c>
      <c r="Z232" s="18"/>
      <c r="AA232" s="10" t="s">
        <v>448</v>
      </c>
      <c r="AB232" s="6"/>
      <c r="AC232" s="6"/>
      <c r="AD232" s="6"/>
      <c r="AE232" s="6"/>
      <c r="AF232" s="6"/>
      <c r="AG232" s="6"/>
      <c r="AH232" s="6"/>
      <c r="AI232" s="8">
        <f t="shared" si="46"/>
        <v>0</v>
      </c>
      <c r="AJ232" s="8"/>
      <c r="AK232" s="6"/>
      <c r="AL232" s="6"/>
      <c r="AM232" s="6"/>
      <c r="AN232" s="6"/>
      <c r="AO232" s="6"/>
      <c r="AP232" s="6"/>
      <c r="AQ232" s="6"/>
      <c r="AR232" s="6"/>
      <c r="AS232" s="8">
        <f t="shared" si="39"/>
        <v>0</v>
      </c>
      <c r="AT232" s="8"/>
      <c r="AU232" s="6">
        <v>0</v>
      </c>
      <c r="AV232" s="6"/>
      <c r="AW232" s="6">
        <v>0</v>
      </c>
      <c r="AX232" s="6"/>
      <c r="AY232" s="6">
        <f t="shared" si="43"/>
        <v>0</v>
      </c>
      <c r="AZ232" s="6"/>
      <c r="BA232" s="6" t="s">
        <v>38</v>
      </c>
      <c r="BB232" s="18"/>
      <c r="BC232" s="10" t="s">
        <v>448</v>
      </c>
      <c r="BD232" s="6"/>
      <c r="BE232" s="6"/>
      <c r="BF232" s="6"/>
      <c r="BG232" s="6"/>
      <c r="BH232" s="6"/>
      <c r="BI232" s="6"/>
      <c r="BJ232" s="6"/>
      <c r="BK232" s="6"/>
      <c r="BL232" s="6"/>
      <c r="BM232" s="6">
        <f t="shared" si="45"/>
        <v>0</v>
      </c>
      <c r="BN232" s="17" t="s">
        <v>345</v>
      </c>
    </row>
    <row r="233" spans="1:66" ht="12.75" hidden="1" customHeight="1" x14ac:dyDescent="0.2">
      <c r="A233" s="6" t="s">
        <v>264</v>
      </c>
      <c r="C233" s="6" t="s">
        <v>265</v>
      </c>
      <c r="D233" s="6"/>
      <c r="E233" s="6">
        <f t="shared" si="40"/>
        <v>0</v>
      </c>
      <c r="F233" s="6"/>
      <c r="G233" s="6"/>
      <c r="H233" s="6"/>
      <c r="I233" s="6"/>
      <c r="J233" s="6"/>
      <c r="K233" s="6">
        <f t="shared" si="41"/>
        <v>0</v>
      </c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>
        <f t="shared" si="42"/>
        <v>0</v>
      </c>
      <c r="X233" s="6"/>
      <c r="Y233" s="6" t="s">
        <v>264</v>
      </c>
      <c r="Z233" s="18"/>
      <c r="AA233" s="6" t="s">
        <v>265</v>
      </c>
      <c r="AB233" s="6"/>
      <c r="AC233" s="6"/>
      <c r="AD233" s="6"/>
      <c r="AE233" s="6"/>
      <c r="AF233" s="6"/>
      <c r="AG233" s="6"/>
      <c r="AH233" s="6"/>
      <c r="AI233" s="8">
        <f t="shared" si="46"/>
        <v>0</v>
      </c>
      <c r="AJ233" s="8"/>
      <c r="AK233" s="6"/>
      <c r="AL233" s="6"/>
      <c r="AM233" s="6"/>
      <c r="AN233" s="6"/>
      <c r="AO233" s="6"/>
      <c r="AP233" s="6"/>
      <c r="AQ233" s="6"/>
      <c r="AR233" s="6"/>
      <c r="AS233" s="8">
        <f t="shared" si="39"/>
        <v>0</v>
      </c>
      <c r="AT233" s="8"/>
      <c r="AU233" s="6">
        <v>0</v>
      </c>
      <c r="AV233" s="6"/>
      <c r="AW233" s="6">
        <v>0</v>
      </c>
      <c r="AX233" s="6"/>
      <c r="AY233" s="6">
        <f t="shared" si="43"/>
        <v>0</v>
      </c>
      <c r="AZ233" s="6"/>
      <c r="BA233" s="6" t="s">
        <v>264</v>
      </c>
      <c r="BB233" s="18"/>
      <c r="BC233" s="6" t="s">
        <v>265</v>
      </c>
      <c r="BD233" s="6"/>
      <c r="BE233" s="6"/>
      <c r="BF233" s="6"/>
      <c r="BG233" s="6"/>
      <c r="BH233" s="6"/>
      <c r="BI233" s="6"/>
      <c r="BJ233" s="6"/>
      <c r="BK233" s="6"/>
      <c r="BL233" s="6"/>
      <c r="BM233" s="6">
        <f t="shared" si="45"/>
        <v>0</v>
      </c>
      <c r="BN233" s="17" t="s">
        <v>345</v>
      </c>
    </row>
    <row r="234" spans="1:66" ht="12.75" hidden="1" customHeight="1" x14ac:dyDescent="0.2">
      <c r="A234" s="6" t="s">
        <v>266</v>
      </c>
      <c r="C234" s="6" t="s">
        <v>267</v>
      </c>
      <c r="D234" s="6"/>
      <c r="E234" s="6">
        <f t="shared" si="40"/>
        <v>0</v>
      </c>
      <c r="F234" s="6"/>
      <c r="G234" s="6"/>
      <c r="H234" s="6"/>
      <c r="I234" s="6"/>
      <c r="J234" s="6"/>
      <c r="K234" s="6">
        <f t="shared" si="41"/>
        <v>0</v>
      </c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>
        <f t="shared" si="42"/>
        <v>0</v>
      </c>
      <c r="X234" s="6"/>
      <c r="Y234" s="6" t="s">
        <v>266</v>
      </c>
      <c r="Z234" s="18"/>
      <c r="AA234" s="6" t="s">
        <v>267</v>
      </c>
      <c r="AB234" s="6"/>
      <c r="AC234" s="6"/>
      <c r="AD234" s="6"/>
      <c r="AE234" s="6"/>
      <c r="AF234" s="6"/>
      <c r="AG234" s="6"/>
      <c r="AH234" s="6"/>
      <c r="AI234" s="8">
        <f t="shared" si="46"/>
        <v>0</v>
      </c>
      <c r="AJ234" s="8"/>
      <c r="AK234" s="6"/>
      <c r="AL234" s="6"/>
      <c r="AM234" s="6"/>
      <c r="AN234" s="6"/>
      <c r="AO234" s="6"/>
      <c r="AP234" s="6"/>
      <c r="AQ234" s="6"/>
      <c r="AR234" s="6"/>
      <c r="AS234" s="8">
        <f t="shared" ref="AS234:AS237" si="47">+AI234+AK234+AM234-AO234+AQ234</f>
        <v>0</v>
      </c>
      <c r="AT234" s="8"/>
      <c r="AU234" s="6">
        <v>0</v>
      </c>
      <c r="AV234" s="6"/>
      <c r="AW234" s="6">
        <v>0</v>
      </c>
      <c r="AX234" s="6"/>
      <c r="AY234" s="6">
        <f t="shared" si="43"/>
        <v>0</v>
      </c>
      <c r="AZ234" s="6"/>
      <c r="BA234" s="6" t="s">
        <v>266</v>
      </c>
      <c r="BB234" s="18"/>
      <c r="BC234" s="6" t="s">
        <v>267</v>
      </c>
      <c r="BD234" s="6"/>
      <c r="BE234" s="6"/>
      <c r="BF234" s="6"/>
      <c r="BG234" s="6"/>
      <c r="BH234" s="6"/>
      <c r="BI234" s="6"/>
      <c r="BJ234" s="6"/>
      <c r="BK234" s="6"/>
      <c r="BL234" s="6"/>
      <c r="BM234" s="6">
        <v>0</v>
      </c>
      <c r="BN234" s="17" t="s">
        <v>345</v>
      </c>
    </row>
    <row r="235" spans="1:66" ht="12.75" hidden="1" customHeight="1" x14ac:dyDescent="0.2">
      <c r="A235" s="6" t="s">
        <v>268</v>
      </c>
      <c r="C235" s="6" t="s">
        <v>134</v>
      </c>
      <c r="D235" s="6"/>
      <c r="E235" s="6">
        <f t="shared" ref="E235:E236" si="48">I235-G235</f>
        <v>0</v>
      </c>
      <c r="F235" s="6"/>
      <c r="G235" s="6"/>
      <c r="H235" s="6"/>
      <c r="I235" s="6"/>
      <c r="J235" s="6"/>
      <c r="K235" s="6">
        <f t="shared" ref="K235:K236" si="49">O235-M235</f>
        <v>0</v>
      </c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>
        <f t="shared" ref="W235:W237" si="50">SUM(Q235:U235)</f>
        <v>0</v>
      </c>
      <c r="X235" s="6"/>
      <c r="Y235" s="6" t="s">
        <v>268</v>
      </c>
      <c r="Z235" s="18"/>
      <c r="AA235" s="6" t="s">
        <v>134</v>
      </c>
      <c r="AB235" s="6"/>
      <c r="AC235" s="6"/>
      <c r="AD235" s="6"/>
      <c r="AE235" s="6"/>
      <c r="AF235" s="6"/>
      <c r="AG235" s="6"/>
      <c r="AH235" s="6"/>
      <c r="AI235" s="8">
        <f t="shared" si="46"/>
        <v>0</v>
      </c>
      <c r="AJ235" s="8"/>
      <c r="AK235" s="6"/>
      <c r="AL235" s="6"/>
      <c r="AM235" s="6"/>
      <c r="AN235" s="6"/>
      <c r="AO235" s="6"/>
      <c r="AP235" s="6"/>
      <c r="AQ235" s="6"/>
      <c r="AR235" s="6"/>
      <c r="AS235" s="8">
        <f t="shared" si="47"/>
        <v>0</v>
      </c>
      <c r="AT235" s="8"/>
      <c r="AU235" s="6">
        <v>0</v>
      </c>
      <c r="AV235" s="6"/>
      <c r="AW235" s="6">
        <v>0</v>
      </c>
      <c r="AX235" s="6"/>
      <c r="AY235" s="6">
        <f t="shared" ref="AY235:AY237" si="51">+E235-K235</f>
        <v>0</v>
      </c>
      <c r="AZ235" s="6"/>
      <c r="BA235" s="6" t="s">
        <v>268</v>
      </c>
      <c r="BB235" s="18"/>
      <c r="BC235" s="6" t="s">
        <v>134</v>
      </c>
      <c r="BD235" s="6"/>
      <c r="BE235" s="6"/>
      <c r="BF235" s="6"/>
      <c r="BG235" s="6"/>
      <c r="BH235" s="6"/>
      <c r="BI235" s="6"/>
      <c r="BJ235" s="6"/>
      <c r="BK235" s="6"/>
      <c r="BL235" s="6"/>
      <c r="BM235" s="6">
        <f t="shared" ref="BM235:BM251" si="52">SUM(BE235:BK235)</f>
        <v>0</v>
      </c>
      <c r="BN235" s="17" t="s">
        <v>345</v>
      </c>
    </row>
    <row r="236" spans="1:66" ht="12.75" hidden="1" customHeight="1" x14ac:dyDescent="0.2">
      <c r="A236" s="6" t="s">
        <v>269</v>
      </c>
      <c r="C236" s="6" t="s">
        <v>64</v>
      </c>
      <c r="D236" s="6"/>
      <c r="E236" s="6">
        <f t="shared" si="48"/>
        <v>0</v>
      </c>
      <c r="F236" s="6"/>
      <c r="G236" s="6"/>
      <c r="H236" s="6"/>
      <c r="I236" s="6"/>
      <c r="J236" s="6"/>
      <c r="K236" s="6">
        <f t="shared" si="49"/>
        <v>0</v>
      </c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>
        <f t="shared" si="50"/>
        <v>0</v>
      </c>
      <c r="X236" s="6"/>
      <c r="Y236" s="6" t="s">
        <v>269</v>
      </c>
      <c r="Z236" s="18"/>
      <c r="AA236" s="6" t="s">
        <v>64</v>
      </c>
      <c r="AB236" s="6"/>
      <c r="AC236" s="6"/>
      <c r="AD236" s="6"/>
      <c r="AE236" s="6"/>
      <c r="AF236" s="6"/>
      <c r="AG236" s="6"/>
      <c r="AH236" s="6"/>
      <c r="AI236" s="8">
        <f t="shared" si="46"/>
        <v>0</v>
      </c>
      <c r="AJ236" s="8"/>
      <c r="AK236" s="6"/>
      <c r="AL236" s="6"/>
      <c r="AM236" s="6"/>
      <c r="AN236" s="6"/>
      <c r="AO236" s="6"/>
      <c r="AP236" s="6"/>
      <c r="AQ236" s="6"/>
      <c r="AR236" s="6"/>
      <c r="AS236" s="8">
        <f t="shared" si="47"/>
        <v>0</v>
      </c>
      <c r="AT236" s="8"/>
      <c r="AU236" s="6">
        <v>0</v>
      </c>
      <c r="AV236" s="6"/>
      <c r="AW236" s="6">
        <v>0</v>
      </c>
      <c r="AX236" s="6"/>
      <c r="AY236" s="6">
        <f t="shared" si="51"/>
        <v>0</v>
      </c>
      <c r="AZ236" s="6"/>
      <c r="BA236" s="6" t="s">
        <v>269</v>
      </c>
      <c r="BB236" s="18"/>
      <c r="BC236" s="6" t="s">
        <v>64</v>
      </c>
      <c r="BD236" s="6"/>
      <c r="BE236" s="6"/>
      <c r="BF236" s="6"/>
      <c r="BG236" s="6"/>
      <c r="BH236" s="6"/>
      <c r="BI236" s="6"/>
      <c r="BJ236" s="6"/>
      <c r="BK236" s="6"/>
      <c r="BL236" s="6"/>
      <c r="BM236" s="6">
        <f t="shared" si="52"/>
        <v>0</v>
      </c>
      <c r="BN236" s="17" t="s">
        <v>345</v>
      </c>
    </row>
    <row r="237" spans="1:66" ht="12.75" customHeight="1" x14ac:dyDescent="0.2">
      <c r="A237" s="6" t="s">
        <v>270</v>
      </c>
      <c r="C237" s="6" t="s">
        <v>41</v>
      </c>
      <c r="D237" s="6"/>
      <c r="E237" s="6">
        <v>32629258</v>
      </c>
      <c r="F237" s="6"/>
      <c r="G237" s="6">
        <v>58457774</v>
      </c>
      <c r="H237" s="6"/>
      <c r="I237" s="6">
        <v>88343652</v>
      </c>
      <c r="J237" s="6"/>
      <c r="K237" s="6">
        <v>5369304</v>
      </c>
      <c r="L237" s="6"/>
      <c r="M237" s="6">
        <v>27190834</v>
      </c>
      <c r="N237" s="6"/>
      <c r="O237" s="6">
        <v>33124957</v>
      </c>
      <c r="P237" s="6"/>
      <c r="Q237" s="6">
        <v>30450716</v>
      </c>
      <c r="R237" s="6"/>
      <c r="S237" s="6">
        <v>0</v>
      </c>
      <c r="T237" s="6"/>
      <c r="U237" s="6">
        <v>28178479</v>
      </c>
      <c r="V237" s="6"/>
      <c r="W237" s="6">
        <f t="shared" si="50"/>
        <v>58629195</v>
      </c>
      <c r="X237" s="6"/>
      <c r="Y237" s="6" t="s">
        <v>270</v>
      </c>
      <c r="Z237" s="18"/>
      <c r="AA237" s="6" t="s">
        <v>41</v>
      </c>
      <c r="AB237" s="6"/>
      <c r="AC237" s="6">
        <v>46428942</v>
      </c>
      <c r="AD237" s="6"/>
      <c r="AE237" s="6">
        <f>41135797-2296056</f>
        <v>38839741</v>
      </c>
      <c r="AF237" s="6"/>
      <c r="AG237" s="6">
        <v>2296056</v>
      </c>
      <c r="AH237" s="6"/>
      <c r="AI237" s="8">
        <f t="shared" si="46"/>
        <v>5293145</v>
      </c>
      <c r="AJ237" s="8"/>
      <c r="AK237" s="6">
        <v>-1885645</v>
      </c>
      <c r="AL237" s="6"/>
      <c r="AM237" s="6">
        <v>0</v>
      </c>
      <c r="AN237" s="6"/>
      <c r="AO237" s="6">
        <v>0</v>
      </c>
      <c r="AP237" s="6"/>
      <c r="AQ237" s="6">
        <v>3000</v>
      </c>
      <c r="AR237" s="6"/>
      <c r="AS237" s="8">
        <f t="shared" si="47"/>
        <v>3410500</v>
      </c>
      <c r="AT237" s="8"/>
      <c r="AU237" s="6">
        <v>0</v>
      </c>
      <c r="AV237" s="6"/>
      <c r="AW237" s="6">
        <v>0</v>
      </c>
      <c r="AX237" s="6"/>
      <c r="AY237" s="6">
        <f t="shared" si="51"/>
        <v>27259954</v>
      </c>
      <c r="AZ237" s="6"/>
      <c r="BA237" s="6" t="s">
        <v>270</v>
      </c>
      <c r="BB237" s="18"/>
      <c r="BC237" s="6" t="s">
        <v>41</v>
      </c>
      <c r="BD237" s="6"/>
      <c r="BE237" s="6">
        <f>26979897+1406590</f>
        <v>28386487</v>
      </c>
      <c r="BF237" s="6"/>
      <c r="BG237" s="6">
        <v>0</v>
      </c>
      <c r="BH237" s="6"/>
      <c r="BI237" s="6">
        <v>0</v>
      </c>
      <c r="BJ237" s="6"/>
      <c r="BK237" s="6">
        <f>210937+276354</f>
        <v>487291</v>
      </c>
      <c r="BL237" s="6"/>
      <c r="BM237" s="6">
        <f t="shared" si="52"/>
        <v>28873778</v>
      </c>
      <c r="BN237" s="17" t="s">
        <v>345</v>
      </c>
    </row>
    <row r="238" spans="1:66" ht="12.75" hidden="1" customHeight="1" x14ac:dyDescent="0.2">
      <c r="A238" s="6" t="s">
        <v>271</v>
      </c>
      <c r="C238" s="6" t="s">
        <v>25</v>
      </c>
      <c r="D238" s="6"/>
      <c r="E238" s="6">
        <f t="shared" ref="E238:E251" si="53">I238-G238</f>
        <v>0</v>
      </c>
      <c r="F238" s="6"/>
      <c r="G238" s="6">
        <v>0</v>
      </c>
      <c r="H238" s="6"/>
      <c r="I238" s="6">
        <v>0</v>
      </c>
      <c r="J238" s="6"/>
      <c r="K238" s="6">
        <f t="shared" ref="K238:K251" si="54">O238-M238</f>
        <v>0</v>
      </c>
      <c r="L238" s="6"/>
      <c r="M238" s="6">
        <v>0</v>
      </c>
      <c r="N238" s="6"/>
      <c r="O238" s="6">
        <v>0</v>
      </c>
      <c r="P238" s="6"/>
      <c r="Q238" s="6">
        <v>0</v>
      </c>
      <c r="R238" s="6"/>
      <c r="S238" s="6">
        <v>0</v>
      </c>
      <c r="T238" s="6"/>
      <c r="U238" s="6">
        <v>0</v>
      </c>
      <c r="V238" s="6"/>
      <c r="W238" s="6">
        <f t="shared" ref="W238:W251" si="55">SUM(Q238:U238)</f>
        <v>0</v>
      </c>
      <c r="X238" s="6"/>
      <c r="Y238" s="6" t="s">
        <v>271</v>
      </c>
      <c r="Z238" s="18"/>
      <c r="AA238" s="6" t="s">
        <v>25</v>
      </c>
      <c r="AB238" s="6"/>
      <c r="AC238" s="6">
        <v>0</v>
      </c>
      <c r="AD238" s="6"/>
      <c r="AE238" s="6">
        <v>0</v>
      </c>
      <c r="AF238" s="6"/>
      <c r="AG238" s="6">
        <v>0</v>
      </c>
      <c r="AH238" s="6"/>
      <c r="AI238" s="8">
        <f>+AC238-AE238-AG238</f>
        <v>0</v>
      </c>
      <c r="AJ238" s="8"/>
      <c r="AK238" s="6">
        <v>0</v>
      </c>
      <c r="AL238" s="6"/>
      <c r="AM238" s="6">
        <v>0</v>
      </c>
      <c r="AN238" s="6"/>
      <c r="AO238" s="6">
        <v>0</v>
      </c>
      <c r="AP238" s="6"/>
      <c r="AQ238" s="6">
        <v>0</v>
      </c>
      <c r="AR238" s="6"/>
      <c r="AS238" s="8">
        <f t="shared" ref="AS238:AS243" si="56">+AI238+AK238+AM238-AO238+AQ238</f>
        <v>0</v>
      </c>
      <c r="AT238" s="8"/>
      <c r="AU238" s="6">
        <v>0</v>
      </c>
      <c r="AV238" s="6"/>
      <c r="AW238" s="6">
        <v>0</v>
      </c>
      <c r="AX238" s="6"/>
      <c r="AY238" s="6">
        <f t="shared" ref="AY238:AY241" si="57">+E238-K238</f>
        <v>0</v>
      </c>
      <c r="AZ238" s="6"/>
      <c r="BA238" s="6" t="s">
        <v>271</v>
      </c>
      <c r="BB238" s="18"/>
      <c r="BC238" s="6" t="s">
        <v>25</v>
      </c>
      <c r="BD238" s="6"/>
      <c r="BE238" s="6"/>
      <c r="BF238" s="6"/>
      <c r="BG238" s="6"/>
      <c r="BH238" s="6"/>
      <c r="BI238" s="6"/>
      <c r="BJ238" s="6"/>
      <c r="BK238" s="6"/>
      <c r="BL238" s="6"/>
      <c r="BM238" s="6">
        <f t="shared" si="52"/>
        <v>0</v>
      </c>
      <c r="BN238" s="17" t="s">
        <v>345</v>
      </c>
    </row>
    <row r="239" spans="1:66" ht="12.75" hidden="1" customHeight="1" x14ac:dyDescent="0.2">
      <c r="A239" s="6" t="s">
        <v>272</v>
      </c>
      <c r="C239" s="6" t="s">
        <v>41</v>
      </c>
      <c r="D239" s="6"/>
      <c r="E239" s="6">
        <f t="shared" si="53"/>
        <v>0</v>
      </c>
      <c r="F239" s="6"/>
      <c r="G239" s="6">
        <v>0</v>
      </c>
      <c r="H239" s="6"/>
      <c r="I239" s="6">
        <v>0</v>
      </c>
      <c r="J239" s="6"/>
      <c r="K239" s="6">
        <f t="shared" si="54"/>
        <v>0</v>
      </c>
      <c r="L239" s="6"/>
      <c r="M239" s="6">
        <v>0</v>
      </c>
      <c r="N239" s="6"/>
      <c r="O239" s="6">
        <v>0</v>
      </c>
      <c r="P239" s="6"/>
      <c r="Q239" s="6">
        <v>0</v>
      </c>
      <c r="R239" s="6"/>
      <c r="S239" s="6">
        <v>0</v>
      </c>
      <c r="T239" s="6"/>
      <c r="U239" s="6">
        <v>0</v>
      </c>
      <c r="V239" s="6"/>
      <c r="W239" s="6">
        <f t="shared" si="55"/>
        <v>0</v>
      </c>
      <c r="X239" s="6"/>
      <c r="Y239" s="6" t="s">
        <v>272</v>
      </c>
      <c r="Z239" s="18"/>
      <c r="AA239" s="6" t="s">
        <v>41</v>
      </c>
      <c r="AB239" s="6"/>
      <c r="AC239" s="6">
        <v>0</v>
      </c>
      <c r="AD239" s="6"/>
      <c r="AE239" s="6">
        <v>0</v>
      </c>
      <c r="AF239" s="6"/>
      <c r="AG239" s="6">
        <v>0</v>
      </c>
      <c r="AH239" s="6"/>
      <c r="AI239" s="8">
        <v>0</v>
      </c>
      <c r="AJ239" s="8"/>
      <c r="AK239" s="6">
        <v>0</v>
      </c>
      <c r="AL239" s="6"/>
      <c r="AM239" s="6">
        <v>0</v>
      </c>
      <c r="AN239" s="6"/>
      <c r="AO239" s="6">
        <v>0</v>
      </c>
      <c r="AP239" s="6"/>
      <c r="AQ239" s="6">
        <v>0</v>
      </c>
      <c r="AR239" s="6"/>
      <c r="AS239" s="8">
        <f t="shared" si="56"/>
        <v>0</v>
      </c>
      <c r="AT239" s="8"/>
      <c r="AU239" s="6">
        <v>0</v>
      </c>
      <c r="AV239" s="6"/>
      <c r="AW239" s="6">
        <v>0</v>
      </c>
      <c r="AX239" s="6"/>
      <c r="AY239" s="6">
        <f t="shared" si="57"/>
        <v>0</v>
      </c>
      <c r="AZ239" s="6"/>
      <c r="BA239" s="6" t="s">
        <v>272</v>
      </c>
      <c r="BB239" s="18"/>
      <c r="BC239" s="6" t="s">
        <v>41</v>
      </c>
      <c r="BD239" s="6"/>
      <c r="BE239" s="6"/>
      <c r="BF239" s="6"/>
      <c r="BG239" s="6"/>
      <c r="BH239" s="6"/>
      <c r="BI239" s="6"/>
      <c r="BJ239" s="6"/>
      <c r="BK239" s="6"/>
      <c r="BL239" s="6"/>
      <c r="BM239" s="6">
        <f t="shared" si="52"/>
        <v>0</v>
      </c>
      <c r="BN239" s="17" t="s">
        <v>345</v>
      </c>
    </row>
    <row r="240" spans="1:66" ht="12.75" hidden="1" customHeight="1" x14ac:dyDescent="0.2">
      <c r="A240" s="6" t="s">
        <v>273</v>
      </c>
      <c r="C240" s="6" t="s">
        <v>90</v>
      </c>
      <c r="D240" s="6"/>
      <c r="E240" s="6">
        <f t="shared" si="53"/>
        <v>0</v>
      </c>
      <c r="F240" s="6"/>
      <c r="G240" s="6">
        <v>0</v>
      </c>
      <c r="H240" s="6"/>
      <c r="I240" s="6">
        <v>0</v>
      </c>
      <c r="J240" s="6"/>
      <c r="K240" s="6">
        <f t="shared" si="54"/>
        <v>0</v>
      </c>
      <c r="L240" s="6"/>
      <c r="M240" s="6">
        <v>0</v>
      </c>
      <c r="N240" s="6"/>
      <c r="O240" s="6">
        <v>0</v>
      </c>
      <c r="P240" s="6"/>
      <c r="Q240" s="6">
        <v>0</v>
      </c>
      <c r="R240" s="6"/>
      <c r="S240" s="6">
        <v>0</v>
      </c>
      <c r="T240" s="6"/>
      <c r="U240" s="6">
        <v>0</v>
      </c>
      <c r="V240" s="6"/>
      <c r="W240" s="6">
        <f t="shared" si="55"/>
        <v>0</v>
      </c>
      <c r="X240" s="6"/>
      <c r="Y240" s="6" t="s">
        <v>273</v>
      </c>
      <c r="Z240" s="18"/>
      <c r="AA240" s="6" t="s">
        <v>90</v>
      </c>
      <c r="AB240" s="6"/>
      <c r="AC240" s="6">
        <v>0</v>
      </c>
      <c r="AD240" s="6"/>
      <c r="AE240" s="6">
        <v>0</v>
      </c>
      <c r="AF240" s="6"/>
      <c r="AG240" s="6">
        <v>0</v>
      </c>
      <c r="AH240" s="6"/>
      <c r="AI240" s="8">
        <f t="shared" ref="AI240:AI247" si="58">+AC240-AE240-AG240</f>
        <v>0</v>
      </c>
      <c r="AJ240" s="8"/>
      <c r="AK240" s="6">
        <v>0</v>
      </c>
      <c r="AL240" s="6"/>
      <c r="AM240" s="6">
        <v>0</v>
      </c>
      <c r="AN240" s="6"/>
      <c r="AO240" s="6">
        <v>0</v>
      </c>
      <c r="AP240" s="6"/>
      <c r="AQ240" s="6">
        <v>0</v>
      </c>
      <c r="AR240" s="6"/>
      <c r="AS240" s="8">
        <f t="shared" si="56"/>
        <v>0</v>
      </c>
      <c r="AT240" s="8"/>
      <c r="AU240" s="6">
        <v>0</v>
      </c>
      <c r="AV240" s="6"/>
      <c r="AW240" s="6">
        <v>0</v>
      </c>
      <c r="AX240" s="6"/>
      <c r="AY240" s="6">
        <f t="shared" si="57"/>
        <v>0</v>
      </c>
      <c r="AZ240" s="6"/>
      <c r="BA240" s="6" t="s">
        <v>273</v>
      </c>
      <c r="BB240" s="18"/>
      <c r="BC240" s="6" t="s">
        <v>90</v>
      </c>
      <c r="BD240" s="6"/>
      <c r="BE240" s="6"/>
      <c r="BF240" s="6"/>
      <c r="BG240" s="6"/>
      <c r="BH240" s="6"/>
      <c r="BI240" s="6"/>
      <c r="BJ240" s="6"/>
      <c r="BK240" s="6"/>
      <c r="BL240" s="6"/>
      <c r="BM240" s="6">
        <f t="shared" si="52"/>
        <v>0</v>
      </c>
      <c r="BN240" s="17" t="s">
        <v>345</v>
      </c>
    </row>
    <row r="241" spans="1:67" ht="12.75" hidden="1" customHeight="1" x14ac:dyDescent="0.2">
      <c r="A241" s="6" t="s">
        <v>274</v>
      </c>
      <c r="C241" s="6" t="s">
        <v>36</v>
      </c>
      <c r="D241" s="6"/>
      <c r="E241" s="6">
        <f t="shared" si="53"/>
        <v>0</v>
      </c>
      <c r="F241" s="6"/>
      <c r="G241" s="6"/>
      <c r="H241" s="6"/>
      <c r="I241" s="6"/>
      <c r="J241" s="6"/>
      <c r="K241" s="6">
        <f t="shared" si="54"/>
        <v>0</v>
      </c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>
        <f t="shared" si="55"/>
        <v>0</v>
      </c>
      <c r="X241" s="6"/>
      <c r="Y241" s="6" t="s">
        <v>274</v>
      </c>
      <c r="Z241" s="18"/>
      <c r="AA241" s="6" t="s">
        <v>36</v>
      </c>
      <c r="AB241" s="6"/>
      <c r="AC241" s="6"/>
      <c r="AD241" s="6"/>
      <c r="AE241" s="6"/>
      <c r="AF241" s="6"/>
      <c r="AG241" s="6"/>
      <c r="AH241" s="6"/>
      <c r="AI241" s="8">
        <f t="shared" si="58"/>
        <v>0</v>
      </c>
      <c r="AJ241" s="8"/>
      <c r="AK241" s="6"/>
      <c r="AL241" s="6"/>
      <c r="AM241" s="6"/>
      <c r="AN241" s="6"/>
      <c r="AO241" s="6"/>
      <c r="AP241" s="6"/>
      <c r="AQ241" s="6"/>
      <c r="AR241" s="6"/>
      <c r="AS241" s="8">
        <f t="shared" si="56"/>
        <v>0</v>
      </c>
      <c r="AT241" s="8"/>
      <c r="AU241" s="6">
        <v>0</v>
      </c>
      <c r="AV241" s="6"/>
      <c r="AW241" s="6">
        <v>0</v>
      </c>
      <c r="AX241" s="6"/>
      <c r="AY241" s="6">
        <f t="shared" si="57"/>
        <v>0</v>
      </c>
      <c r="AZ241" s="6"/>
      <c r="BA241" s="6" t="s">
        <v>274</v>
      </c>
      <c r="BB241" s="18"/>
      <c r="BC241" s="6" t="s">
        <v>36</v>
      </c>
      <c r="BD241" s="6"/>
      <c r="BE241" s="6"/>
      <c r="BF241" s="6"/>
      <c r="BG241" s="6"/>
      <c r="BH241" s="6"/>
      <c r="BI241" s="6"/>
      <c r="BJ241" s="6"/>
      <c r="BK241" s="6"/>
      <c r="BL241" s="6"/>
      <c r="BM241" s="6">
        <f t="shared" si="52"/>
        <v>0</v>
      </c>
      <c r="BN241" s="17" t="s">
        <v>345</v>
      </c>
      <c r="BO241" s="6" t="s">
        <v>364</v>
      </c>
    </row>
    <row r="242" spans="1:67" ht="12.75" hidden="1" customHeight="1" x14ac:dyDescent="0.2">
      <c r="A242" s="6" t="s">
        <v>275</v>
      </c>
      <c r="C242" s="6" t="s">
        <v>90</v>
      </c>
      <c r="D242" s="6"/>
      <c r="E242" s="6">
        <f t="shared" si="53"/>
        <v>0</v>
      </c>
      <c r="F242" s="6"/>
      <c r="G242" s="6">
        <v>0</v>
      </c>
      <c r="H242" s="6"/>
      <c r="I242" s="6">
        <v>0</v>
      </c>
      <c r="J242" s="6"/>
      <c r="K242" s="6">
        <f t="shared" si="54"/>
        <v>0</v>
      </c>
      <c r="L242" s="6"/>
      <c r="M242" s="6">
        <v>0</v>
      </c>
      <c r="N242" s="6"/>
      <c r="O242" s="6">
        <v>0</v>
      </c>
      <c r="P242" s="6"/>
      <c r="Q242" s="6">
        <v>0</v>
      </c>
      <c r="R242" s="6"/>
      <c r="S242" s="6">
        <v>0</v>
      </c>
      <c r="T242" s="6"/>
      <c r="U242" s="6">
        <v>0</v>
      </c>
      <c r="V242" s="6"/>
      <c r="W242" s="6">
        <f t="shared" si="55"/>
        <v>0</v>
      </c>
      <c r="X242" s="6"/>
      <c r="Y242" s="6" t="s">
        <v>275</v>
      </c>
      <c r="Z242" s="18"/>
      <c r="AA242" s="6" t="s">
        <v>90</v>
      </c>
      <c r="AB242" s="6"/>
      <c r="AC242" s="6">
        <v>0</v>
      </c>
      <c r="AD242" s="6"/>
      <c r="AE242" s="6">
        <v>0</v>
      </c>
      <c r="AF242" s="6"/>
      <c r="AG242" s="6">
        <v>0</v>
      </c>
      <c r="AH242" s="6"/>
      <c r="AI242" s="8">
        <f t="shared" si="58"/>
        <v>0</v>
      </c>
      <c r="AJ242" s="8"/>
      <c r="AK242" s="6">
        <v>0</v>
      </c>
      <c r="AL242" s="6"/>
      <c r="AM242" s="6">
        <v>0</v>
      </c>
      <c r="AN242" s="6"/>
      <c r="AO242" s="6">
        <v>0</v>
      </c>
      <c r="AP242" s="6"/>
      <c r="AQ242" s="6">
        <v>0</v>
      </c>
      <c r="AR242" s="6"/>
      <c r="AS242" s="8">
        <f t="shared" si="56"/>
        <v>0</v>
      </c>
      <c r="AT242" s="8"/>
      <c r="AU242" s="6">
        <v>0</v>
      </c>
      <c r="AV242" s="6"/>
      <c r="AW242" s="6">
        <v>0</v>
      </c>
      <c r="AX242" s="6"/>
      <c r="AY242" s="6">
        <f t="shared" ref="AY242:AY251" si="59">+E242-K242</f>
        <v>0</v>
      </c>
      <c r="AZ242" s="6"/>
      <c r="BA242" s="6" t="s">
        <v>275</v>
      </c>
      <c r="BB242" s="18"/>
      <c r="BC242" s="6" t="s">
        <v>90</v>
      </c>
      <c r="BD242" s="6"/>
      <c r="BE242" s="6"/>
      <c r="BF242" s="6"/>
      <c r="BG242" s="6"/>
      <c r="BH242" s="6"/>
      <c r="BI242" s="6"/>
      <c r="BJ242" s="6"/>
      <c r="BK242" s="6"/>
      <c r="BL242" s="6"/>
      <c r="BM242" s="6">
        <f t="shared" si="52"/>
        <v>0</v>
      </c>
      <c r="BN242" s="17" t="s">
        <v>345</v>
      </c>
    </row>
    <row r="243" spans="1:67" ht="12.75" hidden="1" customHeight="1" x14ac:dyDescent="0.2">
      <c r="A243" s="6" t="s">
        <v>276</v>
      </c>
      <c r="C243" s="6" t="s">
        <v>90</v>
      </c>
      <c r="D243" s="6"/>
      <c r="E243" s="6">
        <f t="shared" si="53"/>
        <v>0</v>
      </c>
      <c r="F243" s="6"/>
      <c r="G243" s="6"/>
      <c r="H243" s="6"/>
      <c r="I243" s="6"/>
      <c r="J243" s="6"/>
      <c r="K243" s="6">
        <f t="shared" si="54"/>
        <v>0</v>
      </c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>
        <f t="shared" si="55"/>
        <v>0</v>
      </c>
      <c r="X243" s="6"/>
      <c r="Y243" s="6" t="s">
        <v>276</v>
      </c>
      <c r="Z243" s="18"/>
      <c r="AA243" s="6" t="s">
        <v>90</v>
      </c>
      <c r="AB243" s="6"/>
      <c r="AC243" s="6"/>
      <c r="AD243" s="6"/>
      <c r="AE243" s="6"/>
      <c r="AF243" s="6"/>
      <c r="AG243" s="6"/>
      <c r="AH243" s="6"/>
      <c r="AI243" s="8">
        <f t="shared" si="58"/>
        <v>0</v>
      </c>
      <c r="AJ243" s="8"/>
      <c r="AK243" s="6"/>
      <c r="AL243" s="6"/>
      <c r="AM243" s="6"/>
      <c r="AN243" s="6"/>
      <c r="AO243" s="6"/>
      <c r="AP243" s="6"/>
      <c r="AQ243" s="6"/>
      <c r="AR243" s="6"/>
      <c r="AS243" s="8">
        <f t="shared" si="56"/>
        <v>0</v>
      </c>
      <c r="AT243" s="8"/>
      <c r="AU243" s="6">
        <v>0</v>
      </c>
      <c r="AV243" s="6"/>
      <c r="AW243" s="6">
        <v>0</v>
      </c>
      <c r="AX243" s="6"/>
      <c r="AY243" s="6">
        <f t="shared" si="59"/>
        <v>0</v>
      </c>
      <c r="AZ243" s="6"/>
      <c r="BA243" s="6" t="s">
        <v>276</v>
      </c>
      <c r="BB243" s="18"/>
      <c r="BC243" s="6" t="s">
        <v>90</v>
      </c>
      <c r="BD243" s="6"/>
      <c r="BE243" s="6"/>
      <c r="BF243" s="6"/>
      <c r="BG243" s="6"/>
      <c r="BH243" s="6"/>
      <c r="BI243" s="6"/>
      <c r="BJ243" s="6"/>
      <c r="BK243" s="6"/>
      <c r="BL243" s="6"/>
      <c r="BM243" s="6">
        <f t="shared" si="52"/>
        <v>0</v>
      </c>
      <c r="BN243" s="17" t="s">
        <v>345</v>
      </c>
    </row>
    <row r="244" spans="1:67" ht="12.75" hidden="1" customHeight="1" x14ac:dyDescent="0.2">
      <c r="A244" s="6" t="s">
        <v>277</v>
      </c>
      <c r="C244" s="6" t="s">
        <v>90</v>
      </c>
      <c r="D244" s="6"/>
      <c r="E244" s="6">
        <f t="shared" si="53"/>
        <v>0</v>
      </c>
      <c r="F244" s="6"/>
      <c r="G244" s="6">
        <v>0</v>
      </c>
      <c r="H244" s="6"/>
      <c r="I244" s="6">
        <v>0</v>
      </c>
      <c r="J244" s="6"/>
      <c r="K244" s="6">
        <f t="shared" si="54"/>
        <v>0</v>
      </c>
      <c r="L244" s="6"/>
      <c r="M244" s="6">
        <v>0</v>
      </c>
      <c r="N244" s="6"/>
      <c r="O244" s="6">
        <v>0</v>
      </c>
      <c r="P244" s="6"/>
      <c r="Q244" s="6">
        <v>0</v>
      </c>
      <c r="R244" s="6"/>
      <c r="S244" s="6">
        <v>0</v>
      </c>
      <c r="T244" s="6"/>
      <c r="U244" s="6">
        <v>0</v>
      </c>
      <c r="V244" s="6"/>
      <c r="W244" s="6">
        <f t="shared" si="55"/>
        <v>0</v>
      </c>
      <c r="X244" s="6"/>
      <c r="Y244" s="6" t="s">
        <v>277</v>
      </c>
      <c r="Z244" s="18"/>
      <c r="AA244" s="6" t="s">
        <v>90</v>
      </c>
      <c r="AB244" s="6"/>
      <c r="AC244" s="6">
        <v>0</v>
      </c>
      <c r="AD244" s="6"/>
      <c r="AE244" s="6">
        <v>0</v>
      </c>
      <c r="AF244" s="6"/>
      <c r="AG244" s="6">
        <v>0</v>
      </c>
      <c r="AH244" s="6"/>
      <c r="AI244" s="8">
        <f t="shared" si="58"/>
        <v>0</v>
      </c>
      <c r="AJ244" s="8"/>
      <c r="AK244" s="6">
        <v>0</v>
      </c>
      <c r="AL244" s="6"/>
      <c r="AM244" s="6">
        <v>0</v>
      </c>
      <c r="AN244" s="6"/>
      <c r="AO244" s="6">
        <v>0</v>
      </c>
      <c r="AP244" s="6"/>
      <c r="AQ244" s="6">
        <v>0</v>
      </c>
      <c r="AR244" s="6"/>
      <c r="AS244" s="8">
        <v>0</v>
      </c>
      <c r="AT244" s="8"/>
      <c r="AU244" s="6">
        <v>0</v>
      </c>
      <c r="AV244" s="6"/>
      <c r="AW244" s="6">
        <v>0</v>
      </c>
      <c r="AX244" s="6"/>
      <c r="AY244" s="6">
        <f t="shared" si="59"/>
        <v>0</v>
      </c>
      <c r="AZ244" s="6"/>
      <c r="BA244" s="6" t="s">
        <v>277</v>
      </c>
      <c r="BB244" s="18"/>
      <c r="BC244" s="6" t="s">
        <v>90</v>
      </c>
      <c r="BD244" s="6"/>
      <c r="BE244" s="6"/>
      <c r="BF244" s="6"/>
      <c r="BG244" s="6"/>
      <c r="BH244" s="6"/>
      <c r="BI244" s="6"/>
      <c r="BJ244" s="6"/>
      <c r="BK244" s="6"/>
      <c r="BL244" s="6"/>
      <c r="BM244" s="6">
        <f t="shared" si="52"/>
        <v>0</v>
      </c>
      <c r="BN244" s="17" t="s">
        <v>345</v>
      </c>
      <c r="BO244" s="18" t="s">
        <v>365</v>
      </c>
    </row>
    <row r="245" spans="1:67" ht="12.75" hidden="1" customHeight="1" x14ac:dyDescent="0.2">
      <c r="A245" s="6" t="s">
        <v>278</v>
      </c>
      <c r="C245" s="6" t="s">
        <v>279</v>
      </c>
      <c r="D245" s="6"/>
      <c r="E245" s="6">
        <f t="shared" si="53"/>
        <v>0</v>
      </c>
      <c r="F245" s="6"/>
      <c r="G245" s="6">
        <v>0</v>
      </c>
      <c r="H245" s="6"/>
      <c r="I245" s="6">
        <v>0</v>
      </c>
      <c r="J245" s="6"/>
      <c r="K245" s="6">
        <f t="shared" si="54"/>
        <v>0</v>
      </c>
      <c r="L245" s="6"/>
      <c r="M245" s="6">
        <v>0</v>
      </c>
      <c r="N245" s="6"/>
      <c r="O245" s="6">
        <v>0</v>
      </c>
      <c r="P245" s="6"/>
      <c r="Q245" s="6">
        <v>0</v>
      </c>
      <c r="R245" s="6"/>
      <c r="S245" s="6">
        <v>0</v>
      </c>
      <c r="T245" s="6"/>
      <c r="U245" s="6">
        <v>0</v>
      </c>
      <c r="V245" s="6"/>
      <c r="W245" s="6">
        <f t="shared" si="55"/>
        <v>0</v>
      </c>
      <c r="X245" s="6"/>
      <c r="Y245" s="6" t="s">
        <v>278</v>
      </c>
      <c r="Z245" s="18"/>
      <c r="AA245" s="6" t="s">
        <v>279</v>
      </c>
      <c r="AB245" s="6"/>
      <c r="AC245" s="6">
        <v>0</v>
      </c>
      <c r="AD245" s="6"/>
      <c r="AE245" s="6">
        <v>0</v>
      </c>
      <c r="AF245" s="6"/>
      <c r="AG245" s="6">
        <v>0</v>
      </c>
      <c r="AH245" s="6"/>
      <c r="AI245" s="8">
        <f t="shared" si="58"/>
        <v>0</v>
      </c>
      <c r="AJ245" s="8"/>
      <c r="AK245" s="6">
        <v>0</v>
      </c>
      <c r="AL245" s="6"/>
      <c r="AM245" s="6">
        <v>0</v>
      </c>
      <c r="AN245" s="6"/>
      <c r="AO245" s="6">
        <v>0</v>
      </c>
      <c r="AP245" s="6"/>
      <c r="AQ245" s="6">
        <v>0</v>
      </c>
      <c r="AR245" s="6"/>
      <c r="AS245" s="8">
        <f t="shared" ref="AS245:AS251" si="60">+AI245+AK245+AM245-AO245+AQ245</f>
        <v>0</v>
      </c>
      <c r="AT245" s="8"/>
      <c r="AU245" s="6">
        <v>0</v>
      </c>
      <c r="AV245" s="6"/>
      <c r="AW245" s="6">
        <v>0</v>
      </c>
      <c r="AX245" s="6"/>
      <c r="AY245" s="6">
        <f t="shared" si="59"/>
        <v>0</v>
      </c>
      <c r="AZ245" s="6"/>
      <c r="BA245" s="6" t="s">
        <v>278</v>
      </c>
      <c r="BB245" s="18"/>
      <c r="BC245" s="6" t="s">
        <v>279</v>
      </c>
      <c r="BD245" s="6"/>
      <c r="BE245" s="6"/>
      <c r="BF245" s="6"/>
      <c r="BG245" s="6"/>
      <c r="BH245" s="6"/>
      <c r="BI245" s="6"/>
      <c r="BJ245" s="6"/>
      <c r="BK245" s="6"/>
      <c r="BL245" s="6"/>
      <c r="BM245" s="6">
        <f t="shared" si="52"/>
        <v>0</v>
      </c>
      <c r="BN245" s="17" t="s">
        <v>345</v>
      </c>
      <c r="BO245" s="18" t="s">
        <v>365</v>
      </c>
    </row>
    <row r="246" spans="1:67" ht="12.75" hidden="1" customHeight="1" x14ac:dyDescent="0.2">
      <c r="A246" s="6" t="s">
        <v>280</v>
      </c>
      <c r="C246" s="6" t="s">
        <v>197</v>
      </c>
      <c r="D246" s="6"/>
      <c r="E246" s="6">
        <f t="shared" si="53"/>
        <v>0</v>
      </c>
      <c r="F246" s="6"/>
      <c r="G246" s="6"/>
      <c r="H246" s="6"/>
      <c r="I246" s="6"/>
      <c r="J246" s="6"/>
      <c r="K246" s="6">
        <f t="shared" si="54"/>
        <v>0</v>
      </c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>
        <f t="shared" si="55"/>
        <v>0</v>
      </c>
      <c r="X246" s="6"/>
      <c r="Y246" s="6" t="s">
        <v>280</v>
      </c>
      <c r="Z246" s="18"/>
      <c r="AA246" s="6" t="s">
        <v>197</v>
      </c>
      <c r="AB246" s="6"/>
      <c r="AC246" s="6"/>
      <c r="AD246" s="6"/>
      <c r="AE246" s="6"/>
      <c r="AF246" s="6"/>
      <c r="AG246" s="6"/>
      <c r="AH246" s="6"/>
      <c r="AI246" s="8">
        <f t="shared" si="58"/>
        <v>0</v>
      </c>
      <c r="AJ246" s="8"/>
      <c r="AK246" s="6"/>
      <c r="AL246" s="6"/>
      <c r="AM246" s="6"/>
      <c r="AN246" s="6"/>
      <c r="AO246" s="6"/>
      <c r="AP246" s="6"/>
      <c r="AQ246" s="6"/>
      <c r="AR246" s="6"/>
      <c r="AS246" s="8">
        <f t="shared" si="60"/>
        <v>0</v>
      </c>
      <c r="AT246" s="8"/>
      <c r="AU246" s="6">
        <v>0</v>
      </c>
      <c r="AV246" s="6"/>
      <c r="AW246" s="6">
        <v>0</v>
      </c>
      <c r="AX246" s="6"/>
      <c r="AY246" s="6">
        <f t="shared" si="59"/>
        <v>0</v>
      </c>
      <c r="AZ246" s="6"/>
      <c r="BA246" s="6" t="s">
        <v>280</v>
      </c>
      <c r="BB246" s="18"/>
      <c r="BC246" s="6" t="s">
        <v>197</v>
      </c>
      <c r="BD246" s="6"/>
      <c r="BE246" s="6"/>
      <c r="BF246" s="6"/>
      <c r="BG246" s="6"/>
      <c r="BH246" s="6"/>
      <c r="BI246" s="6"/>
      <c r="BJ246" s="6"/>
      <c r="BK246" s="6"/>
      <c r="BL246" s="6"/>
      <c r="BM246" s="6">
        <f t="shared" si="52"/>
        <v>0</v>
      </c>
      <c r="BN246" s="17" t="s">
        <v>345</v>
      </c>
    </row>
    <row r="247" spans="1:67" ht="12.75" hidden="1" customHeight="1" x14ac:dyDescent="0.2">
      <c r="A247" s="6" t="s">
        <v>281</v>
      </c>
      <c r="C247" s="6" t="s">
        <v>41</v>
      </c>
      <c r="D247" s="6"/>
      <c r="E247" s="6">
        <f t="shared" si="53"/>
        <v>0</v>
      </c>
      <c r="F247" s="6"/>
      <c r="G247" s="6">
        <v>0</v>
      </c>
      <c r="H247" s="6"/>
      <c r="I247" s="6">
        <v>0</v>
      </c>
      <c r="J247" s="6"/>
      <c r="K247" s="6">
        <f t="shared" si="54"/>
        <v>0</v>
      </c>
      <c r="L247" s="6"/>
      <c r="M247" s="6">
        <v>0</v>
      </c>
      <c r="N247" s="6"/>
      <c r="O247" s="6">
        <v>0</v>
      </c>
      <c r="P247" s="6"/>
      <c r="Q247" s="6">
        <v>0</v>
      </c>
      <c r="R247" s="6"/>
      <c r="S247" s="6">
        <v>0</v>
      </c>
      <c r="T247" s="6"/>
      <c r="U247" s="6">
        <v>0</v>
      </c>
      <c r="V247" s="6"/>
      <c r="W247" s="6">
        <f t="shared" si="55"/>
        <v>0</v>
      </c>
      <c r="X247" s="6"/>
      <c r="Y247" s="6" t="s">
        <v>281</v>
      </c>
      <c r="Z247" s="18"/>
      <c r="AA247" s="6" t="s">
        <v>41</v>
      </c>
      <c r="AB247" s="6"/>
      <c r="AC247" s="6">
        <v>0</v>
      </c>
      <c r="AD247" s="6"/>
      <c r="AE247" s="6">
        <v>0</v>
      </c>
      <c r="AF247" s="6"/>
      <c r="AG247" s="6">
        <v>0</v>
      </c>
      <c r="AH247" s="6"/>
      <c r="AI247" s="8">
        <f t="shared" si="58"/>
        <v>0</v>
      </c>
      <c r="AJ247" s="8"/>
      <c r="AK247" s="6">
        <v>0</v>
      </c>
      <c r="AL247" s="6"/>
      <c r="AM247" s="6">
        <v>0</v>
      </c>
      <c r="AN247" s="6"/>
      <c r="AO247" s="6">
        <v>0</v>
      </c>
      <c r="AP247" s="6"/>
      <c r="AQ247" s="6">
        <v>0</v>
      </c>
      <c r="AR247" s="6"/>
      <c r="AS247" s="8">
        <f t="shared" si="60"/>
        <v>0</v>
      </c>
      <c r="AT247" s="8"/>
      <c r="AU247" s="6">
        <v>0</v>
      </c>
      <c r="AV247" s="6"/>
      <c r="AW247" s="6">
        <v>0</v>
      </c>
      <c r="AX247" s="6"/>
      <c r="AY247" s="6">
        <f t="shared" si="59"/>
        <v>0</v>
      </c>
      <c r="AZ247" s="6"/>
      <c r="BA247" s="6" t="s">
        <v>281</v>
      </c>
      <c r="BB247" s="18"/>
      <c r="BC247" s="6" t="s">
        <v>41</v>
      </c>
      <c r="BD247" s="6"/>
      <c r="BE247" s="6"/>
      <c r="BF247" s="6"/>
      <c r="BG247" s="6"/>
      <c r="BH247" s="6"/>
      <c r="BI247" s="6"/>
      <c r="BJ247" s="6"/>
      <c r="BK247" s="6"/>
      <c r="BL247" s="6"/>
      <c r="BM247" s="6">
        <f t="shared" si="52"/>
        <v>0</v>
      </c>
      <c r="BN247" s="17" t="s">
        <v>345</v>
      </c>
      <c r="BO247" s="18" t="s">
        <v>365</v>
      </c>
    </row>
    <row r="248" spans="1:67" ht="12.75" hidden="1" customHeight="1" x14ac:dyDescent="0.2">
      <c r="A248" s="6" t="s">
        <v>282</v>
      </c>
      <c r="C248" s="6" t="s">
        <v>43</v>
      </c>
      <c r="D248" s="6"/>
      <c r="E248" s="6">
        <f t="shared" si="53"/>
        <v>0</v>
      </c>
      <c r="F248" s="6"/>
      <c r="G248" s="6">
        <v>0</v>
      </c>
      <c r="H248" s="6"/>
      <c r="I248" s="6">
        <v>0</v>
      </c>
      <c r="J248" s="6"/>
      <c r="K248" s="6">
        <f t="shared" si="54"/>
        <v>0</v>
      </c>
      <c r="L248" s="6"/>
      <c r="M248" s="6">
        <v>0</v>
      </c>
      <c r="N248" s="6"/>
      <c r="O248" s="6">
        <v>0</v>
      </c>
      <c r="P248" s="6"/>
      <c r="Q248" s="6">
        <v>0</v>
      </c>
      <c r="R248" s="6"/>
      <c r="S248" s="6">
        <v>0</v>
      </c>
      <c r="T248" s="6"/>
      <c r="U248" s="6">
        <v>0</v>
      </c>
      <c r="V248" s="6"/>
      <c r="W248" s="6">
        <f t="shared" si="55"/>
        <v>0</v>
      </c>
      <c r="X248" s="6"/>
      <c r="Y248" s="6" t="s">
        <v>282</v>
      </c>
      <c r="Z248" s="18"/>
      <c r="AA248" s="6" t="s">
        <v>43</v>
      </c>
      <c r="AB248" s="6"/>
      <c r="AC248" s="6">
        <v>0</v>
      </c>
      <c r="AD248" s="6"/>
      <c r="AE248" s="6">
        <v>0</v>
      </c>
      <c r="AF248" s="6"/>
      <c r="AG248" s="6">
        <v>0</v>
      </c>
      <c r="AH248" s="6"/>
      <c r="AI248" s="8">
        <v>0</v>
      </c>
      <c r="AJ248" s="8"/>
      <c r="AK248" s="6">
        <v>0</v>
      </c>
      <c r="AL248" s="6"/>
      <c r="AM248" s="6">
        <v>0</v>
      </c>
      <c r="AN248" s="6"/>
      <c r="AO248" s="6">
        <v>0</v>
      </c>
      <c r="AP248" s="6"/>
      <c r="AQ248" s="6">
        <v>0</v>
      </c>
      <c r="AR248" s="6"/>
      <c r="AS248" s="8">
        <f t="shared" si="60"/>
        <v>0</v>
      </c>
      <c r="AT248" s="8"/>
      <c r="AU248" s="6">
        <v>0</v>
      </c>
      <c r="AV248" s="6"/>
      <c r="AW248" s="6">
        <v>0</v>
      </c>
      <c r="AX248" s="6"/>
      <c r="AY248" s="6">
        <f t="shared" si="59"/>
        <v>0</v>
      </c>
      <c r="AZ248" s="6"/>
      <c r="BA248" s="6" t="s">
        <v>282</v>
      </c>
      <c r="BB248" s="18"/>
      <c r="BC248" s="6" t="s">
        <v>43</v>
      </c>
      <c r="BD248" s="6"/>
      <c r="BE248" s="6"/>
      <c r="BF248" s="6"/>
      <c r="BG248" s="6"/>
      <c r="BH248" s="6"/>
      <c r="BI248" s="6"/>
      <c r="BJ248" s="6"/>
      <c r="BK248" s="6"/>
      <c r="BL248" s="6"/>
      <c r="BM248" s="6">
        <f t="shared" si="52"/>
        <v>0</v>
      </c>
      <c r="BN248" s="17" t="s">
        <v>345</v>
      </c>
    </row>
    <row r="249" spans="1:67" ht="12.75" hidden="1" customHeight="1" x14ac:dyDescent="0.2">
      <c r="A249" s="6" t="s">
        <v>283</v>
      </c>
      <c r="C249" s="6" t="s">
        <v>28</v>
      </c>
      <c r="D249" s="6"/>
      <c r="E249" s="6">
        <f t="shared" si="53"/>
        <v>0</v>
      </c>
      <c r="F249" s="6"/>
      <c r="G249" s="6">
        <v>0</v>
      </c>
      <c r="H249" s="6"/>
      <c r="I249" s="6">
        <v>0</v>
      </c>
      <c r="J249" s="6"/>
      <c r="K249" s="6">
        <f t="shared" si="54"/>
        <v>0</v>
      </c>
      <c r="L249" s="6"/>
      <c r="M249" s="6">
        <v>0</v>
      </c>
      <c r="N249" s="6"/>
      <c r="O249" s="6">
        <v>0</v>
      </c>
      <c r="P249" s="6"/>
      <c r="Q249" s="6">
        <v>0</v>
      </c>
      <c r="R249" s="6"/>
      <c r="S249" s="6">
        <v>0</v>
      </c>
      <c r="T249" s="6"/>
      <c r="U249" s="6">
        <v>0</v>
      </c>
      <c r="V249" s="6"/>
      <c r="W249" s="6">
        <f t="shared" si="55"/>
        <v>0</v>
      </c>
      <c r="X249" s="6"/>
      <c r="Y249" s="6" t="s">
        <v>283</v>
      </c>
      <c r="Z249" s="18"/>
      <c r="AA249" s="6" t="s">
        <v>28</v>
      </c>
      <c r="AB249" s="6"/>
      <c r="AC249" s="6">
        <v>0</v>
      </c>
      <c r="AD249" s="6"/>
      <c r="AE249" s="6">
        <v>0</v>
      </c>
      <c r="AF249" s="6"/>
      <c r="AG249" s="6">
        <v>0</v>
      </c>
      <c r="AH249" s="6"/>
      <c r="AI249" s="8">
        <f>+AC249-AE249-AG249</f>
        <v>0</v>
      </c>
      <c r="AJ249" s="8"/>
      <c r="AK249" s="6">
        <v>0</v>
      </c>
      <c r="AL249" s="6"/>
      <c r="AM249" s="6">
        <v>0</v>
      </c>
      <c r="AN249" s="6"/>
      <c r="AO249" s="6">
        <v>0</v>
      </c>
      <c r="AP249" s="6"/>
      <c r="AQ249" s="6">
        <v>0</v>
      </c>
      <c r="AR249" s="6"/>
      <c r="AS249" s="8">
        <f t="shared" si="60"/>
        <v>0</v>
      </c>
      <c r="AT249" s="8"/>
      <c r="AU249" s="6">
        <v>0</v>
      </c>
      <c r="AV249" s="6"/>
      <c r="AW249" s="6">
        <v>0</v>
      </c>
      <c r="AX249" s="6"/>
      <c r="AY249" s="6">
        <f t="shared" si="59"/>
        <v>0</v>
      </c>
      <c r="AZ249" s="6"/>
      <c r="BA249" s="6" t="s">
        <v>283</v>
      </c>
      <c r="BB249" s="18"/>
      <c r="BC249" s="6" t="s">
        <v>28</v>
      </c>
      <c r="BD249" s="6"/>
      <c r="BE249" s="6"/>
      <c r="BF249" s="6"/>
      <c r="BG249" s="6"/>
      <c r="BH249" s="6"/>
      <c r="BI249" s="6"/>
      <c r="BJ249" s="6"/>
      <c r="BK249" s="6"/>
      <c r="BL249" s="6"/>
      <c r="BM249" s="6">
        <f t="shared" si="52"/>
        <v>0</v>
      </c>
      <c r="BN249" s="17" t="s">
        <v>345</v>
      </c>
    </row>
    <row r="250" spans="1:67" ht="12.75" hidden="1" customHeight="1" x14ac:dyDescent="0.2">
      <c r="A250" s="6" t="s">
        <v>284</v>
      </c>
      <c r="C250" s="6" t="s">
        <v>59</v>
      </c>
      <c r="D250" s="6"/>
      <c r="E250" s="6">
        <f t="shared" si="53"/>
        <v>0</v>
      </c>
      <c r="F250" s="6"/>
      <c r="G250" s="6"/>
      <c r="H250" s="6"/>
      <c r="I250" s="6"/>
      <c r="J250" s="6"/>
      <c r="K250" s="6">
        <f t="shared" si="54"/>
        <v>0</v>
      </c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>
        <f t="shared" si="55"/>
        <v>0</v>
      </c>
      <c r="X250" s="6"/>
      <c r="Y250" s="6" t="s">
        <v>284</v>
      </c>
      <c r="Z250" s="18"/>
      <c r="AA250" s="6" t="s">
        <v>59</v>
      </c>
      <c r="AB250" s="6"/>
      <c r="AC250" s="6"/>
      <c r="AD250" s="6"/>
      <c r="AE250" s="6"/>
      <c r="AF250" s="6"/>
      <c r="AG250" s="6"/>
      <c r="AH250" s="6"/>
      <c r="AI250" s="8">
        <f>+AC250-AE250-AG250</f>
        <v>0</v>
      </c>
      <c r="AJ250" s="8"/>
      <c r="AK250" s="6"/>
      <c r="AL250" s="6"/>
      <c r="AM250" s="6"/>
      <c r="AN250" s="6"/>
      <c r="AO250" s="6"/>
      <c r="AP250" s="6"/>
      <c r="AQ250" s="6"/>
      <c r="AR250" s="6"/>
      <c r="AS250" s="8">
        <f t="shared" si="60"/>
        <v>0</v>
      </c>
      <c r="AT250" s="8"/>
      <c r="AU250" s="6">
        <v>0</v>
      </c>
      <c r="AV250" s="6"/>
      <c r="AW250" s="6">
        <v>0</v>
      </c>
      <c r="AX250" s="6"/>
      <c r="AY250" s="6">
        <f t="shared" si="59"/>
        <v>0</v>
      </c>
      <c r="AZ250" s="6"/>
      <c r="BA250" s="6" t="s">
        <v>284</v>
      </c>
      <c r="BB250" s="18"/>
      <c r="BC250" s="6" t="s">
        <v>59</v>
      </c>
      <c r="BD250" s="6"/>
      <c r="BE250" s="6"/>
      <c r="BF250" s="6"/>
      <c r="BG250" s="6"/>
      <c r="BH250" s="6"/>
      <c r="BI250" s="6"/>
      <c r="BJ250" s="6"/>
      <c r="BK250" s="6"/>
      <c r="BL250" s="6"/>
      <c r="BM250" s="6">
        <f t="shared" si="52"/>
        <v>0</v>
      </c>
      <c r="BN250" s="17" t="s">
        <v>345</v>
      </c>
    </row>
    <row r="251" spans="1:67" ht="12.75" hidden="1" customHeight="1" x14ac:dyDescent="0.2">
      <c r="A251" s="6" t="s">
        <v>285</v>
      </c>
      <c r="C251" s="6" t="s">
        <v>286</v>
      </c>
      <c r="D251" s="6"/>
      <c r="E251" s="6">
        <f t="shared" si="53"/>
        <v>0</v>
      </c>
      <c r="F251" s="6"/>
      <c r="G251" s="6">
        <v>0</v>
      </c>
      <c r="H251" s="6"/>
      <c r="I251" s="6">
        <v>0</v>
      </c>
      <c r="J251" s="6"/>
      <c r="K251" s="6">
        <f t="shared" si="54"/>
        <v>0</v>
      </c>
      <c r="L251" s="6"/>
      <c r="M251" s="6">
        <v>0</v>
      </c>
      <c r="N251" s="6"/>
      <c r="O251" s="6">
        <v>0</v>
      </c>
      <c r="P251" s="6"/>
      <c r="Q251" s="6">
        <v>0</v>
      </c>
      <c r="R251" s="6"/>
      <c r="S251" s="6">
        <v>0</v>
      </c>
      <c r="T251" s="6"/>
      <c r="U251" s="6">
        <v>0</v>
      </c>
      <c r="V251" s="6"/>
      <c r="W251" s="6">
        <f t="shared" si="55"/>
        <v>0</v>
      </c>
      <c r="X251" s="6"/>
      <c r="Y251" s="6" t="s">
        <v>285</v>
      </c>
      <c r="Z251" s="18"/>
      <c r="AA251" s="6" t="s">
        <v>286</v>
      </c>
      <c r="AB251" s="6"/>
      <c r="AC251" s="6">
        <v>0</v>
      </c>
      <c r="AD251" s="6"/>
      <c r="AE251" s="6">
        <v>0</v>
      </c>
      <c r="AF251" s="6"/>
      <c r="AG251" s="6">
        <v>0</v>
      </c>
      <c r="AH251" s="6"/>
      <c r="AI251" s="8">
        <f>+AC251-AE251-AG251</f>
        <v>0</v>
      </c>
      <c r="AJ251" s="8"/>
      <c r="AK251" s="6">
        <v>0</v>
      </c>
      <c r="AL251" s="6"/>
      <c r="AM251" s="6">
        <v>0</v>
      </c>
      <c r="AN251" s="6"/>
      <c r="AO251" s="6">
        <v>0</v>
      </c>
      <c r="AP251" s="6"/>
      <c r="AQ251" s="6">
        <v>0</v>
      </c>
      <c r="AR251" s="6"/>
      <c r="AS251" s="8">
        <f t="shared" si="60"/>
        <v>0</v>
      </c>
      <c r="AT251" s="8"/>
      <c r="AU251" s="6">
        <v>0</v>
      </c>
      <c r="AV251" s="6"/>
      <c r="AW251" s="6">
        <v>0</v>
      </c>
      <c r="AX251" s="6"/>
      <c r="AY251" s="6">
        <f t="shared" si="59"/>
        <v>0</v>
      </c>
      <c r="AZ251" s="6"/>
      <c r="BA251" s="6" t="s">
        <v>285</v>
      </c>
      <c r="BB251" s="18"/>
      <c r="BC251" s="6" t="s">
        <v>286</v>
      </c>
      <c r="BD251" s="6"/>
      <c r="BE251" s="6"/>
      <c r="BF251" s="6"/>
      <c r="BG251" s="6"/>
      <c r="BH251" s="6"/>
      <c r="BI251" s="6"/>
      <c r="BJ251" s="6"/>
      <c r="BK251" s="6"/>
      <c r="BL251" s="6"/>
      <c r="BM251" s="6">
        <f t="shared" si="52"/>
        <v>0</v>
      </c>
      <c r="BN251" s="17" t="s">
        <v>345</v>
      </c>
    </row>
    <row r="252" spans="1:67" ht="12.75" customHeight="1" x14ac:dyDescent="0.2"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Z252" s="18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B252" s="18"/>
      <c r="BE252" s="6"/>
      <c r="BF252" s="6"/>
      <c r="BG252" s="6"/>
      <c r="BH252" s="6"/>
      <c r="BI252" s="6"/>
      <c r="BJ252" s="6"/>
      <c r="BK252" s="6"/>
      <c r="BL252" s="6"/>
      <c r="BM252" s="6"/>
      <c r="BN252" s="6"/>
    </row>
    <row r="253" spans="1:67" ht="12.75" customHeight="1" x14ac:dyDescent="0.2"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Z253" s="18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B253" s="18"/>
      <c r="BE253" s="6"/>
      <c r="BF253" s="6"/>
      <c r="BG253" s="6"/>
      <c r="BH253" s="6"/>
      <c r="BI253" s="6"/>
      <c r="BJ253" s="6"/>
      <c r="BK253" s="6"/>
      <c r="BL253" s="6"/>
      <c r="BM253" s="6"/>
      <c r="BN253" s="6"/>
    </row>
    <row r="254" spans="1:67" ht="12.75" customHeight="1" x14ac:dyDescent="0.2"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Z254" s="18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B254" s="18"/>
      <c r="BE254" s="6"/>
      <c r="BF254" s="6"/>
      <c r="BG254" s="6"/>
      <c r="BH254" s="6"/>
      <c r="BI254" s="6"/>
      <c r="BJ254" s="6"/>
      <c r="BK254" s="6"/>
      <c r="BL254" s="6"/>
      <c r="BM254" s="6"/>
      <c r="BN254" s="6"/>
    </row>
    <row r="255" spans="1:67" ht="12.75" customHeight="1" x14ac:dyDescent="0.2"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Z255" s="18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B255" s="18"/>
      <c r="BE255" s="6"/>
      <c r="BF255" s="6"/>
      <c r="BG255" s="6"/>
      <c r="BH255" s="6"/>
      <c r="BI255" s="6"/>
      <c r="BJ255" s="6"/>
      <c r="BK255" s="6"/>
      <c r="BL255" s="6"/>
      <c r="BM255" s="6"/>
      <c r="BN255" s="6"/>
    </row>
    <row r="256" spans="1:67" ht="12.75" customHeight="1" x14ac:dyDescent="0.2"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Z256" s="18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B256" s="18"/>
      <c r="BE256" s="6"/>
      <c r="BF256" s="6"/>
      <c r="BG256" s="6"/>
      <c r="BH256" s="6"/>
      <c r="BI256" s="6"/>
      <c r="BJ256" s="6"/>
      <c r="BK256" s="6"/>
      <c r="BL256" s="6"/>
      <c r="BM256" s="6"/>
      <c r="BN256" s="6"/>
    </row>
    <row r="257" spans="5:66" ht="12.75" customHeight="1" x14ac:dyDescent="0.2"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Z257" s="18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B257" s="18"/>
      <c r="BE257" s="6"/>
      <c r="BF257" s="6"/>
      <c r="BG257" s="6"/>
      <c r="BH257" s="6"/>
      <c r="BI257" s="6"/>
      <c r="BJ257" s="6"/>
      <c r="BK257" s="6"/>
      <c r="BL257" s="6"/>
      <c r="BM257" s="6"/>
      <c r="BN257" s="6"/>
    </row>
    <row r="258" spans="5:66" ht="12.75" customHeight="1" x14ac:dyDescent="0.2"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Z258" s="18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B258" s="18"/>
      <c r="BE258" s="6"/>
      <c r="BF258" s="6"/>
      <c r="BG258" s="6"/>
      <c r="BH258" s="6"/>
      <c r="BI258" s="6"/>
      <c r="BJ258" s="6"/>
      <c r="BK258" s="6"/>
      <c r="BL258" s="6"/>
      <c r="BM258" s="6"/>
      <c r="BN258" s="6"/>
    </row>
    <row r="259" spans="5:66" ht="12.75" customHeight="1" x14ac:dyDescent="0.2"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Z259" s="18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B259" s="18"/>
      <c r="BE259" s="6"/>
      <c r="BF259" s="6"/>
      <c r="BG259" s="6"/>
      <c r="BH259" s="6"/>
      <c r="BI259" s="6"/>
      <c r="BJ259" s="6"/>
      <c r="BK259" s="6"/>
      <c r="BL259" s="6"/>
      <c r="BM259" s="6"/>
      <c r="BN259" s="6"/>
    </row>
    <row r="260" spans="5:66" ht="12.75" customHeight="1" x14ac:dyDescent="0.2"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Z260" s="18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B260" s="18"/>
      <c r="BE260" s="6"/>
      <c r="BF260" s="6"/>
      <c r="BG260" s="6"/>
      <c r="BH260" s="6"/>
      <c r="BI260" s="6"/>
      <c r="BJ260" s="6"/>
      <c r="BK260" s="6"/>
      <c r="BL260" s="6"/>
      <c r="BM260" s="6"/>
      <c r="BN260" s="6"/>
    </row>
    <row r="261" spans="5:66" ht="12.75" customHeight="1" x14ac:dyDescent="0.2"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Z261" s="18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B261" s="18"/>
      <c r="BE261" s="6"/>
      <c r="BF261" s="6"/>
      <c r="BG261" s="6"/>
      <c r="BH261" s="6"/>
      <c r="BI261" s="6"/>
      <c r="BJ261" s="6"/>
      <c r="BK261" s="6"/>
      <c r="BL261" s="6"/>
      <c r="BM261" s="6"/>
      <c r="BN261" s="6"/>
    </row>
    <row r="262" spans="5:66" ht="12.75" customHeight="1" x14ac:dyDescent="0.2"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Z262" s="18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B262" s="18"/>
      <c r="BE262" s="6"/>
      <c r="BF262" s="6"/>
      <c r="BG262" s="6"/>
      <c r="BH262" s="6"/>
      <c r="BI262" s="6"/>
      <c r="BJ262" s="6"/>
      <c r="BK262" s="6"/>
      <c r="BL262" s="6"/>
      <c r="BM262" s="6"/>
      <c r="BN262" s="6"/>
    </row>
    <row r="263" spans="5:66" ht="12.75" customHeight="1" x14ac:dyDescent="0.2"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Z263" s="18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B263" s="18"/>
      <c r="BE263" s="6"/>
      <c r="BF263" s="6"/>
      <c r="BG263" s="6"/>
      <c r="BH263" s="6"/>
      <c r="BI263" s="6"/>
      <c r="BJ263" s="6"/>
      <c r="BK263" s="6"/>
      <c r="BL263" s="6"/>
      <c r="BM263" s="6"/>
      <c r="BN263" s="6"/>
    </row>
    <row r="264" spans="5:66" ht="12.75" customHeight="1" x14ac:dyDescent="0.2"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Z264" s="18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B264" s="18"/>
      <c r="BE264" s="6"/>
      <c r="BF264" s="6"/>
      <c r="BG264" s="6"/>
      <c r="BH264" s="6"/>
      <c r="BI264" s="6"/>
      <c r="BJ264" s="6"/>
      <c r="BK264" s="6"/>
      <c r="BL264" s="6"/>
      <c r="BM264" s="6"/>
      <c r="BN264" s="6"/>
    </row>
    <row r="265" spans="5:66" ht="12.75" customHeight="1" x14ac:dyDescent="0.2"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Z265" s="18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B265" s="18"/>
      <c r="BE265" s="6"/>
      <c r="BF265" s="6"/>
      <c r="BG265" s="6"/>
      <c r="BH265" s="6"/>
      <c r="BI265" s="6"/>
      <c r="BJ265" s="6"/>
      <c r="BK265" s="6"/>
      <c r="BL265" s="6"/>
      <c r="BM265" s="6"/>
      <c r="BN265" s="6"/>
    </row>
    <row r="266" spans="5:66" ht="12.75" customHeight="1" x14ac:dyDescent="0.2"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Z266" s="18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B266" s="18"/>
      <c r="BE266" s="6"/>
      <c r="BF266" s="6"/>
      <c r="BG266" s="6"/>
      <c r="BH266" s="6"/>
      <c r="BI266" s="6"/>
      <c r="BJ266" s="6"/>
      <c r="BK266" s="6"/>
      <c r="BL266" s="6"/>
      <c r="BM266" s="6"/>
      <c r="BN266" s="6"/>
    </row>
    <row r="267" spans="5:66" ht="12.75" customHeight="1" x14ac:dyDescent="0.2"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Z267" s="18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B267" s="18"/>
      <c r="BE267" s="6"/>
      <c r="BF267" s="6"/>
      <c r="BG267" s="6"/>
      <c r="BH267" s="6"/>
      <c r="BI267" s="6"/>
      <c r="BJ267" s="6"/>
      <c r="BK267" s="6"/>
      <c r="BL267" s="6"/>
      <c r="BM267" s="6"/>
      <c r="BN267" s="6"/>
    </row>
    <row r="268" spans="5:66" ht="12.75" customHeight="1" x14ac:dyDescent="0.2"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Z268" s="18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B268" s="18"/>
      <c r="BE268" s="6"/>
      <c r="BF268" s="6"/>
      <c r="BG268" s="6"/>
      <c r="BH268" s="6"/>
      <c r="BI268" s="6"/>
      <c r="BJ268" s="6"/>
      <c r="BK268" s="6"/>
      <c r="BL268" s="6"/>
      <c r="BM268" s="6"/>
      <c r="BN268" s="6"/>
    </row>
    <row r="269" spans="5:66" ht="12.75" customHeight="1" x14ac:dyDescent="0.2"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Z269" s="18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B269" s="18"/>
      <c r="BE269" s="6"/>
      <c r="BF269" s="6"/>
      <c r="BG269" s="6"/>
      <c r="BH269" s="6"/>
      <c r="BI269" s="6"/>
      <c r="BJ269" s="6"/>
      <c r="BK269" s="6"/>
      <c r="BL269" s="6"/>
      <c r="BM269" s="6"/>
      <c r="BN269" s="6"/>
    </row>
    <row r="270" spans="5:66" ht="12.75" customHeight="1" x14ac:dyDescent="0.2"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Z270" s="18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B270" s="18"/>
      <c r="BE270" s="6"/>
      <c r="BF270" s="6"/>
      <c r="BG270" s="6"/>
      <c r="BH270" s="6"/>
      <c r="BI270" s="6"/>
      <c r="BJ270" s="6"/>
      <c r="BK270" s="6"/>
      <c r="BL270" s="6"/>
      <c r="BM270" s="6"/>
      <c r="BN270" s="6"/>
    </row>
    <row r="271" spans="5:66" ht="12.75" customHeight="1" x14ac:dyDescent="0.2"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Z271" s="18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B271" s="18"/>
      <c r="BE271" s="6"/>
      <c r="BF271" s="6"/>
      <c r="BG271" s="6"/>
      <c r="BH271" s="6"/>
      <c r="BI271" s="6"/>
      <c r="BJ271" s="6"/>
      <c r="BK271" s="6"/>
      <c r="BL271" s="6"/>
      <c r="BM271" s="6"/>
      <c r="BN271" s="6"/>
    </row>
    <row r="272" spans="5:66" ht="12.75" customHeight="1" x14ac:dyDescent="0.2"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Z272" s="18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B272" s="18"/>
      <c r="BE272" s="6"/>
      <c r="BF272" s="6"/>
      <c r="BG272" s="6"/>
      <c r="BH272" s="6"/>
      <c r="BI272" s="6"/>
      <c r="BJ272" s="6"/>
      <c r="BK272" s="6"/>
      <c r="BL272" s="6"/>
      <c r="BM272" s="6"/>
      <c r="BN272" s="6"/>
    </row>
    <row r="273" spans="5:66" ht="12.75" customHeight="1" x14ac:dyDescent="0.2"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Z273" s="18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B273" s="18"/>
      <c r="BE273" s="6"/>
      <c r="BF273" s="6"/>
      <c r="BG273" s="6"/>
      <c r="BH273" s="6"/>
      <c r="BI273" s="6"/>
      <c r="BJ273" s="6"/>
      <c r="BK273" s="6"/>
      <c r="BL273" s="6"/>
      <c r="BM273" s="6"/>
      <c r="BN273" s="6"/>
    </row>
    <row r="274" spans="5:66" ht="12.75" customHeight="1" x14ac:dyDescent="0.2">
      <c r="Z274" s="18"/>
      <c r="BB274" s="18"/>
      <c r="BE274" s="8"/>
      <c r="BG274" s="8"/>
      <c r="BI274" s="8"/>
      <c r="BK274" s="8"/>
    </row>
    <row r="275" spans="5:66" ht="12.75" customHeight="1" x14ac:dyDescent="0.2">
      <c r="Z275" s="18"/>
      <c r="BB275" s="18"/>
      <c r="BE275" s="8"/>
      <c r="BG275" s="8"/>
      <c r="BI275" s="8"/>
      <c r="BK275" s="8"/>
    </row>
    <row r="276" spans="5:66" ht="12.75" customHeight="1" x14ac:dyDescent="0.2">
      <c r="Z276" s="18"/>
      <c r="BB276" s="18"/>
      <c r="BE276" s="8"/>
      <c r="BG276" s="8"/>
      <c r="BI276" s="8"/>
      <c r="BK276" s="8"/>
    </row>
    <row r="277" spans="5:66" ht="12.75" customHeight="1" x14ac:dyDescent="0.2">
      <c r="Z277" s="18"/>
      <c r="BB277" s="18"/>
      <c r="BE277" s="8"/>
      <c r="BG277" s="8"/>
      <c r="BI277" s="8"/>
      <c r="BK277" s="8"/>
    </row>
    <row r="278" spans="5:66" ht="12.75" customHeight="1" x14ac:dyDescent="0.2">
      <c r="Z278" s="18"/>
      <c r="BB278" s="18"/>
      <c r="BE278" s="8"/>
      <c r="BG278" s="8"/>
      <c r="BI278" s="8"/>
      <c r="BK278" s="8"/>
    </row>
    <row r="279" spans="5:66" ht="12.75" customHeight="1" x14ac:dyDescent="0.2">
      <c r="Z279" s="18"/>
      <c r="BB279" s="18"/>
      <c r="BE279" s="8"/>
      <c r="BG279" s="8"/>
      <c r="BI279" s="8"/>
      <c r="BK279" s="8"/>
    </row>
    <row r="280" spans="5:66" ht="12.75" customHeight="1" x14ac:dyDescent="0.2">
      <c r="Z280" s="18"/>
      <c r="BB280" s="18"/>
      <c r="BE280" s="8"/>
      <c r="BG280" s="8"/>
      <c r="BI280" s="8"/>
      <c r="BK280" s="8"/>
    </row>
    <row r="281" spans="5:66" ht="12.75" customHeight="1" x14ac:dyDescent="0.2">
      <c r="Z281" s="18"/>
      <c r="BB281" s="18"/>
      <c r="BE281" s="8"/>
      <c r="BG281" s="8"/>
      <c r="BI281" s="8"/>
      <c r="BK281" s="8"/>
    </row>
    <row r="282" spans="5:66" ht="12.75" customHeight="1" x14ac:dyDescent="0.2">
      <c r="Z282" s="18"/>
      <c r="BB282" s="18"/>
      <c r="BE282" s="8"/>
      <c r="BG282" s="8"/>
      <c r="BI282" s="8"/>
      <c r="BK282" s="8"/>
    </row>
    <row r="283" spans="5:66" ht="12.75" customHeight="1" x14ac:dyDescent="0.2">
      <c r="Z283" s="18"/>
      <c r="BB283" s="18"/>
      <c r="BE283" s="8"/>
      <c r="BG283" s="8"/>
      <c r="BI283" s="8"/>
      <c r="BK283" s="8"/>
    </row>
    <row r="284" spans="5:66" ht="12.75" customHeight="1" x14ac:dyDescent="0.2">
      <c r="Z284" s="18"/>
      <c r="BB284" s="18"/>
      <c r="BE284" s="8"/>
      <c r="BG284" s="8"/>
      <c r="BI284" s="8"/>
      <c r="BK284" s="8"/>
    </row>
    <row r="285" spans="5:66" ht="12.75" customHeight="1" x14ac:dyDescent="0.2">
      <c r="Z285" s="18"/>
      <c r="BB285" s="18"/>
      <c r="BE285" s="8"/>
      <c r="BG285" s="8"/>
      <c r="BI285" s="8"/>
      <c r="BK285" s="8"/>
    </row>
    <row r="286" spans="5:66" ht="12.75" customHeight="1" x14ac:dyDescent="0.2">
      <c r="Z286" s="18"/>
      <c r="BB286" s="18"/>
      <c r="BE286" s="8"/>
      <c r="BG286" s="8"/>
      <c r="BI286" s="8"/>
      <c r="BK286" s="8"/>
    </row>
    <row r="287" spans="5:66" ht="12.75" customHeight="1" x14ac:dyDescent="0.2">
      <c r="Z287" s="18"/>
      <c r="BB287" s="18"/>
      <c r="BE287" s="8"/>
      <c r="BG287" s="8"/>
      <c r="BI287" s="8"/>
      <c r="BK287" s="8"/>
    </row>
    <row r="288" spans="5:66" ht="12.75" customHeight="1" x14ac:dyDescent="0.2">
      <c r="Z288" s="18"/>
      <c r="BB288" s="18"/>
      <c r="BE288" s="8"/>
      <c r="BG288" s="8"/>
      <c r="BI288" s="8"/>
      <c r="BK288" s="8"/>
    </row>
    <row r="289" spans="26:63" ht="12.75" customHeight="1" x14ac:dyDescent="0.2">
      <c r="Z289" s="18"/>
      <c r="BB289" s="18"/>
      <c r="BE289" s="8"/>
      <c r="BG289" s="8"/>
      <c r="BI289" s="8"/>
      <c r="BK289" s="8"/>
    </row>
    <row r="290" spans="26:63" ht="12.75" customHeight="1" x14ac:dyDescent="0.2">
      <c r="Z290" s="18"/>
      <c r="BB290" s="18"/>
      <c r="BE290" s="8"/>
      <c r="BG290" s="8"/>
      <c r="BI290" s="8"/>
      <c r="BK290" s="8"/>
    </row>
    <row r="291" spans="26:63" ht="12.75" customHeight="1" x14ac:dyDescent="0.2">
      <c r="Z291" s="18"/>
      <c r="BB291" s="18"/>
      <c r="BE291" s="8"/>
      <c r="BG291" s="8"/>
      <c r="BI291" s="8"/>
      <c r="BK291" s="8"/>
    </row>
    <row r="292" spans="26:63" ht="12.75" customHeight="1" x14ac:dyDescent="0.2">
      <c r="Z292" s="18"/>
      <c r="BB292" s="18"/>
      <c r="BE292" s="8"/>
      <c r="BG292" s="8"/>
      <c r="BI292" s="8"/>
      <c r="BK292" s="8"/>
    </row>
    <row r="293" spans="26:63" ht="12.75" customHeight="1" x14ac:dyDescent="0.2">
      <c r="Z293" s="18"/>
      <c r="BB293" s="18"/>
      <c r="BE293" s="8"/>
      <c r="BG293" s="8"/>
      <c r="BI293" s="8"/>
      <c r="BK293" s="8"/>
    </row>
    <row r="294" spans="26:63" ht="12.75" customHeight="1" x14ac:dyDescent="0.2">
      <c r="Z294" s="18"/>
      <c r="BB294" s="18"/>
      <c r="BE294" s="8"/>
      <c r="BG294" s="8"/>
      <c r="BI294" s="8"/>
      <c r="BK294" s="8"/>
    </row>
    <row r="295" spans="26:63" ht="12.75" customHeight="1" x14ac:dyDescent="0.2">
      <c r="Z295" s="18"/>
      <c r="BB295" s="18"/>
      <c r="BE295" s="8"/>
      <c r="BG295" s="8"/>
      <c r="BI295" s="8"/>
      <c r="BK295" s="8"/>
    </row>
    <row r="296" spans="26:63" ht="12.75" customHeight="1" x14ac:dyDescent="0.2">
      <c r="Z296" s="18"/>
      <c r="BB296" s="18"/>
      <c r="BE296" s="8"/>
      <c r="BG296" s="8"/>
      <c r="BI296" s="8"/>
      <c r="BK296" s="8"/>
    </row>
    <row r="297" spans="26:63" ht="12.75" customHeight="1" x14ac:dyDescent="0.2">
      <c r="Z297" s="18"/>
      <c r="BB297" s="18"/>
      <c r="BE297" s="8"/>
      <c r="BG297" s="8"/>
      <c r="BI297" s="8"/>
      <c r="BK297" s="8"/>
    </row>
    <row r="298" spans="26:63" ht="12.75" customHeight="1" x14ac:dyDescent="0.2">
      <c r="Z298" s="18"/>
      <c r="BB298" s="18"/>
      <c r="BE298" s="8"/>
      <c r="BG298" s="8"/>
      <c r="BI298" s="8"/>
      <c r="BK298" s="8"/>
    </row>
    <row r="299" spans="26:63" ht="12.75" customHeight="1" x14ac:dyDescent="0.2">
      <c r="Z299" s="18"/>
      <c r="BB299" s="18"/>
      <c r="BE299" s="8"/>
      <c r="BG299" s="8"/>
      <c r="BI299" s="8"/>
      <c r="BK299" s="8"/>
    </row>
    <row r="300" spans="26:63" ht="12.75" customHeight="1" x14ac:dyDescent="0.2">
      <c r="Z300" s="18"/>
      <c r="BB300" s="18"/>
      <c r="BE300" s="8"/>
      <c r="BG300" s="8"/>
      <c r="BI300" s="8"/>
      <c r="BK300" s="8"/>
    </row>
    <row r="301" spans="26:63" ht="12.75" customHeight="1" x14ac:dyDescent="0.2">
      <c r="Z301" s="18"/>
      <c r="BB301" s="18"/>
      <c r="BE301" s="8"/>
      <c r="BG301" s="8"/>
      <c r="BI301" s="8"/>
      <c r="BK301" s="8"/>
    </row>
    <row r="302" spans="26:63" ht="12.75" customHeight="1" x14ac:dyDescent="0.2">
      <c r="Z302" s="18"/>
      <c r="BB302" s="18"/>
      <c r="BE302" s="8"/>
      <c r="BG302" s="8"/>
      <c r="BI302" s="8"/>
      <c r="BK302" s="8"/>
    </row>
    <row r="303" spans="26:63" ht="12.75" customHeight="1" x14ac:dyDescent="0.2">
      <c r="Z303" s="18"/>
      <c r="BB303" s="18"/>
      <c r="BE303" s="8"/>
      <c r="BG303" s="8"/>
      <c r="BI303" s="8"/>
      <c r="BK303" s="8"/>
    </row>
    <row r="304" spans="26:63" ht="12.75" customHeight="1" x14ac:dyDescent="0.2">
      <c r="Z304" s="18"/>
      <c r="BB304" s="18"/>
      <c r="BE304" s="8"/>
      <c r="BG304" s="8"/>
      <c r="BI304" s="8"/>
      <c r="BK304" s="8"/>
    </row>
    <row r="305" spans="26:63" ht="12.75" customHeight="1" x14ac:dyDescent="0.2">
      <c r="Z305" s="18"/>
      <c r="BB305" s="18"/>
      <c r="BE305" s="8"/>
      <c r="BG305" s="8"/>
      <c r="BI305" s="8"/>
      <c r="BK305" s="8"/>
    </row>
    <row r="306" spans="26:63" ht="12.75" customHeight="1" x14ac:dyDescent="0.2">
      <c r="Z306" s="18"/>
      <c r="BB306" s="18"/>
      <c r="BE306" s="8"/>
      <c r="BG306" s="8"/>
      <c r="BI306" s="8"/>
      <c r="BK306" s="8"/>
    </row>
    <row r="307" spans="26:63" ht="12.75" customHeight="1" x14ac:dyDescent="0.2">
      <c r="Z307" s="18"/>
      <c r="BB307" s="18"/>
      <c r="BE307" s="8"/>
      <c r="BG307" s="8"/>
      <c r="BI307" s="8"/>
      <c r="BK307" s="8"/>
    </row>
    <row r="308" spans="26:63" ht="12.75" customHeight="1" x14ac:dyDescent="0.2">
      <c r="Z308" s="18"/>
      <c r="BB308" s="18"/>
      <c r="BE308" s="8"/>
      <c r="BG308" s="8"/>
      <c r="BI308" s="8"/>
      <c r="BK308" s="8"/>
    </row>
    <row r="309" spans="26:63" ht="12.75" customHeight="1" x14ac:dyDescent="0.2">
      <c r="Z309" s="18"/>
      <c r="BB309" s="18"/>
      <c r="BE309" s="8"/>
      <c r="BG309" s="8"/>
      <c r="BI309" s="8"/>
      <c r="BK309" s="8"/>
    </row>
    <row r="310" spans="26:63" ht="12.75" customHeight="1" x14ac:dyDescent="0.2">
      <c r="Z310" s="18"/>
      <c r="BB310" s="18"/>
      <c r="BE310" s="8"/>
      <c r="BG310" s="8"/>
      <c r="BI310" s="8"/>
      <c r="BK310" s="8"/>
    </row>
    <row r="311" spans="26:63" ht="12.75" customHeight="1" x14ac:dyDescent="0.2">
      <c r="Z311" s="18"/>
      <c r="BB311" s="18"/>
      <c r="BE311" s="8"/>
      <c r="BG311" s="8"/>
      <c r="BI311" s="8"/>
      <c r="BK311" s="8"/>
    </row>
    <row r="312" spans="26:63" ht="12.75" customHeight="1" x14ac:dyDescent="0.2">
      <c r="Z312" s="18"/>
      <c r="BB312" s="18"/>
      <c r="BE312" s="8"/>
      <c r="BG312" s="8"/>
      <c r="BI312" s="8"/>
      <c r="BK312" s="8"/>
    </row>
    <row r="313" spans="26:63" ht="12.75" customHeight="1" x14ac:dyDescent="0.2">
      <c r="Z313" s="18"/>
      <c r="BB313" s="18"/>
      <c r="BE313" s="8"/>
      <c r="BG313" s="8"/>
      <c r="BI313" s="8"/>
      <c r="BK313" s="8"/>
    </row>
    <row r="314" spans="26:63" ht="12.75" customHeight="1" x14ac:dyDescent="0.2">
      <c r="Z314" s="18"/>
      <c r="BB314" s="18"/>
      <c r="BE314" s="8"/>
      <c r="BG314" s="8"/>
      <c r="BI314" s="8"/>
      <c r="BK314" s="8"/>
    </row>
    <row r="315" spans="26:63" ht="12.75" customHeight="1" x14ac:dyDescent="0.2">
      <c r="Z315" s="18"/>
      <c r="BB315" s="18"/>
    </row>
    <row r="316" spans="26:63" ht="12.75" customHeight="1" x14ac:dyDescent="0.2">
      <c r="Z316" s="18"/>
      <c r="BB316" s="18"/>
    </row>
    <row r="317" spans="26:63" ht="12.75" customHeight="1" x14ac:dyDescent="0.2">
      <c r="Z317" s="18"/>
      <c r="BB317" s="18"/>
    </row>
    <row r="318" spans="26:63" ht="12.75" customHeight="1" x14ac:dyDescent="0.2">
      <c r="Z318" s="18"/>
      <c r="BB318" s="18"/>
    </row>
  </sheetData>
  <mergeCells count="1">
    <mergeCell ref="Q6:U6"/>
  </mergeCells>
  <phoneticPr fontId="4" type="noConversion"/>
  <pageMargins left="0.75" right="0.75" top="0.5" bottom="0.5" header="0" footer="0.25"/>
  <pageSetup scale="74" firstPageNumber="108" pageOrder="overThenDown" orientation="portrait" useFirstPageNumber="1" r:id="rId1"/>
  <headerFooter alignWithMargins="0">
    <oddFooter>&amp;C&amp;"Times New Roman,Regular"&amp;11&amp;P</oddFooter>
  </headerFooter>
  <colBreaks count="2" manualBreakCount="2">
    <brk id="15" min="10" max="250" man="1"/>
    <brk id="41" min="10" max="25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315"/>
  <sheetViews>
    <sheetView view="pageBreakPreview" zoomScale="90" zoomScaleNormal="100" zoomScaleSheetLayoutView="90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 activeCell="BE223" sqref="BE223:BM223"/>
    </sheetView>
  </sheetViews>
  <sheetFormatPr defaultColWidth="8.42578125" defaultRowHeight="12.75" customHeight="1" x14ac:dyDescent="0.2"/>
  <cols>
    <col min="1" max="1" width="16.7109375" style="18" customWidth="1"/>
    <col min="2" max="2" width="1.7109375" style="14" customWidth="1"/>
    <col min="3" max="3" width="10.5703125" style="18" customWidth="1"/>
    <col min="4" max="4" width="1.7109375" style="18" customWidth="1"/>
    <col min="5" max="5" width="11.7109375" style="18" customWidth="1"/>
    <col min="6" max="6" width="1.7109375" style="18" customWidth="1"/>
    <col min="7" max="7" width="11.7109375" style="18" customWidth="1"/>
    <col min="8" max="8" width="1.7109375" style="18" customWidth="1"/>
    <col min="9" max="9" width="11.7109375" style="18" customWidth="1"/>
    <col min="10" max="10" width="1.7109375" style="18" customWidth="1"/>
    <col min="11" max="11" width="11.7109375" style="18" customWidth="1"/>
    <col min="12" max="12" width="1.7109375" style="18" customWidth="1"/>
    <col min="13" max="13" width="11.7109375" style="18" customWidth="1"/>
    <col min="14" max="14" width="1.7109375" style="18" customWidth="1"/>
    <col min="15" max="15" width="11.7109375" style="18" customWidth="1"/>
    <col min="16" max="16" width="1.7109375" style="18" customWidth="1"/>
    <col min="17" max="17" width="11.7109375" style="18" customWidth="1"/>
    <col min="18" max="18" width="1.85546875" style="18" hidden="1" customWidth="1"/>
    <col min="19" max="19" width="11.7109375" style="18" hidden="1" customWidth="1"/>
    <col min="20" max="20" width="1.7109375" style="18" customWidth="1"/>
    <col min="21" max="21" width="11.7109375" style="18" customWidth="1"/>
    <col min="22" max="22" width="1.7109375" style="18" customWidth="1"/>
    <col min="23" max="23" width="11.7109375" style="18" customWidth="1"/>
    <col min="24" max="24" width="14.5703125" style="18" customWidth="1"/>
    <col min="25" max="25" width="16.42578125" style="18" customWidth="1"/>
    <col min="26" max="26" width="1.7109375" style="10" customWidth="1"/>
    <col min="27" max="27" width="10.5703125" style="18" customWidth="1"/>
    <col min="28" max="28" width="1.7109375" style="18" customWidth="1"/>
    <col min="29" max="29" width="11.7109375" style="18" customWidth="1"/>
    <col min="30" max="30" width="1.7109375" style="18" customWidth="1"/>
    <col min="31" max="31" width="11.7109375" style="18" customWidth="1"/>
    <col min="32" max="32" width="1.7109375" style="18" customWidth="1"/>
    <col min="33" max="33" width="11.7109375" style="18" customWidth="1"/>
    <col min="34" max="34" width="1.7109375" style="18" customWidth="1"/>
    <col min="35" max="35" width="11.7109375" style="18" customWidth="1"/>
    <col min="36" max="36" width="1.7109375" style="18" customWidth="1"/>
    <col min="37" max="37" width="11.7109375" style="8" customWidth="1"/>
    <col min="38" max="38" width="1.7109375" style="8" customWidth="1"/>
    <col min="39" max="39" width="11.7109375" style="8" customWidth="1"/>
    <col min="40" max="40" width="1.7109375" style="8" customWidth="1"/>
    <col min="41" max="41" width="11.7109375" style="8" customWidth="1"/>
    <col min="42" max="42" width="1.7109375" style="8" hidden="1" customWidth="1"/>
    <col min="43" max="43" width="11.7109375" style="8" hidden="1" customWidth="1"/>
    <col min="44" max="44" width="1.7109375" style="8" customWidth="1"/>
    <col min="45" max="45" width="11.7109375" style="18" customWidth="1"/>
    <col min="46" max="46" width="1.7109375" style="18" customWidth="1"/>
    <col min="47" max="47" width="11.7109375" style="18" hidden="1" customWidth="1"/>
    <col min="48" max="48" width="1.7109375" style="18" hidden="1" customWidth="1"/>
    <col min="49" max="49" width="11.7109375" style="18" hidden="1" customWidth="1"/>
    <col min="50" max="50" width="1.7109375" style="18" hidden="1" customWidth="1"/>
    <col min="51" max="52" width="11.7109375" style="18" customWidth="1"/>
    <col min="53" max="53" width="16.140625" style="18" customWidth="1"/>
    <col min="54" max="54" width="1.7109375" style="10" customWidth="1"/>
    <col min="55" max="55" width="10.5703125" style="18" customWidth="1"/>
    <col min="56" max="56" width="1.7109375" style="18" customWidth="1"/>
    <col min="57" max="57" width="11.7109375" style="18" customWidth="1"/>
    <col min="58" max="58" width="1.7109375" style="18" customWidth="1"/>
    <col min="59" max="59" width="11.7109375" style="18" customWidth="1"/>
    <col min="60" max="60" width="1.7109375" style="18" customWidth="1"/>
    <col min="61" max="61" width="11.7109375" style="18" customWidth="1"/>
    <col min="62" max="62" width="1.7109375" style="18" customWidth="1"/>
    <col min="63" max="63" width="11.7109375" style="18" customWidth="1"/>
    <col min="64" max="64" width="1.7109375" style="18" customWidth="1"/>
    <col min="65" max="65" width="11.7109375" style="18" customWidth="1"/>
    <col min="66" max="66" width="1.7109375" style="18" hidden="1" customWidth="1"/>
    <col min="67" max="67" width="11.7109375" style="18" hidden="1" customWidth="1"/>
    <col min="68" max="68" width="1.7109375" style="18" hidden="1" customWidth="1"/>
    <col min="69" max="69" width="11.7109375" style="18" hidden="1" customWidth="1"/>
    <col min="70" max="70" width="1.7109375" style="18" customWidth="1"/>
    <col min="71" max="71" width="11.7109375" style="18" customWidth="1"/>
    <col min="72" max="72" width="1.7109375" style="18" customWidth="1"/>
    <col min="73" max="73" width="11.7109375" style="18" customWidth="1"/>
    <col min="74" max="74" width="1.7109375" style="18" customWidth="1"/>
    <col min="75" max="75" width="11.7109375" style="18" customWidth="1"/>
    <col min="76" max="76" width="1.7109375" style="18" customWidth="1"/>
    <col min="77" max="77" width="11.7109375" style="18" customWidth="1"/>
    <col min="78" max="78" width="1.7109375" style="18" customWidth="1"/>
    <col min="79" max="79" width="11.7109375" style="18" customWidth="1"/>
    <col min="80" max="80" width="1.7109375" style="18" customWidth="1"/>
    <col min="81" max="81" width="11.7109375" style="18" customWidth="1"/>
    <col min="82" max="82" width="1.7109375" style="18" customWidth="1"/>
    <col min="83" max="83" width="11.7109375" style="18" customWidth="1"/>
    <col min="84" max="84" width="1.7109375" style="18" customWidth="1"/>
    <col min="85" max="85" width="11.7109375" style="18" customWidth="1"/>
    <col min="86" max="86" width="1.7109375" style="18" customWidth="1"/>
    <col min="87" max="16384" width="8.42578125" style="18"/>
  </cols>
  <sheetData>
    <row r="1" spans="1:71" s="31" customFormat="1" ht="12" x14ac:dyDescent="0.2">
      <c r="A1" s="23" t="s">
        <v>489</v>
      </c>
      <c r="C1" s="32"/>
      <c r="D1" s="32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3" t="s">
        <v>489</v>
      </c>
      <c r="AA1" s="32"/>
      <c r="AB1" s="32"/>
      <c r="AC1" s="23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23" t="s">
        <v>490</v>
      </c>
      <c r="BC1" s="32"/>
      <c r="BD1" s="32"/>
      <c r="BE1" s="6"/>
      <c r="BF1" s="6"/>
      <c r="BG1" s="6"/>
      <c r="BH1" s="6"/>
      <c r="BI1" s="6"/>
      <c r="BJ1" s="6"/>
      <c r="BK1" s="6"/>
      <c r="BL1" s="6"/>
      <c r="BM1" s="24"/>
      <c r="BN1" s="24"/>
    </row>
    <row r="2" spans="1:71" s="31" customFormat="1" ht="12" x14ac:dyDescent="0.2">
      <c r="A2" s="38" t="s">
        <v>515</v>
      </c>
      <c r="C2" s="32"/>
      <c r="D2" s="32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38" t="s">
        <v>518</v>
      </c>
      <c r="AA2" s="32"/>
      <c r="AB2" s="32"/>
      <c r="AC2" s="38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25" t="s">
        <v>346</v>
      </c>
      <c r="BC2" s="32"/>
      <c r="BD2" s="32"/>
      <c r="BE2" s="6"/>
      <c r="BF2" s="6"/>
      <c r="BG2" s="6"/>
      <c r="BH2" s="6"/>
      <c r="BI2" s="6"/>
      <c r="BJ2" s="6"/>
      <c r="BK2" s="6"/>
      <c r="BL2" s="6"/>
      <c r="BM2" s="24"/>
      <c r="BN2" s="24"/>
    </row>
    <row r="3" spans="1:71" x14ac:dyDescent="0.2">
      <c r="A3" s="23" t="s">
        <v>504</v>
      </c>
      <c r="C3" s="33"/>
      <c r="D3" s="33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23" t="s">
        <v>504</v>
      </c>
      <c r="Z3" s="18"/>
      <c r="AA3" s="33"/>
      <c r="AB3" s="33"/>
      <c r="AC3" s="23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23" t="s">
        <v>504</v>
      </c>
      <c r="BB3" s="18"/>
      <c r="BC3" s="33"/>
      <c r="BD3" s="33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71" x14ac:dyDescent="0.2">
      <c r="A4" s="34" t="s">
        <v>287</v>
      </c>
      <c r="C4" s="33"/>
      <c r="D4" s="33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34" t="s">
        <v>287</v>
      </c>
      <c r="Z4" s="18"/>
      <c r="AA4" s="33"/>
      <c r="AB4" s="33"/>
      <c r="AC4" s="34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34" t="s">
        <v>287</v>
      </c>
      <c r="BB4" s="18"/>
      <c r="BC4" s="33"/>
      <c r="BD4" s="33"/>
      <c r="BE4" s="6"/>
      <c r="BF4" s="6"/>
      <c r="BG4" s="6"/>
      <c r="BH4" s="6"/>
      <c r="BI4" s="6"/>
      <c r="BJ4" s="6"/>
      <c r="BK4" s="6"/>
      <c r="BL4" s="6"/>
      <c r="BM4" s="6"/>
      <c r="BN4" s="6"/>
    </row>
    <row r="5" spans="1:71" x14ac:dyDescent="0.2">
      <c r="A5" s="34"/>
      <c r="C5" s="33"/>
      <c r="D5" s="33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V5" s="6"/>
      <c r="W5" s="6"/>
      <c r="X5" s="6"/>
      <c r="Y5" s="34"/>
      <c r="Z5" s="18"/>
      <c r="AA5" s="33"/>
      <c r="AB5" s="33"/>
      <c r="AC5" s="23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34"/>
      <c r="BB5" s="18"/>
      <c r="BC5" s="33"/>
      <c r="BD5" s="33"/>
      <c r="BL5" s="6"/>
      <c r="BM5" s="6"/>
      <c r="BN5" s="6"/>
    </row>
    <row r="6" spans="1:71" x14ac:dyDescent="0.2">
      <c r="A6" s="35"/>
      <c r="C6" s="35"/>
      <c r="D6" s="35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93" t="s">
        <v>512</v>
      </c>
      <c r="R6" s="93"/>
      <c r="S6" s="93"/>
      <c r="T6" s="93"/>
      <c r="U6" s="93"/>
      <c r="V6" s="39"/>
      <c r="W6" s="39"/>
      <c r="X6" s="26"/>
      <c r="Y6" s="35"/>
      <c r="Z6" s="18"/>
      <c r="AA6" s="35"/>
      <c r="AB6" s="35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8" t="s">
        <v>409</v>
      </c>
      <c r="AV6" s="6"/>
      <c r="AW6" s="68" t="s">
        <v>410</v>
      </c>
      <c r="AX6" s="6"/>
      <c r="AY6" s="6"/>
      <c r="AZ6" s="6"/>
      <c r="BA6" s="35"/>
      <c r="BB6" s="18"/>
      <c r="BC6" s="35"/>
      <c r="BD6" s="35"/>
      <c r="BE6" s="5" t="s">
        <v>346</v>
      </c>
      <c r="BF6" s="5"/>
      <c r="BG6" s="5"/>
      <c r="BH6" s="5"/>
      <c r="BI6" s="5"/>
      <c r="BJ6" s="5"/>
      <c r="BK6" s="5"/>
      <c r="BL6" s="26"/>
      <c r="BM6" s="6"/>
      <c r="BN6" s="6"/>
    </row>
    <row r="7" spans="1:71" s="35" customFormat="1" ht="12" x14ac:dyDescent="0.2"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 t="s">
        <v>516</v>
      </c>
      <c r="AC7" s="68"/>
      <c r="AD7" s="68"/>
      <c r="AE7" s="68"/>
      <c r="AF7" s="68"/>
      <c r="AG7" s="68"/>
      <c r="AH7" s="68"/>
      <c r="AI7" s="68"/>
      <c r="AJ7" s="68"/>
      <c r="AK7" s="68" t="s">
        <v>352</v>
      </c>
      <c r="AL7" s="68"/>
      <c r="AM7" s="68"/>
      <c r="AN7" s="68"/>
      <c r="AO7" s="68"/>
      <c r="AP7" s="68"/>
      <c r="AQ7" s="68"/>
      <c r="AR7" s="68"/>
      <c r="AS7" s="68"/>
      <c r="AT7" s="68"/>
      <c r="AU7" s="68" t="s">
        <v>347</v>
      </c>
      <c r="AV7" s="68"/>
      <c r="AW7" s="68" t="s">
        <v>347</v>
      </c>
      <c r="AX7" s="68"/>
      <c r="AY7" s="68"/>
      <c r="AZ7" s="68"/>
      <c r="BE7" s="68" t="s">
        <v>294</v>
      </c>
      <c r="BF7" s="68"/>
      <c r="BG7" s="68" t="s">
        <v>348</v>
      </c>
      <c r="BH7" s="68"/>
      <c r="BI7" s="68"/>
      <c r="BJ7" s="68"/>
      <c r="BK7" s="68" t="s">
        <v>292</v>
      </c>
      <c r="BL7" s="68"/>
      <c r="BM7" s="68" t="s">
        <v>5</v>
      </c>
      <c r="BN7" s="17"/>
    </row>
    <row r="8" spans="1:71" s="35" customFormat="1" ht="12" x14ac:dyDescent="0.2">
      <c r="E8" s="68" t="s">
        <v>2</v>
      </c>
      <c r="F8" s="68"/>
      <c r="G8" s="68" t="s">
        <v>349</v>
      </c>
      <c r="H8" s="68"/>
      <c r="I8" s="68" t="s">
        <v>5</v>
      </c>
      <c r="J8" s="68"/>
      <c r="K8" s="68" t="s">
        <v>2</v>
      </c>
      <c r="L8" s="68"/>
      <c r="M8" s="68" t="s">
        <v>350</v>
      </c>
      <c r="N8" s="68"/>
      <c r="O8" s="68" t="s">
        <v>5</v>
      </c>
      <c r="P8" s="68"/>
      <c r="Q8" s="35" t="s">
        <v>519</v>
      </c>
      <c r="R8" s="68"/>
      <c r="S8" s="68"/>
      <c r="T8" s="68"/>
      <c r="U8" s="68"/>
      <c r="V8" s="68"/>
      <c r="W8" s="68" t="s">
        <v>5</v>
      </c>
      <c r="X8" s="68"/>
      <c r="AC8" s="68" t="s">
        <v>343</v>
      </c>
      <c r="AD8" s="68"/>
      <c r="AE8" s="68" t="s">
        <v>351</v>
      </c>
      <c r="AF8" s="68"/>
      <c r="AG8" s="68"/>
      <c r="AH8" s="68"/>
      <c r="AI8" s="68" t="s">
        <v>343</v>
      </c>
      <c r="AJ8" s="68"/>
      <c r="AK8" s="35" t="s">
        <v>371</v>
      </c>
      <c r="AL8" s="68"/>
      <c r="AM8" s="68"/>
      <c r="AN8" s="68"/>
      <c r="AO8" s="68"/>
      <c r="AP8" s="68"/>
      <c r="AQ8" s="68" t="s">
        <v>3</v>
      </c>
      <c r="AR8" s="68"/>
      <c r="AS8" s="68" t="s">
        <v>366</v>
      </c>
      <c r="AT8" s="68"/>
      <c r="AU8" s="68" t="s">
        <v>411</v>
      </c>
      <c r="AV8" s="68"/>
      <c r="AW8" s="68" t="s">
        <v>417</v>
      </c>
      <c r="AX8" s="68"/>
      <c r="AY8" s="68" t="s">
        <v>353</v>
      </c>
      <c r="AZ8" s="68"/>
      <c r="BE8" s="68" t="s">
        <v>354</v>
      </c>
      <c r="BF8" s="68"/>
      <c r="BG8" s="68" t="s">
        <v>300</v>
      </c>
      <c r="BH8" s="68"/>
      <c r="BI8" s="68"/>
      <c r="BJ8" s="68"/>
      <c r="BK8" s="68" t="s">
        <v>350</v>
      </c>
      <c r="BL8" s="68"/>
      <c r="BM8" s="68" t="s">
        <v>350</v>
      </c>
      <c r="BN8" s="17"/>
    </row>
    <row r="9" spans="1:71" s="35" customFormat="1" ht="12" x14ac:dyDescent="0.2">
      <c r="A9" s="67" t="s">
        <v>6</v>
      </c>
      <c r="C9" s="67" t="s">
        <v>7</v>
      </c>
      <c r="D9" s="68"/>
      <c r="E9" s="67" t="s">
        <v>0</v>
      </c>
      <c r="F9" s="68"/>
      <c r="G9" s="67" t="s">
        <v>0</v>
      </c>
      <c r="H9" s="68"/>
      <c r="I9" s="67" t="s">
        <v>0</v>
      </c>
      <c r="J9" s="68"/>
      <c r="K9" s="67" t="s">
        <v>1</v>
      </c>
      <c r="L9" s="68"/>
      <c r="M9" s="67" t="s">
        <v>1</v>
      </c>
      <c r="N9" s="67"/>
      <c r="O9" s="67" t="s">
        <v>1</v>
      </c>
      <c r="P9" s="68"/>
      <c r="Q9" s="67" t="s">
        <v>0</v>
      </c>
      <c r="R9" s="68"/>
      <c r="S9" s="67" t="s">
        <v>8</v>
      </c>
      <c r="T9" s="68"/>
      <c r="U9" s="67" t="s">
        <v>9</v>
      </c>
      <c r="V9" s="68"/>
      <c r="W9" s="67" t="s">
        <v>512</v>
      </c>
      <c r="X9" s="68"/>
      <c r="Y9" s="67" t="s">
        <v>6</v>
      </c>
      <c r="AA9" s="67" t="s">
        <v>7</v>
      </c>
      <c r="AB9" s="68"/>
      <c r="AC9" s="27" t="s">
        <v>300</v>
      </c>
      <c r="AD9" s="68"/>
      <c r="AE9" s="27" t="s">
        <v>355</v>
      </c>
      <c r="AF9" s="68"/>
      <c r="AG9" s="27" t="s">
        <v>355</v>
      </c>
      <c r="AH9" s="68"/>
      <c r="AI9" s="27" t="s">
        <v>356</v>
      </c>
      <c r="AJ9" s="68"/>
      <c r="AK9" s="27" t="s">
        <v>372</v>
      </c>
      <c r="AL9" s="68"/>
      <c r="AM9" s="27" t="s">
        <v>357</v>
      </c>
      <c r="AN9" s="68"/>
      <c r="AO9" s="27" t="s">
        <v>358</v>
      </c>
      <c r="AP9" s="68"/>
      <c r="AQ9" s="67" t="s">
        <v>359</v>
      </c>
      <c r="AR9" s="68"/>
      <c r="AS9" s="27" t="s">
        <v>512</v>
      </c>
      <c r="AT9" s="68"/>
      <c r="AU9" s="67" t="s">
        <v>413</v>
      </c>
      <c r="AV9" s="68"/>
      <c r="AW9" s="67" t="s">
        <v>413</v>
      </c>
      <c r="AX9" s="68"/>
      <c r="AY9" s="27" t="s">
        <v>3</v>
      </c>
      <c r="AZ9" s="68"/>
      <c r="BA9" s="67" t="s">
        <v>6</v>
      </c>
      <c r="BC9" s="67" t="s">
        <v>7</v>
      </c>
      <c r="BD9" s="68"/>
      <c r="BE9" s="27" t="s">
        <v>360</v>
      </c>
      <c r="BF9" s="68"/>
      <c r="BG9" s="27" t="s">
        <v>360</v>
      </c>
      <c r="BH9" s="68"/>
      <c r="BI9" s="27" t="s">
        <v>361</v>
      </c>
      <c r="BJ9" s="68"/>
      <c r="BK9" s="27" t="s">
        <v>362</v>
      </c>
      <c r="BL9" s="68"/>
      <c r="BM9" s="67" t="s">
        <v>362</v>
      </c>
      <c r="BN9" s="17"/>
    </row>
    <row r="10" spans="1:71" s="35" customFormat="1" ht="12" x14ac:dyDescent="0.2">
      <c r="A10" s="68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17"/>
    </row>
    <row r="11" spans="1:71" hidden="1" x14ac:dyDescent="0.2">
      <c r="A11" s="6" t="s">
        <v>10</v>
      </c>
      <c r="C11" s="6" t="s">
        <v>11</v>
      </c>
      <c r="D11" s="6"/>
      <c r="E11" s="6">
        <f t="shared" ref="E11:E73" si="0">I11-G11</f>
        <v>0</v>
      </c>
      <c r="F11" s="6"/>
      <c r="G11" s="6"/>
      <c r="H11" s="6"/>
      <c r="I11" s="6"/>
      <c r="J11" s="6"/>
      <c r="K11" s="6">
        <f t="shared" ref="K11:K73" si="1">O11-M11</f>
        <v>0</v>
      </c>
      <c r="L11" s="6"/>
      <c r="M11" s="6">
        <f t="shared" ref="M11:M12" si="2">SUM(BM11)</f>
        <v>0</v>
      </c>
      <c r="N11" s="6"/>
      <c r="O11" s="6"/>
      <c r="P11" s="6"/>
      <c r="Q11" s="6"/>
      <c r="R11" s="6"/>
      <c r="S11" s="6"/>
      <c r="T11" s="6"/>
      <c r="U11" s="6"/>
      <c r="V11" s="6"/>
      <c r="W11" s="6">
        <f t="shared" ref="W11:W33" si="3">SUM(Q11:U11)</f>
        <v>0</v>
      </c>
      <c r="X11" s="6"/>
      <c r="Y11" s="6" t="s">
        <v>10</v>
      </c>
      <c r="Z11" s="18"/>
      <c r="AA11" s="6" t="s">
        <v>11</v>
      </c>
      <c r="AB11" s="6"/>
      <c r="AC11" s="6"/>
      <c r="AD11" s="6"/>
      <c r="AE11" s="6"/>
      <c r="AF11" s="6"/>
      <c r="AG11" s="6"/>
      <c r="AH11" s="6"/>
      <c r="AI11" s="8">
        <f>+AC11-AE11-AG11</f>
        <v>0</v>
      </c>
      <c r="AJ11" s="8"/>
      <c r="AK11" s="6"/>
      <c r="AL11" s="6"/>
      <c r="AM11" s="6"/>
      <c r="AN11" s="6"/>
      <c r="AO11" s="6"/>
      <c r="AP11" s="6"/>
      <c r="AQ11" s="6"/>
      <c r="AR11" s="6"/>
      <c r="AS11" s="8">
        <f>+AI11+AK11+AM11-AO11+AQ11</f>
        <v>0</v>
      </c>
      <c r="AT11" s="8"/>
      <c r="AU11" s="6">
        <v>0</v>
      </c>
      <c r="AV11" s="6"/>
      <c r="AW11" s="6">
        <v>0</v>
      </c>
      <c r="AX11" s="6"/>
      <c r="AY11" s="6">
        <f t="shared" ref="AY11:AY61" si="4">+E11-K11</f>
        <v>0</v>
      </c>
      <c r="AZ11" s="6"/>
      <c r="BA11" s="6" t="s">
        <v>10</v>
      </c>
      <c r="BB11" s="18"/>
      <c r="BC11" s="6" t="s">
        <v>11</v>
      </c>
      <c r="BD11" s="6"/>
      <c r="BE11" s="6"/>
      <c r="BF11" s="6"/>
      <c r="BG11" s="6"/>
      <c r="BH11" s="6"/>
      <c r="BI11" s="6"/>
      <c r="BJ11" s="6"/>
      <c r="BK11" s="6"/>
      <c r="BL11" s="6"/>
      <c r="BM11" s="6">
        <f t="shared" ref="BM11:BM27" si="5">SUM(BE11:BK11)</f>
        <v>0</v>
      </c>
      <c r="BN11" s="17" t="s">
        <v>345</v>
      </c>
    </row>
    <row r="12" spans="1:71" hidden="1" x14ac:dyDescent="0.2">
      <c r="A12" s="6" t="s">
        <v>12</v>
      </c>
      <c r="C12" s="6" t="s">
        <v>13</v>
      </c>
      <c r="D12" s="6"/>
      <c r="E12" s="6">
        <f t="shared" si="0"/>
        <v>0</v>
      </c>
      <c r="F12" s="6"/>
      <c r="G12" s="6">
        <v>0</v>
      </c>
      <c r="H12" s="6"/>
      <c r="I12" s="6">
        <v>0</v>
      </c>
      <c r="J12" s="6"/>
      <c r="K12" s="6">
        <f t="shared" si="1"/>
        <v>0</v>
      </c>
      <c r="L12" s="6"/>
      <c r="M12" s="6">
        <f t="shared" si="2"/>
        <v>0</v>
      </c>
      <c r="N12" s="6"/>
      <c r="O12" s="6">
        <v>0</v>
      </c>
      <c r="P12" s="6"/>
      <c r="Q12" s="6">
        <v>0</v>
      </c>
      <c r="R12" s="6"/>
      <c r="S12" s="6">
        <v>0</v>
      </c>
      <c r="T12" s="6"/>
      <c r="U12" s="6">
        <v>0</v>
      </c>
      <c r="V12" s="6"/>
      <c r="W12" s="6">
        <f t="shared" si="3"/>
        <v>0</v>
      </c>
      <c r="X12" s="6"/>
      <c r="Y12" s="6" t="s">
        <v>12</v>
      </c>
      <c r="Z12" s="18"/>
      <c r="AA12" s="6" t="s">
        <v>13</v>
      </c>
      <c r="AB12" s="6"/>
      <c r="AC12" s="6">
        <v>0</v>
      </c>
      <c r="AD12" s="6"/>
      <c r="AE12" s="6">
        <v>0</v>
      </c>
      <c r="AF12" s="6"/>
      <c r="AG12" s="6">
        <v>0</v>
      </c>
      <c r="AH12" s="6"/>
      <c r="AI12" s="8">
        <v>0</v>
      </c>
      <c r="AJ12" s="8"/>
      <c r="AK12" s="6">
        <v>0</v>
      </c>
      <c r="AL12" s="6"/>
      <c r="AM12" s="6">
        <v>0</v>
      </c>
      <c r="AN12" s="6"/>
      <c r="AO12" s="6">
        <v>0</v>
      </c>
      <c r="AP12" s="6"/>
      <c r="AQ12" s="6">
        <v>0</v>
      </c>
      <c r="AR12" s="6"/>
      <c r="AS12" s="8">
        <v>0</v>
      </c>
      <c r="AT12" s="8"/>
      <c r="AU12" s="6">
        <v>0</v>
      </c>
      <c r="AV12" s="6"/>
      <c r="AW12" s="6">
        <v>0</v>
      </c>
      <c r="AX12" s="6"/>
      <c r="AY12" s="6">
        <f t="shared" si="4"/>
        <v>0</v>
      </c>
      <c r="AZ12" s="6"/>
      <c r="BA12" s="6" t="s">
        <v>12</v>
      </c>
      <c r="BB12" s="18"/>
      <c r="BC12" s="6" t="s">
        <v>13</v>
      </c>
      <c r="BD12" s="6"/>
      <c r="BE12" s="6">
        <v>0</v>
      </c>
      <c r="BF12" s="6"/>
      <c r="BG12" s="6">
        <v>0</v>
      </c>
      <c r="BH12" s="6"/>
      <c r="BI12" s="6">
        <v>0</v>
      </c>
      <c r="BJ12" s="6"/>
      <c r="BK12" s="6">
        <v>0</v>
      </c>
      <c r="BL12" s="6"/>
      <c r="BM12" s="6">
        <f t="shared" si="5"/>
        <v>0</v>
      </c>
      <c r="BN12" s="17" t="s">
        <v>345</v>
      </c>
    </row>
    <row r="13" spans="1:71" s="36" customFormat="1" hidden="1" x14ac:dyDescent="0.2">
      <c r="A13" s="6" t="s">
        <v>14</v>
      </c>
      <c r="B13" s="14"/>
      <c r="C13" s="6" t="s">
        <v>15</v>
      </c>
      <c r="D13" s="6"/>
      <c r="E13" s="19">
        <f t="shared" si="0"/>
        <v>0</v>
      </c>
      <c r="F13" s="19"/>
      <c r="G13" s="19"/>
      <c r="H13" s="19"/>
      <c r="I13" s="19"/>
      <c r="J13" s="19"/>
      <c r="K13" s="19">
        <f t="shared" si="1"/>
        <v>0</v>
      </c>
      <c r="L13" s="19"/>
      <c r="M13" s="19">
        <v>0</v>
      </c>
      <c r="N13" s="19"/>
      <c r="O13" s="19"/>
      <c r="P13" s="19"/>
      <c r="Q13" s="19"/>
      <c r="R13" s="19"/>
      <c r="S13" s="19">
        <v>0</v>
      </c>
      <c r="T13" s="19"/>
      <c r="U13" s="19"/>
      <c r="V13" s="19"/>
      <c r="W13" s="19">
        <f t="shared" si="3"/>
        <v>0</v>
      </c>
      <c r="X13" s="6"/>
      <c r="Y13" s="6" t="s">
        <v>14</v>
      </c>
      <c r="Z13" s="18"/>
      <c r="AA13" s="6" t="s">
        <v>15</v>
      </c>
      <c r="AB13" s="6"/>
      <c r="AC13" s="19">
        <v>0</v>
      </c>
      <c r="AD13" s="19"/>
      <c r="AE13" s="19">
        <v>0</v>
      </c>
      <c r="AF13" s="19"/>
      <c r="AG13" s="19">
        <v>0</v>
      </c>
      <c r="AH13" s="19"/>
      <c r="AI13" s="40">
        <f>+AC13-AE13-AG13</f>
        <v>0</v>
      </c>
      <c r="AJ13" s="40"/>
      <c r="AK13" s="19"/>
      <c r="AL13" s="19"/>
      <c r="AM13" s="19">
        <v>0</v>
      </c>
      <c r="AN13" s="19"/>
      <c r="AO13" s="19">
        <v>0</v>
      </c>
      <c r="AP13" s="19"/>
      <c r="AQ13" s="19">
        <v>0</v>
      </c>
      <c r="AR13" s="19"/>
      <c r="AS13" s="40">
        <f>+AI13+AK13+AM13-AO13+AQ13</f>
        <v>0</v>
      </c>
      <c r="AT13" s="40"/>
      <c r="AU13" s="19">
        <v>0</v>
      </c>
      <c r="AV13" s="19"/>
      <c r="AW13" s="19">
        <v>0</v>
      </c>
      <c r="AX13" s="19"/>
      <c r="AY13" s="19">
        <f t="shared" si="4"/>
        <v>0</v>
      </c>
      <c r="AZ13" s="6"/>
      <c r="BA13" s="6" t="s">
        <v>14</v>
      </c>
      <c r="BB13" s="18"/>
      <c r="BC13" s="6" t="s">
        <v>15</v>
      </c>
      <c r="BD13" s="6"/>
      <c r="BE13" s="19">
        <v>0</v>
      </c>
      <c r="BF13" s="19"/>
      <c r="BG13" s="19"/>
      <c r="BH13" s="19"/>
      <c r="BI13" s="19"/>
      <c r="BJ13" s="19"/>
      <c r="BK13" s="19"/>
      <c r="BL13" s="19"/>
      <c r="BM13" s="19">
        <f t="shared" si="5"/>
        <v>0</v>
      </c>
      <c r="BN13" s="37" t="s">
        <v>345</v>
      </c>
    </row>
    <row r="14" spans="1:71" s="36" customFormat="1" x14ac:dyDescent="0.2">
      <c r="A14" s="19" t="s">
        <v>16</v>
      </c>
      <c r="B14" s="21"/>
      <c r="C14" s="19" t="s">
        <v>16</v>
      </c>
      <c r="D14" s="19"/>
      <c r="E14" s="19">
        <v>1213825</v>
      </c>
      <c r="F14" s="19"/>
      <c r="G14" s="19">
        <v>254469</v>
      </c>
      <c r="H14" s="19"/>
      <c r="I14" s="19">
        <f>+E14+G14</f>
        <v>1468294</v>
      </c>
      <c r="J14" s="19"/>
      <c r="K14" s="19">
        <v>64194</v>
      </c>
      <c r="L14" s="19"/>
      <c r="M14" s="19">
        <v>28371</v>
      </c>
      <c r="N14" s="19"/>
      <c r="O14" s="19">
        <f>+K14+M14</f>
        <v>92565</v>
      </c>
      <c r="P14" s="19"/>
      <c r="Q14" s="19">
        <v>254469</v>
      </c>
      <c r="R14" s="19"/>
      <c r="S14" s="19">
        <v>0</v>
      </c>
      <c r="T14" s="19"/>
      <c r="U14" s="19">
        <v>1121260</v>
      </c>
      <c r="V14" s="19"/>
      <c r="W14" s="19">
        <f t="shared" si="3"/>
        <v>1375729</v>
      </c>
      <c r="X14" s="19"/>
      <c r="Y14" s="19" t="s">
        <v>16</v>
      </c>
      <c r="AA14" s="19" t="s">
        <v>16</v>
      </c>
      <c r="AB14" s="19"/>
      <c r="AC14" s="19">
        <v>1846409</v>
      </c>
      <c r="AD14" s="19"/>
      <c r="AE14" s="19">
        <f>1666114-44302</f>
        <v>1621812</v>
      </c>
      <c r="AF14" s="19"/>
      <c r="AG14" s="19">
        <v>44302</v>
      </c>
      <c r="AH14" s="19"/>
      <c r="AI14" s="40">
        <f>+AC14-AE14-AG14</f>
        <v>180295</v>
      </c>
      <c r="AJ14" s="40"/>
      <c r="AK14" s="19">
        <v>0</v>
      </c>
      <c r="AL14" s="19"/>
      <c r="AM14" s="19">
        <v>0</v>
      </c>
      <c r="AN14" s="19"/>
      <c r="AO14" s="19">
        <v>0</v>
      </c>
      <c r="AP14" s="19"/>
      <c r="AQ14" s="19">
        <v>0</v>
      </c>
      <c r="AR14" s="19"/>
      <c r="AS14" s="40">
        <f>+AI14+AK14+AM14-AO14+AQ14</f>
        <v>180295</v>
      </c>
      <c r="AT14" s="40"/>
      <c r="AU14" s="19">
        <v>0</v>
      </c>
      <c r="AV14" s="19"/>
      <c r="AW14" s="19">
        <v>0</v>
      </c>
      <c r="AX14" s="19"/>
      <c r="AY14" s="19">
        <f t="shared" si="4"/>
        <v>1149631</v>
      </c>
      <c r="AZ14" s="19"/>
      <c r="BA14" s="19" t="s">
        <v>16</v>
      </c>
      <c r="BC14" s="19" t="s">
        <v>16</v>
      </c>
      <c r="BD14" s="19"/>
      <c r="BE14" s="19">
        <v>0</v>
      </c>
      <c r="BF14" s="19"/>
      <c r="BG14" s="19">
        <v>0</v>
      </c>
      <c r="BH14" s="19"/>
      <c r="BI14" s="19">
        <v>0</v>
      </c>
      <c r="BJ14" s="19"/>
      <c r="BK14" s="19">
        <f>17640+599</f>
        <v>18239</v>
      </c>
      <c r="BL14" s="19"/>
      <c r="BM14" s="19">
        <f t="shared" si="5"/>
        <v>18239</v>
      </c>
      <c r="BN14" s="37" t="s">
        <v>345</v>
      </c>
    </row>
    <row r="15" spans="1:71" ht="12.75" customHeight="1" x14ac:dyDescent="0.2">
      <c r="A15" s="6" t="s">
        <v>17</v>
      </c>
      <c r="C15" s="6" t="s">
        <v>17</v>
      </c>
      <c r="D15" s="6"/>
      <c r="E15" s="6">
        <v>1256936</v>
      </c>
      <c r="F15" s="6"/>
      <c r="G15" s="6">
        <v>685781</v>
      </c>
      <c r="H15" s="6"/>
      <c r="I15" s="6">
        <f>+E15+G15</f>
        <v>1942717</v>
      </c>
      <c r="J15" s="6"/>
      <c r="K15" s="6">
        <v>131288</v>
      </c>
      <c r="L15" s="6"/>
      <c r="M15" s="6">
        <v>268661</v>
      </c>
      <c r="N15" s="6"/>
      <c r="O15" s="6">
        <f>+K15+M15</f>
        <v>399949</v>
      </c>
      <c r="P15" s="6"/>
      <c r="Q15" s="6">
        <v>544390</v>
      </c>
      <c r="R15" s="6"/>
      <c r="S15" s="6">
        <v>0</v>
      </c>
      <c r="T15" s="6"/>
      <c r="U15" s="6">
        <v>998378</v>
      </c>
      <c r="V15" s="6"/>
      <c r="W15" s="6">
        <f>SUM(Q15:U15)</f>
        <v>1542768</v>
      </c>
      <c r="X15" s="6"/>
      <c r="Y15" s="6" t="s">
        <v>17</v>
      </c>
      <c r="Z15" s="18"/>
      <c r="AA15" s="6" t="s">
        <v>17</v>
      </c>
      <c r="AB15" s="6"/>
      <c r="AC15" s="6">
        <v>1954442</v>
      </c>
      <c r="AD15" s="6"/>
      <c r="AE15" s="6">
        <f>1931930-71905</f>
        <v>1860025</v>
      </c>
      <c r="AF15" s="6"/>
      <c r="AG15" s="6">
        <v>71905</v>
      </c>
      <c r="AH15" s="6"/>
      <c r="AI15" s="40">
        <f>+AC15-AE15-AG15</f>
        <v>22512</v>
      </c>
      <c r="AJ15" s="8"/>
      <c r="AK15" s="6">
        <v>-6578</v>
      </c>
      <c r="AL15" s="6"/>
      <c r="AM15" s="6">
        <v>39275</v>
      </c>
      <c r="AN15" s="6"/>
      <c r="AO15" s="6">
        <v>0</v>
      </c>
      <c r="AP15" s="6"/>
      <c r="AQ15" s="6">
        <v>0</v>
      </c>
      <c r="AR15" s="6"/>
      <c r="AS15" s="8">
        <f>+AI15+AK15+AM15-AO15+AQ15</f>
        <v>55209</v>
      </c>
      <c r="AT15" s="8"/>
      <c r="AU15" s="6">
        <v>0</v>
      </c>
      <c r="AV15" s="6"/>
      <c r="AW15" s="6">
        <v>0</v>
      </c>
      <c r="AX15" s="6"/>
      <c r="AY15" s="6">
        <f t="shared" si="4"/>
        <v>1125648</v>
      </c>
      <c r="AZ15" s="6"/>
      <c r="BA15" s="6" t="s">
        <v>17</v>
      </c>
      <c r="BB15" s="18"/>
      <c r="BC15" s="6" t="s">
        <v>17</v>
      </c>
      <c r="BD15" s="6"/>
      <c r="BE15" s="6">
        <v>0</v>
      </c>
      <c r="BF15" s="6"/>
      <c r="BG15" s="6">
        <v>0</v>
      </c>
      <c r="BH15" s="6"/>
      <c r="BI15" s="6">
        <v>0</v>
      </c>
      <c r="BJ15" s="6"/>
      <c r="BK15" s="6">
        <f>160403+108258+33133+62888</f>
        <v>364682</v>
      </c>
      <c r="BL15" s="6"/>
      <c r="BM15" s="6">
        <f t="shared" si="5"/>
        <v>364682</v>
      </c>
      <c r="BN15" s="17" t="s">
        <v>345</v>
      </c>
      <c r="BS15" s="7"/>
    </row>
    <row r="16" spans="1:71" ht="12.75" hidden="1" customHeight="1" x14ac:dyDescent="0.2">
      <c r="A16" s="6" t="s">
        <v>18</v>
      </c>
      <c r="C16" s="6" t="s">
        <v>18</v>
      </c>
      <c r="D16" s="6"/>
      <c r="E16" s="6">
        <f t="shared" si="0"/>
        <v>0</v>
      </c>
      <c r="F16" s="6"/>
      <c r="G16" s="6"/>
      <c r="H16" s="6"/>
      <c r="I16" s="6"/>
      <c r="J16" s="6"/>
      <c r="K16" s="6">
        <f t="shared" si="1"/>
        <v>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>
        <f t="shared" si="3"/>
        <v>0</v>
      </c>
      <c r="X16" s="6"/>
      <c r="Y16" s="6" t="s">
        <v>18</v>
      </c>
      <c r="Z16" s="18"/>
      <c r="AA16" s="6" t="s">
        <v>18</v>
      </c>
      <c r="AB16" s="6"/>
      <c r="AC16" s="6"/>
      <c r="AD16" s="6"/>
      <c r="AE16" s="6"/>
      <c r="AF16" s="6"/>
      <c r="AG16" s="6"/>
      <c r="AH16" s="6"/>
      <c r="AI16" s="8">
        <v>0</v>
      </c>
      <c r="AJ16" s="8"/>
      <c r="AK16" s="6"/>
      <c r="AL16" s="6"/>
      <c r="AM16" s="6"/>
      <c r="AN16" s="6"/>
      <c r="AO16" s="6"/>
      <c r="AP16" s="6"/>
      <c r="AQ16" s="6"/>
      <c r="AR16" s="6"/>
      <c r="AS16" s="8">
        <f>+AI16+AK16+AM16-AO16+AQ16</f>
        <v>0</v>
      </c>
      <c r="AT16" s="8"/>
      <c r="AU16" s="6">
        <v>0</v>
      </c>
      <c r="AV16" s="6"/>
      <c r="AW16" s="6">
        <v>0</v>
      </c>
      <c r="AX16" s="6"/>
      <c r="AY16" s="6">
        <f t="shared" si="4"/>
        <v>0</v>
      </c>
      <c r="AZ16" s="6"/>
      <c r="BA16" s="6" t="s">
        <v>18</v>
      </c>
      <c r="BB16" s="18"/>
      <c r="BC16" s="6" t="s">
        <v>18</v>
      </c>
      <c r="BD16" s="6"/>
      <c r="BE16" s="6"/>
      <c r="BF16" s="6"/>
      <c r="BG16" s="6"/>
      <c r="BH16" s="6"/>
      <c r="BI16" s="6"/>
      <c r="BJ16" s="6"/>
      <c r="BK16" s="6"/>
      <c r="BL16" s="6"/>
      <c r="BM16" s="6">
        <f t="shared" si="5"/>
        <v>0</v>
      </c>
      <c r="BN16" s="17" t="s">
        <v>345</v>
      </c>
    </row>
    <row r="17" spans="1:67" ht="12.75" hidden="1" customHeight="1" x14ac:dyDescent="0.2">
      <c r="A17" s="6" t="s">
        <v>19</v>
      </c>
      <c r="C17" s="6" t="s">
        <v>20</v>
      </c>
      <c r="D17" s="6"/>
      <c r="E17" s="6">
        <f t="shared" si="0"/>
        <v>0</v>
      </c>
      <c r="F17" s="6"/>
      <c r="G17" s="6"/>
      <c r="H17" s="6"/>
      <c r="I17" s="6"/>
      <c r="J17" s="6"/>
      <c r="K17" s="6">
        <f t="shared" si="1"/>
        <v>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>
        <f t="shared" si="3"/>
        <v>0</v>
      </c>
      <c r="X17" s="6"/>
      <c r="Y17" s="6" t="s">
        <v>19</v>
      </c>
      <c r="Z17" s="18"/>
      <c r="AA17" s="6" t="s">
        <v>20</v>
      </c>
      <c r="AB17" s="6"/>
      <c r="AC17" s="6"/>
      <c r="AD17" s="6"/>
      <c r="AE17" s="6"/>
      <c r="AF17" s="6"/>
      <c r="AG17" s="6"/>
      <c r="AH17" s="6"/>
      <c r="AI17" s="8">
        <f t="shared" ref="AI17:AI31" si="6">+AC17-AE17-AG17</f>
        <v>0</v>
      </c>
      <c r="AJ17" s="8"/>
      <c r="AK17" s="6"/>
      <c r="AL17" s="6"/>
      <c r="AM17" s="6"/>
      <c r="AN17" s="6"/>
      <c r="AO17" s="6"/>
      <c r="AP17" s="6"/>
      <c r="AQ17" s="6"/>
      <c r="AR17" s="6"/>
      <c r="AS17" s="8">
        <f>+AI17+AK17+AM17-AO17+AQ17</f>
        <v>0</v>
      </c>
      <c r="AT17" s="8"/>
      <c r="AU17" s="6">
        <v>0</v>
      </c>
      <c r="AV17" s="6"/>
      <c r="AW17" s="6">
        <v>0</v>
      </c>
      <c r="AX17" s="6"/>
      <c r="AY17" s="6">
        <f t="shared" si="4"/>
        <v>0</v>
      </c>
      <c r="AZ17" s="6"/>
      <c r="BA17" s="6" t="s">
        <v>19</v>
      </c>
      <c r="BB17" s="18"/>
      <c r="BC17" s="6" t="s">
        <v>20</v>
      </c>
      <c r="BD17" s="6"/>
      <c r="BE17" s="6"/>
      <c r="BF17" s="6"/>
      <c r="BG17" s="6"/>
      <c r="BH17" s="6"/>
      <c r="BI17" s="6"/>
      <c r="BJ17" s="6"/>
      <c r="BK17" s="6"/>
      <c r="BL17" s="6"/>
      <c r="BM17" s="6">
        <f t="shared" si="5"/>
        <v>0</v>
      </c>
      <c r="BN17" s="17" t="s">
        <v>345</v>
      </c>
    </row>
    <row r="18" spans="1:67" ht="12.75" hidden="1" customHeight="1" x14ac:dyDescent="0.2">
      <c r="A18" s="6" t="s">
        <v>21</v>
      </c>
      <c r="C18" s="6" t="s">
        <v>15</v>
      </c>
      <c r="D18" s="6"/>
      <c r="E18" s="6">
        <f t="shared" si="0"/>
        <v>0</v>
      </c>
      <c r="F18" s="6"/>
      <c r="G18" s="6"/>
      <c r="H18" s="6"/>
      <c r="I18" s="6"/>
      <c r="J18" s="6"/>
      <c r="K18" s="6">
        <f t="shared" si="1"/>
        <v>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>
        <f t="shared" si="3"/>
        <v>0</v>
      </c>
      <c r="X18" s="6"/>
      <c r="Y18" s="6" t="s">
        <v>21</v>
      </c>
      <c r="Z18" s="18"/>
      <c r="AA18" s="6" t="s">
        <v>15</v>
      </c>
      <c r="AB18" s="6"/>
      <c r="AC18" s="6"/>
      <c r="AD18" s="6"/>
      <c r="AE18" s="6"/>
      <c r="AF18" s="6"/>
      <c r="AG18" s="6"/>
      <c r="AH18" s="6"/>
      <c r="AI18" s="8">
        <f t="shared" si="6"/>
        <v>0</v>
      </c>
      <c r="AJ18" s="8"/>
      <c r="AK18" s="6"/>
      <c r="AL18" s="6"/>
      <c r="AM18" s="6"/>
      <c r="AN18" s="6"/>
      <c r="AO18" s="6"/>
      <c r="AP18" s="6"/>
      <c r="AQ18" s="6"/>
      <c r="AR18" s="6"/>
      <c r="AS18" s="8">
        <v>0</v>
      </c>
      <c r="AT18" s="8"/>
      <c r="AU18" s="6">
        <v>0</v>
      </c>
      <c r="AV18" s="6"/>
      <c r="AW18" s="6">
        <v>0</v>
      </c>
      <c r="AX18" s="6"/>
      <c r="AY18" s="6">
        <f t="shared" si="4"/>
        <v>0</v>
      </c>
      <c r="AZ18" s="6"/>
      <c r="BA18" s="6" t="s">
        <v>21</v>
      </c>
      <c r="BB18" s="18"/>
      <c r="BC18" s="6" t="s">
        <v>15</v>
      </c>
      <c r="BD18" s="6"/>
      <c r="BE18" s="6"/>
      <c r="BF18" s="6"/>
      <c r="BG18" s="6"/>
      <c r="BH18" s="6"/>
      <c r="BI18" s="6"/>
      <c r="BJ18" s="6"/>
      <c r="BK18" s="6"/>
      <c r="BL18" s="6"/>
      <c r="BM18" s="6">
        <f t="shared" si="5"/>
        <v>0</v>
      </c>
      <c r="BN18" s="17" t="s">
        <v>345</v>
      </c>
    </row>
    <row r="19" spans="1:67" ht="12.75" hidden="1" customHeight="1" x14ac:dyDescent="0.2">
      <c r="A19" s="6" t="s">
        <v>22</v>
      </c>
      <c r="C19" s="6" t="s">
        <v>15</v>
      </c>
      <c r="D19" s="6"/>
      <c r="E19" s="6">
        <f t="shared" si="0"/>
        <v>0</v>
      </c>
      <c r="F19" s="6"/>
      <c r="G19" s="6"/>
      <c r="H19" s="6"/>
      <c r="I19" s="6"/>
      <c r="J19" s="6"/>
      <c r="K19" s="6">
        <f t="shared" si="1"/>
        <v>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>
        <f t="shared" si="3"/>
        <v>0</v>
      </c>
      <c r="X19" s="6"/>
      <c r="Y19" s="6" t="s">
        <v>22</v>
      </c>
      <c r="Z19" s="18"/>
      <c r="AA19" s="6" t="s">
        <v>15</v>
      </c>
      <c r="AB19" s="6"/>
      <c r="AC19" s="6"/>
      <c r="AD19" s="6"/>
      <c r="AE19" s="6"/>
      <c r="AF19" s="6"/>
      <c r="AG19" s="6"/>
      <c r="AH19" s="6"/>
      <c r="AI19" s="8">
        <f t="shared" si="6"/>
        <v>0</v>
      </c>
      <c r="AJ19" s="8"/>
      <c r="AK19" s="6"/>
      <c r="AL19" s="6"/>
      <c r="AM19" s="6"/>
      <c r="AN19" s="6"/>
      <c r="AO19" s="6"/>
      <c r="AP19" s="6"/>
      <c r="AQ19" s="6"/>
      <c r="AR19" s="6"/>
      <c r="AS19" s="8">
        <f t="shared" ref="AS19:AS27" si="7">+AI19+AK19+AM19-AO19+AQ19</f>
        <v>0</v>
      </c>
      <c r="AT19" s="8"/>
      <c r="AU19" s="6">
        <v>0</v>
      </c>
      <c r="AV19" s="6"/>
      <c r="AW19" s="6">
        <v>0</v>
      </c>
      <c r="AX19" s="6"/>
      <c r="AY19" s="6">
        <f t="shared" si="4"/>
        <v>0</v>
      </c>
      <c r="AZ19" s="6"/>
      <c r="BA19" s="6" t="s">
        <v>22</v>
      </c>
      <c r="BB19" s="18"/>
      <c r="BC19" s="6" t="s">
        <v>15</v>
      </c>
      <c r="BD19" s="6"/>
      <c r="BE19" s="6"/>
      <c r="BF19" s="6"/>
      <c r="BG19" s="6"/>
      <c r="BH19" s="6"/>
      <c r="BI19" s="6"/>
      <c r="BJ19" s="6"/>
      <c r="BK19" s="6"/>
      <c r="BL19" s="6"/>
      <c r="BM19" s="6">
        <f t="shared" si="5"/>
        <v>0</v>
      </c>
      <c r="BN19" s="17" t="s">
        <v>345</v>
      </c>
    </row>
    <row r="20" spans="1:67" hidden="1" x14ac:dyDescent="0.2">
      <c r="A20" s="6" t="s">
        <v>23</v>
      </c>
      <c r="C20" s="6" t="s">
        <v>11</v>
      </c>
      <c r="D20" s="6"/>
      <c r="E20" s="6">
        <f t="shared" si="0"/>
        <v>0</v>
      </c>
      <c r="F20" s="6"/>
      <c r="G20" s="6"/>
      <c r="H20" s="6"/>
      <c r="I20" s="6"/>
      <c r="J20" s="6"/>
      <c r="K20" s="6">
        <f t="shared" si="1"/>
        <v>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>
        <f t="shared" si="3"/>
        <v>0</v>
      </c>
      <c r="X20" s="6"/>
      <c r="Y20" s="6" t="s">
        <v>23</v>
      </c>
      <c r="Z20" s="18"/>
      <c r="AA20" s="6" t="s">
        <v>11</v>
      </c>
      <c r="AB20" s="6"/>
      <c r="AC20" s="6"/>
      <c r="AD20" s="6"/>
      <c r="AE20" s="6"/>
      <c r="AF20" s="6"/>
      <c r="AG20" s="6"/>
      <c r="AH20" s="6"/>
      <c r="AI20" s="8">
        <f t="shared" si="6"/>
        <v>0</v>
      </c>
      <c r="AJ20" s="8"/>
      <c r="AK20" s="6"/>
      <c r="AL20" s="6"/>
      <c r="AM20" s="6"/>
      <c r="AN20" s="6"/>
      <c r="AO20" s="6"/>
      <c r="AP20" s="6"/>
      <c r="AQ20" s="6"/>
      <c r="AR20" s="6"/>
      <c r="AS20" s="8">
        <f t="shared" si="7"/>
        <v>0</v>
      </c>
      <c r="AT20" s="8"/>
      <c r="AU20" s="6">
        <v>0</v>
      </c>
      <c r="AV20" s="6"/>
      <c r="AW20" s="6">
        <v>0</v>
      </c>
      <c r="AX20" s="6"/>
      <c r="AY20" s="6">
        <f t="shared" si="4"/>
        <v>0</v>
      </c>
      <c r="AZ20" s="6"/>
      <c r="BA20" s="6" t="s">
        <v>23</v>
      </c>
      <c r="BB20" s="18"/>
      <c r="BC20" s="6" t="s">
        <v>11</v>
      </c>
      <c r="BD20" s="6"/>
      <c r="BE20" s="6"/>
      <c r="BF20" s="6"/>
      <c r="BG20" s="6"/>
      <c r="BH20" s="6"/>
      <c r="BI20" s="6"/>
      <c r="BJ20" s="6"/>
      <c r="BK20" s="6"/>
      <c r="BL20" s="6"/>
      <c r="BM20" s="6">
        <f t="shared" si="5"/>
        <v>0</v>
      </c>
      <c r="BN20" s="17" t="s">
        <v>345</v>
      </c>
    </row>
    <row r="21" spans="1:67" hidden="1" x14ac:dyDescent="0.2">
      <c r="A21" s="6" t="s">
        <v>24</v>
      </c>
      <c r="C21" s="6" t="s">
        <v>25</v>
      </c>
      <c r="D21" s="6"/>
      <c r="E21" s="6">
        <f t="shared" si="0"/>
        <v>0</v>
      </c>
      <c r="F21" s="6"/>
      <c r="G21" s="6"/>
      <c r="H21" s="6"/>
      <c r="I21" s="6"/>
      <c r="J21" s="6"/>
      <c r="K21" s="6">
        <f t="shared" si="1"/>
        <v>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>
        <f t="shared" si="3"/>
        <v>0</v>
      </c>
      <c r="X21" s="6"/>
      <c r="Y21" s="6" t="s">
        <v>24</v>
      </c>
      <c r="Z21" s="18"/>
      <c r="AA21" s="6" t="s">
        <v>25</v>
      </c>
      <c r="AB21" s="6"/>
      <c r="AC21" s="6"/>
      <c r="AD21" s="6"/>
      <c r="AE21" s="6"/>
      <c r="AF21" s="6"/>
      <c r="AG21" s="6"/>
      <c r="AH21" s="6"/>
      <c r="AI21" s="8">
        <f t="shared" si="6"/>
        <v>0</v>
      </c>
      <c r="AJ21" s="8"/>
      <c r="AK21" s="6"/>
      <c r="AL21" s="6"/>
      <c r="AM21" s="6"/>
      <c r="AN21" s="6"/>
      <c r="AO21" s="6"/>
      <c r="AP21" s="6"/>
      <c r="AQ21" s="6"/>
      <c r="AR21" s="6"/>
      <c r="AS21" s="8">
        <f t="shared" si="7"/>
        <v>0</v>
      </c>
      <c r="AT21" s="8"/>
      <c r="AU21" s="6">
        <v>0</v>
      </c>
      <c r="AV21" s="6"/>
      <c r="AW21" s="6">
        <v>0</v>
      </c>
      <c r="AX21" s="6"/>
      <c r="AY21" s="6">
        <f t="shared" si="4"/>
        <v>0</v>
      </c>
      <c r="AZ21" s="6"/>
      <c r="BA21" s="6" t="s">
        <v>24</v>
      </c>
      <c r="BB21" s="18"/>
      <c r="BC21" s="6" t="s">
        <v>25</v>
      </c>
      <c r="BD21" s="6"/>
      <c r="BE21" s="6"/>
      <c r="BF21" s="6"/>
      <c r="BG21" s="6"/>
      <c r="BH21" s="6"/>
      <c r="BI21" s="6"/>
      <c r="BJ21" s="6"/>
      <c r="BK21" s="6"/>
      <c r="BL21" s="6"/>
      <c r="BM21" s="6">
        <f t="shared" si="5"/>
        <v>0</v>
      </c>
      <c r="BN21" s="17" t="s">
        <v>345</v>
      </c>
    </row>
    <row r="22" spans="1:67" hidden="1" x14ac:dyDescent="0.2">
      <c r="A22" s="6" t="s">
        <v>26</v>
      </c>
      <c r="C22" s="6" t="s">
        <v>25</v>
      </c>
      <c r="D22" s="6"/>
      <c r="E22" s="6">
        <f t="shared" si="0"/>
        <v>0</v>
      </c>
      <c r="F22" s="6"/>
      <c r="G22" s="6"/>
      <c r="H22" s="6"/>
      <c r="I22" s="6"/>
      <c r="J22" s="6"/>
      <c r="K22" s="6">
        <f t="shared" si="1"/>
        <v>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>
        <f t="shared" si="3"/>
        <v>0</v>
      </c>
      <c r="X22" s="6"/>
      <c r="Y22" s="6" t="s">
        <v>26</v>
      </c>
      <c r="Z22" s="18"/>
      <c r="AA22" s="6" t="s">
        <v>25</v>
      </c>
      <c r="AB22" s="6"/>
      <c r="AC22" s="6"/>
      <c r="AD22" s="6"/>
      <c r="AE22" s="6"/>
      <c r="AF22" s="6"/>
      <c r="AG22" s="6"/>
      <c r="AH22" s="6"/>
      <c r="AI22" s="8">
        <f t="shared" si="6"/>
        <v>0</v>
      </c>
      <c r="AJ22" s="8"/>
      <c r="AK22" s="6"/>
      <c r="AL22" s="6"/>
      <c r="AM22" s="6"/>
      <c r="AN22" s="6"/>
      <c r="AO22" s="6"/>
      <c r="AP22" s="6"/>
      <c r="AQ22" s="6"/>
      <c r="AR22" s="6"/>
      <c r="AS22" s="8">
        <f t="shared" si="7"/>
        <v>0</v>
      </c>
      <c r="AT22" s="8"/>
      <c r="AU22" s="6">
        <v>0</v>
      </c>
      <c r="AV22" s="6"/>
      <c r="AW22" s="6">
        <v>0</v>
      </c>
      <c r="AX22" s="6"/>
      <c r="AY22" s="6">
        <f t="shared" si="4"/>
        <v>0</v>
      </c>
      <c r="AZ22" s="6"/>
      <c r="BA22" s="6" t="s">
        <v>26</v>
      </c>
      <c r="BB22" s="18"/>
      <c r="BC22" s="6" t="s">
        <v>25</v>
      </c>
      <c r="BD22" s="6"/>
      <c r="BE22" s="6"/>
      <c r="BF22" s="6"/>
      <c r="BG22" s="6"/>
      <c r="BH22" s="6"/>
      <c r="BI22" s="6"/>
      <c r="BJ22" s="6"/>
      <c r="BK22" s="6"/>
      <c r="BL22" s="6"/>
      <c r="BM22" s="6">
        <f t="shared" si="5"/>
        <v>0</v>
      </c>
      <c r="BN22" s="17" t="s">
        <v>345</v>
      </c>
    </row>
    <row r="23" spans="1:67" hidden="1" x14ac:dyDescent="0.2">
      <c r="A23" s="6" t="s">
        <v>27</v>
      </c>
      <c r="C23" s="6" t="s">
        <v>28</v>
      </c>
      <c r="D23" s="6"/>
      <c r="E23" s="6">
        <f t="shared" si="0"/>
        <v>0</v>
      </c>
      <c r="F23" s="6"/>
      <c r="G23" s="6"/>
      <c r="H23" s="6"/>
      <c r="I23" s="6"/>
      <c r="J23" s="6"/>
      <c r="K23" s="6">
        <f t="shared" si="1"/>
        <v>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>
        <f t="shared" si="3"/>
        <v>0</v>
      </c>
      <c r="X23" s="6"/>
      <c r="Y23" s="6" t="s">
        <v>27</v>
      </c>
      <c r="Z23" s="18"/>
      <c r="AA23" s="6" t="s">
        <v>28</v>
      </c>
      <c r="AB23" s="6"/>
      <c r="AC23" s="6"/>
      <c r="AD23" s="6"/>
      <c r="AE23" s="6"/>
      <c r="AF23" s="6"/>
      <c r="AG23" s="6"/>
      <c r="AH23" s="6"/>
      <c r="AI23" s="8">
        <f t="shared" si="6"/>
        <v>0</v>
      </c>
      <c r="AJ23" s="8"/>
      <c r="AK23" s="6"/>
      <c r="AL23" s="6"/>
      <c r="AM23" s="6"/>
      <c r="AN23" s="6"/>
      <c r="AO23" s="6"/>
      <c r="AP23" s="6"/>
      <c r="AQ23" s="6"/>
      <c r="AR23" s="6"/>
      <c r="AS23" s="8">
        <f t="shared" si="7"/>
        <v>0</v>
      </c>
      <c r="AT23" s="8"/>
      <c r="AU23" s="6">
        <v>0</v>
      </c>
      <c r="AV23" s="6"/>
      <c r="AW23" s="6">
        <v>0</v>
      </c>
      <c r="AX23" s="6"/>
      <c r="AY23" s="6">
        <f t="shared" si="4"/>
        <v>0</v>
      </c>
      <c r="AZ23" s="6"/>
      <c r="BA23" s="6" t="s">
        <v>27</v>
      </c>
      <c r="BB23" s="18"/>
      <c r="BC23" s="6" t="s">
        <v>28</v>
      </c>
      <c r="BD23" s="6"/>
      <c r="BE23" s="6"/>
      <c r="BF23" s="6"/>
      <c r="BG23" s="6"/>
      <c r="BH23" s="6"/>
      <c r="BI23" s="6"/>
      <c r="BJ23" s="6"/>
      <c r="BK23" s="6"/>
      <c r="BL23" s="6"/>
      <c r="BM23" s="6">
        <f t="shared" si="5"/>
        <v>0</v>
      </c>
      <c r="BN23" s="17" t="s">
        <v>345</v>
      </c>
    </row>
    <row r="24" spans="1:67" hidden="1" x14ac:dyDescent="0.2">
      <c r="A24" s="6" t="s">
        <v>29</v>
      </c>
      <c r="C24" s="6" t="s">
        <v>25</v>
      </c>
      <c r="D24" s="6"/>
      <c r="E24" s="6">
        <f t="shared" si="0"/>
        <v>0</v>
      </c>
      <c r="F24" s="6"/>
      <c r="G24" s="6"/>
      <c r="H24" s="6"/>
      <c r="I24" s="6"/>
      <c r="J24" s="6"/>
      <c r="K24" s="6">
        <f t="shared" si="1"/>
        <v>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>
        <f t="shared" si="3"/>
        <v>0</v>
      </c>
      <c r="X24" s="6"/>
      <c r="Y24" s="6" t="s">
        <v>29</v>
      </c>
      <c r="Z24" s="18"/>
      <c r="AA24" s="6" t="s">
        <v>25</v>
      </c>
      <c r="AB24" s="6"/>
      <c r="AC24" s="6"/>
      <c r="AD24" s="6"/>
      <c r="AE24" s="6"/>
      <c r="AF24" s="6"/>
      <c r="AG24" s="6"/>
      <c r="AH24" s="6"/>
      <c r="AI24" s="8">
        <f t="shared" si="6"/>
        <v>0</v>
      </c>
      <c r="AJ24" s="8"/>
      <c r="AK24" s="6"/>
      <c r="AL24" s="6"/>
      <c r="AM24" s="6"/>
      <c r="AN24" s="6"/>
      <c r="AO24" s="6"/>
      <c r="AP24" s="6"/>
      <c r="AQ24" s="6"/>
      <c r="AR24" s="6"/>
      <c r="AS24" s="8">
        <f t="shared" si="7"/>
        <v>0</v>
      </c>
      <c r="AT24" s="8"/>
      <c r="AU24" s="6">
        <v>0</v>
      </c>
      <c r="AV24" s="6"/>
      <c r="AW24" s="6">
        <v>0</v>
      </c>
      <c r="AX24" s="6"/>
      <c r="AY24" s="6">
        <f t="shared" si="4"/>
        <v>0</v>
      </c>
      <c r="AZ24" s="6"/>
      <c r="BA24" s="6" t="s">
        <v>29</v>
      </c>
      <c r="BB24" s="18"/>
      <c r="BC24" s="6" t="s">
        <v>25</v>
      </c>
      <c r="BD24" s="6"/>
      <c r="BE24" s="6"/>
      <c r="BF24" s="6"/>
      <c r="BG24" s="6"/>
      <c r="BH24" s="6"/>
      <c r="BI24" s="6"/>
      <c r="BJ24" s="6"/>
      <c r="BK24" s="6"/>
      <c r="BL24" s="6"/>
      <c r="BM24" s="6">
        <f t="shared" si="5"/>
        <v>0</v>
      </c>
      <c r="BN24" s="17" t="s">
        <v>345</v>
      </c>
      <c r="BO24" s="18" t="s">
        <v>369</v>
      </c>
    </row>
    <row r="25" spans="1:67" hidden="1" x14ac:dyDescent="0.2">
      <c r="A25" s="6" t="s">
        <v>30</v>
      </c>
      <c r="C25" s="6" t="s">
        <v>25</v>
      </c>
      <c r="D25" s="6"/>
      <c r="E25" s="6">
        <f t="shared" si="0"/>
        <v>0</v>
      </c>
      <c r="F25" s="6"/>
      <c r="G25" s="6"/>
      <c r="H25" s="6"/>
      <c r="I25" s="6"/>
      <c r="J25" s="6"/>
      <c r="K25" s="6">
        <f t="shared" si="1"/>
        <v>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>
        <f t="shared" si="3"/>
        <v>0</v>
      </c>
      <c r="X25" s="6"/>
      <c r="Y25" s="6" t="s">
        <v>30</v>
      </c>
      <c r="Z25" s="18"/>
      <c r="AA25" s="6" t="s">
        <v>25</v>
      </c>
      <c r="AB25" s="6"/>
      <c r="AC25" s="6"/>
      <c r="AD25" s="6"/>
      <c r="AE25" s="6"/>
      <c r="AF25" s="6"/>
      <c r="AG25" s="6"/>
      <c r="AH25" s="6"/>
      <c r="AI25" s="8">
        <f t="shared" si="6"/>
        <v>0</v>
      </c>
      <c r="AJ25" s="8"/>
      <c r="AK25" s="6"/>
      <c r="AL25" s="6"/>
      <c r="AM25" s="6"/>
      <c r="AN25" s="6"/>
      <c r="AO25" s="6"/>
      <c r="AP25" s="6"/>
      <c r="AQ25" s="6"/>
      <c r="AR25" s="6"/>
      <c r="AS25" s="8">
        <f t="shared" si="7"/>
        <v>0</v>
      </c>
      <c r="AT25" s="8"/>
      <c r="AU25" s="6">
        <v>0</v>
      </c>
      <c r="AV25" s="6"/>
      <c r="AW25" s="6">
        <v>0</v>
      </c>
      <c r="AX25" s="6"/>
      <c r="AY25" s="6">
        <f t="shared" si="4"/>
        <v>0</v>
      </c>
      <c r="AZ25" s="6"/>
      <c r="BA25" s="6" t="s">
        <v>30</v>
      </c>
      <c r="BB25" s="18"/>
      <c r="BC25" s="6" t="s">
        <v>25</v>
      </c>
      <c r="BD25" s="6"/>
      <c r="BE25" s="6"/>
      <c r="BF25" s="6"/>
      <c r="BG25" s="6"/>
      <c r="BH25" s="6"/>
      <c r="BI25" s="6"/>
      <c r="BJ25" s="6"/>
      <c r="BK25" s="6"/>
      <c r="BL25" s="6"/>
      <c r="BM25" s="6">
        <f t="shared" si="5"/>
        <v>0</v>
      </c>
      <c r="BN25" s="17" t="s">
        <v>345</v>
      </c>
    </row>
    <row r="26" spans="1:67" x14ac:dyDescent="0.2">
      <c r="A26" s="6" t="s">
        <v>32</v>
      </c>
      <c r="C26" s="6" t="s">
        <v>28</v>
      </c>
      <c r="D26" s="6"/>
      <c r="E26" s="16">
        <v>274270</v>
      </c>
      <c r="F26" s="16"/>
      <c r="G26" s="16">
        <v>39998</v>
      </c>
      <c r="H26" s="16"/>
      <c r="I26" s="16">
        <f>+E26+G26</f>
        <v>314268</v>
      </c>
      <c r="J26" s="16"/>
      <c r="K26" s="16">
        <v>68493</v>
      </c>
      <c r="L26" s="16"/>
      <c r="M26" s="16">
        <v>0</v>
      </c>
      <c r="N26" s="16"/>
      <c r="O26" s="16">
        <f>+K26+M26</f>
        <v>68493</v>
      </c>
      <c r="P26" s="16"/>
      <c r="Q26" s="16">
        <v>39998</v>
      </c>
      <c r="R26" s="16"/>
      <c r="S26" s="16">
        <v>0</v>
      </c>
      <c r="T26" s="16"/>
      <c r="U26" s="16">
        <v>205777</v>
      </c>
      <c r="V26" s="16"/>
      <c r="W26" s="16">
        <f>SUM(Q26:U26)</f>
        <v>245775</v>
      </c>
      <c r="X26" s="6"/>
      <c r="Y26" s="6" t="s">
        <v>32</v>
      </c>
      <c r="Z26" s="18"/>
      <c r="AA26" s="6" t="s">
        <v>28</v>
      </c>
      <c r="AB26" s="6"/>
      <c r="AC26" s="16">
        <v>484278</v>
      </c>
      <c r="AD26" s="16"/>
      <c r="AE26" s="16">
        <f>478701-11247</f>
        <v>467454</v>
      </c>
      <c r="AF26" s="16"/>
      <c r="AG26" s="16">
        <v>11247</v>
      </c>
      <c r="AH26" s="16"/>
      <c r="AI26" s="8">
        <f t="shared" si="6"/>
        <v>5577</v>
      </c>
      <c r="AJ26" s="8"/>
      <c r="AK26" s="16">
        <v>0</v>
      </c>
      <c r="AM26" s="16">
        <v>0</v>
      </c>
      <c r="AN26" s="16"/>
      <c r="AO26" s="16">
        <v>0</v>
      </c>
      <c r="AP26" s="16"/>
      <c r="AQ26" s="16">
        <v>0</v>
      </c>
      <c r="AR26" s="16"/>
      <c r="AS26" s="8">
        <f t="shared" si="7"/>
        <v>5577</v>
      </c>
      <c r="AT26" s="8"/>
      <c r="AU26" s="16">
        <v>0</v>
      </c>
      <c r="AV26" s="16"/>
      <c r="AW26" s="16">
        <v>0</v>
      </c>
      <c r="AX26" s="16"/>
      <c r="AY26" s="16">
        <f t="shared" si="4"/>
        <v>205777</v>
      </c>
      <c r="AZ26" s="6"/>
      <c r="BA26" s="6" t="s">
        <v>32</v>
      </c>
      <c r="BB26" s="18"/>
      <c r="BC26" s="6" t="s">
        <v>28</v>
      </c>
      <c r="BD26" s="6"/>
      <c r="BE26" s="16">
        <v>0</v>
      </c>
      <c r="BF26" s="16"/>
      <c r="BG26" s="16">
        <v>0</v>
      </c>
      <c r="BH26" s="16"/>
      <c r="BI26" s="16">
        <v>0</v>
      </c>
      <c r="BJ26" s="16"/>
      <c r="BK26" s="16">
        <v>3384</v>
      </c>
      <c r="BL26" s="6"/>
      <c r="BM26" s="6">
        <f t="shared" si="5"/>
        <v>3384</v>
      </c>
      <c r="BN26" s="17" t="s">
        <v>345</v>
      </c>
    </row>
    <row r="27" spans="1:67" x14ac:dyDescent="0.2">
      <c r="A27" s="6" t="s">
        <v>33</v>
      </c>
      <c r="C27" s="6" t="s">
        <v>34</v>
      </c>
      <c r="D27" s="6"/>
      <c r="E27" s="6">
        <v>637943</v>
      </c>
      <c r="F27" s="6"/>
      <c r="G27" s="6">
        <v>85410</v>
      </c>
      <c r="H27" s="6"/>
      <c r="I27" s="6">
        <f>+E27+G27</f>
        <v>723353</v>
      </c>
      <c r="J27" s="6"/>
      <c r="K27" s="6">
        <v>88509</v>
      </c>
      <c r="L27" s="6"/>
      <c r="M27" s="6">
        <v>5044</v>
      </c>
      <c r="N27" s="6"/>
      <c r="O27" s="6">
        <f>+K27+M27</f>
        <v>93553</v>
      </c>
      <c r="P27" s="6"/>
      <c r="Q27" s="6">
        <v>85410</v>
      </c>
      <c r="R27" s="6"/>
      <c r="S27" s="6">
        <v>0</v>
      </c>
      <c r="T27" s="6"/>
      <c r="U27" s="6">
        <v>544390</v>
      </c>
      <c r="V27" s="6"/>
      <c r="W27" s="6">
        <f t="shared" si="3"/>
        <v>629800</v>
      </c>
      <c r="X27" s="6"/>
      <c r="Y27" s="6" t="s">
        <v>33</v>
      </c>
      <c r="Z27" s="18"/>
      <c r="AA27" s="6" t="s">
        <v>34</v>
      </c>
      <c r="AB27" s="6"/>
      <c r="AC27" s="6">
        <v>900086</v>
      </c>
      <c r="AD27" s="6"/>
      <c r="AE27" s="6">
        <f>806813-15328</f>
        <v>791485</v>
      </c>
      <c r="AF27" s="6"/>
      <c r="AG27" s="6">
        <v>15328</v>
      </c>
      <c r="AH27" s="6"/>
      <c r="AI27" s="8">
        <f t="shared" si="6"/>
        <v>93273</v>
      </c>
      <c r="AJ27" s="8"/>
      <c r="AK27" s="6">
        <v>0</v>
      </c>
      <c r="AL27" s="6"/>
      <c r="AM27" s="6">
        <v>0</v>
      </c>
      <c r="AN27" s="6"/>
      <c r="AO27" s="6">
        <v>0</v>
      </c>
      <c r="AP27" s="6"/>
      <c r="AQ27" s="6">
        <v>0</v>
      </c>
      <c r="AR27" s="6"/>
      <c r="AS27" s="8">
        <f t="shared" si="7"/>
        <v>93273</v>
      </c>
      <c r="AT27" s="8"/>
      <c r="AU27" s="6">
        <v>0</v>
      </c>
      <c r="AV27" s="6"/>
      <c r="AW27" s="6">
        <v>0</v>
      </c>
      <c r="AX27" s="6"/>
      <c r="AY27" s="6">
        <f t="shared" si="4"/>
        <v>549434</v>
      </c>
      <c r="AZ27" s="6"/>
      <c r="BA27" s="6" t="s">
        <v>33</v>
      </c>
      <c r="BB27" s="18"/>
      <c r="BC27" s="6" t="s">
        <v>34</v>
      </c>
      <c r="BD27" s="6"/>
      <c r="BE27" s="6">
        <f>1288329+99022</f>
        <v>1387351</v>
      </c>
      <c r="BF27" s="6"/>
      <c r="BG27" s="6">
        <v>0</v>
      </c>
      <c r="BH27" s="6"/>
      <c r="BI27" s="6">
        <v>0</v>
      </c>
      <c r="BJ27" s="6"/>
      <c r="BK27" s="6">
        <v>0</v>
      </c>
      <c r="BL27" s="6"/>
      <c r="BM27" s="6">
        <f t="shared" si="5"/>
        <v>1387351</v>
      </c>
      <c r="BN27" s="17" t="s">
        <v>345</v>
      </c>
    </row>
    <row r="28" spans="1:67" hidden="1" x14ac:dyDescent="0.2">
      <c r="A28" s="6" t="s">
        <v>35</v>
      </c>
      <c r="C28" s="6" t="s">
        <v>36</v>
      </c>
      <c r="D28" s="6"/>
      <c r="E28" s="6">
        <f t="shared" si="0"/>
        <v>0</v>
      </c>
      <c r="F28" s="6"/>
      <c r="G28" s="6"/>
      <c r="H28" s="6"/>
      <c r="I28" s="6"/>
      <c r="J28" s="6"/>
      <c r="K28" s="6">
        <f t="shared" si="1"/>
        <v>0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>
        <f t="shared" si="3"/>
        <v>0</v>
      </c>
      <c r="X28" s="6"/>
      <c r="Y28" s="6" t="s">
        <v>35</v>
      </c>
      <c r="Z28" s="18"/>
      <c r="AA28" s="6" t="s">
        <v>36</v>
      </c>
      <c r="AB28" s="6"/>
      <c r="AC28" s="6"/>
      <c r="AD28" s="6"/>
      <c r="AE28" s="6"/>
      <c r="AF28" s="6"/>
      <c r="AG28" s="6"/>
      <c r="AH28" s="6"/>
      <c r="AI28" s="8">
        <f t="shared" si="6"/>
        <v>0</v>
      </c>
      <c r="AJ28" s="8"/>
      <c r="AK28" s="6"/>
      <c r="AL28" s="6"/>
      <c r="AM28" s="6"/>
      <c r="AN28" s="6"/>
      <c r="AO28" s="6"/>
      <c r="AP28" s="6"/>
      <c r="AQ28" s="6"/>
      <c r="AR28" s="6"/>
      <c r="AS28" s="8">
        <v>0</v>
      </c>
      <c r="AT28" s="8"/>
      <c r="AU28" s="6">
        <v>0</v>
      </c>
      <c r="AV28" s="6"/>
      <c r="AW28" s="6">
        <v>0</v>
      </c>
      <c r="AX28" s="6"/>
      <c r="AY28" s="6">
        <f t="shared" si="4"/>
        <v>0</v>
      </c>
      <c r="AZ28" s="6"/>
      <c r="BA28" s="6" t="s">
        <v>35</v>
      </c>
      <c r="BB28" s="18"/>
      <c r="BC28" s="6" t="s">
        <v>36</v>
      </c>
      <c r="BD28" s="6"/>
      <c r="BE28" s="6"/>
      <c r="BF28" s="6"/>
      <c r="BG28" s="6"/>
      <c r="BH28" s="6"/>
      <c r="BI28" s="6"/>
      <c r="BJ28" s="6"/>
      <c r="BK28" s="6"/>
      <c r="BL28" s="6"/>
      <c r="BM28" s="6">
        <v>0</v>
      </c>
      <c r="BN28" s="17" t="s">
        <v>345</v>
      </c>
    </row>
    <row r="29" spans="1:67" hidden="1" x14ac:dyDescent="0.2">
      <c r="A29" s="6" t="s">
        <v>37</v>
      </c>
      <c r="C29" s="6" t="s">
        <v>38</v>
      </c>
      <c r="D29" s="6"/>
      <c r="E29" s="6">
        <f t="shared" si="0"/>
        <v>0</v>
      </c>
      <c r="F29" s="6"/>
      <c r="G29" s="6"/>
      <c r="H29" s="6"/>
      <c r="I29" s="6"/>
      <c r="J29" s="6"/>
      <c r="K29" s="6">
        <f t="shared" si="1"/>
        <v>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>
        <f t="shared" si="3"/>
        <v>0</v>
      </c>
      <c r="X29" s="6"/>
      <c r="Y29" s="6" t="s">
        <v>37</v>
      </c>
      <c r="Z29" s="18"/>
      <c r="AA29" s="6" t="s">
        <v>38</v>
      </c>
      <c r="AB29" s="6"/>
      <c r="AC29" s="6"/>
      <c r="AD29" s="6"/>
      <c r="AE29" s="6"/>
      <c r="AF29" s="6"/>
      <c r="AG29" s="6"/>
      <c r="AH29" s="6"/>
      <c r="AI29" s="8">
        <f t="shared" si="6"/>
        <v>0</v>
      </c>
      <c r="AJ29" s="8"/>
      <c r="AK29" s="6"/>
      <c r="AL29" s="6"/>
      <c r="AM29" s="6"/>
      <c r="AN29" s="6"/>
      <c r="AO29" s="6"/>
      <c r="AP29" s="6"/>
      <c r="AQ29" s="6"/>
      <c r="AR29" s="6"/>
      <c r="AS29" s="8">
        <f t="shared" ref="AS29" si="8">+AI29+AK29+AM29-AO29+AQ29</f>
        <v>0</v>
      </c>
      <c r="AT29" s="8"/>
      <c r="AU29" s="6">
        <v>0</v>
      </c>
      <c r="AV29" s="6"/>
      <c r="AW29" s="6">
        <v>0</v>
      </c>
      <c r="AX29" s="6"/>
      <c r="AY29" s="6">
        <f t="shared" si="4"/>
        <v>0</v>
      </c>
      <c r="AZ29" s="6"/>
      <c r="BA29" s="6" t="s">
        <v>37</v>
      </c>
      <c r="BB29" s="18"/>
      <c r="BC29" s="6" t="s">
        <v>38</v>
      </c>
      <c r="BD29" s="6"/>
      <c r="BE29" s="6"/>
      <c r="BF29" s="6"/>
      <c r="BG29" s="6"/>
      <c r="BH29" s="6"/>
      <c r="BI29" s="6"/>
      <c r="BJ29" s="6"/>
      <c r="BK29" s="6"/>
      <c r="BL29" s="6"/>
      <c r="BM29" s="6">
        <f>SUM(BE29:BK29)</f>
        <v>0</v>
      </c>
      <c r="BN29" s="17" t="s">
        <v>345</v>
      </c>
    </row>
    <row r="30" spans="1:67" hidden="1" x14ac:dyDescent="0.2">
      <c r="A30" s="6" t="s">
        <v>39</v>
      </c>
      <c r="C30" s="6" t="s">
        <v>25</v>
      </c>
      <c r="D30" s="6"/>
      <c r="E30" s="6">
        <f t="shared" si="0"/>
        <v>0</v>
      </c>
      <c r="F30" s="6"/>
      <c r="G30" s="6"/>
      <c r="H30" s="6"/>
      <c r="I30" s="6"/>
      <c r="J30" s="6"/>
      <c r="K30" s="6">
        <f t="shared" si="1"/>
        <v>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>
        <f t="shared" si="3"/>
        <v>0</v>
      </c>
      <c r="X30" s="6"/>
      <c r="Y30" s="6" t="s">
        <v>39</v>
      </c>
      <c r="Z30" s="18"/>
      <c r="AA30" s="6" t="s">
        <v>25</v>
      </c>
      <c r="AB30" s="6"/>
      <c r="AC30" s="6"/>
      <c r="AD30" s="6"/>
      <c r="AE30" s="6"/>
      <c r="AF30" s="6"/>
      <c r="AG30" s="6"/>
      <c r="AH30" s="6"/>
      <c r="AI30" s="8">
        <f t="shared" si="6"/>
        <v>0</v>
      </c>
      <c r="AJ30" s="8"/>
      <c r="AK30" s="6"/>
      <c r="AL30" s="6"/>
      <c r="AM30" s="6"/>
      <c r="AN30" s="6"/>
      <c r="AO30" s="6"/>
      <c r="AP30" s="6"/>
      <c r="AQ30" s="6"/>
      <c r="AR30" s="6"/>
      <c r="AS30" s="8">
        <f t="shared" ref="AS30:AS34" si="9">+AI30+AK30+AM30-AO30+AQ30</f>
        <v>0</v>
      </c>
      <c r="AT30" s="8"/>
      <c r="AU30" s="6">
        <v>0</v>
      </c>
      <c r="AV30" s="6"/>
      <c r="AW30" s="6">
        <v>0</v>
      </c>
      <c r="AX30" s="6"/>
      <c r="AY30" s="6">
        <f t="shared" si="4"/>
        <v>0</v>
      </c>
      <c r="AZ30" s="6"/>
      <c r="BA30" s="6" t="s">
        <v>39</v>
      </c>
      <c r="BB30" s="18"/>
      <c r="BC30" s="6" t="s">
        <v>25</v>
      </c>
      <c r="BD30" s="6"/>
      <c r="BE30" s="6"/>
      <c r="BF30" s="6"/>
      <c r="BG30" s="6"/>
      <c r="BH30" s="6"/>
      <c r="BI30" s="6"/>
      <c r="BJ30" s="6"/>
      <c r="BK30" s="6"/>
      <c r="BL30" s="6"/>
      <c r="BM30" s="6">
        <f>SUM(BE30:BK30)</f>
        <v>0</v>
      </c>
      <c r="BN30" s="17" t="s">
        <v>345</v>
      </c>
    </row>
    <row r="31" spans="1:67" x14ac:dyDescent="0.2">
      <c r="A31" s="6" t="s">
        <v>40</v>
      </c>
      <c r="C31" s="6" t="s">
        <v>41</v>
      </c>
      <c r="D31" s="6"/>
      <c r="E31" s="6">
        <v>612785</v>
      </c>
      <c r="F31" s="6"/>
      <c r="G31" s="6">
        <v>36076</v>
      </c>
      <c r="H31" s="6"/>
      <c r="I31" s="6">
        <f>+E31+G31</f>
        <v>648861</v>
      </c>
      <c r="J31" s="6"/>
      <c r="K31" s="6">
        <v>3279</v>
      </c>
      <c r="L31" s="6"/>
      <c r="M31" s="6">
        <v>0</v>
      </c>
      <c r="N31" s="6"/>
      <c r="O31" s="6">
        <f>+K31+M31</f>
        <v>3279</v>
      </c>
      <c r="P31" s="6"/>
      <c r="Q31" s="6">
        <v>36076</v>
      </c>
      <c r="R31" s="6"/>
      <c r="S31" s="6">
        <v>0</v>
      </c>
      <c r="T31" s="6"/>
      <c r="U31" s="6">
        <v>609506</v>
      </c>
      <c r="V31" s="6"/>
      <c r="W31" s="6">
        <f t="shared" si="3"/>
        <v>645582</v>
      </c>
      <c r="X31" s="6"/>
      <c r="Y31" s="6" t="s">
        <v>40</v>
      </c>
      <c r="Z31" s="18"/>
      <c r="AA31" s="6" t="s">
        <v>41</v>
      </c>
      <c r="AB31" s="6"/>
      <c r="AC31" s="6">
        <v>1302669</v>
      </c>
      <c r="AD31" s="6"/>
      <c r="AE31" s="6">
        <f>1136374-7666</f>
        <v>1128708</v>
      </c>
      <c r="AF31" s="6"/>
      <c r="AG31" s="6">
        <v>7666</v>
      </c>
      <c r="AH31" s="6"/>
      <c r="AI31" s="8">
        <f t="shared" si="6"/>
        <v>166295</v>
      </c>
      <c r="AJ31" s="8"/>
      <c r="AK31" s="6">
        <v>0</v>
      </c>
      <c r="AL31" s="6"/>
      <c r="AM31" s="6">
        <v>0</v>
      </c>
      <c r="AN31" s="6"/>
      <c r="AO31" s="6">
        <v>0</v>
      </c>
      <c r="AP31" s="6"/>
      <c r="AQ31" s="6">
        <v>0</v>
      </c>
      <c r="AR31" s="6"/>
      <c r="AS31" s="8">
        <f t="shared" si="9"/>
        <v>166295</v>
      </c>
      <c r="AT31" s="8"/>
      <c r="AU31" s="6">
        <v>0</v>
      </c>
      <c r="AV31" s="6"/>
      <c r="AW31" s="6">
        <v>0</v>
      </c>
      <c r="AX31" s="6"/>
      <c r="AY31" s="6">
        <f t="shared" si="4"/>
        <v>609506</v>
      </c>
      <c r="AZ31" s="6"/>
      <c r="BA31" s="6" t="s">
        <v>40</v>
      </c>
      <c r="BB31" s="18"/>
      <c r="BC31" s="6" t="s">
        <v>41</v>
      </c>
      <c r="BD31" s="6"/>
      <c r="BE31" s="6">
        <v>0</v>
      </c>
      <c r="BF31" s="6"/>
      <c r="BG31" s="6">
        <v>0</v>
      </c>
      <c r="BH31" s="6"/>
      <c r="BI31" s="6">
        <v>0</v>
      </c>
      <c r="BJ31" s="6"/>
      <c r="BK31" s="6">
        <v>0</v>
      </c>
      <c r="BL31" s="6"/>
      <c r="BM31" s="6">
        <f>SUM(BE31:BK31)</f>
        <v>0</v>
      </c>
      <c r="BN31" s="17" t="s">
        <v>345</v>
      </c>
    </row>
    <row r="32" spans="1:67" hidden="1" x14ac:dyDescent="0.2">
      <c r="A32" s="6" t="s">
        <v>42</v>
      </c>
      <c r="C32" s="6" t="s">
        <v>43</v>
      </c>
      <c r="D32" s="6"/>
      <c r="E32" s="6">
        <f t="shared" si="0"/>
        <v>0</v>
      </c>
      <c r="F32" s="6"/>
      <c r="G32" s="6"/>
      <c r="H32" s="6"/>
      <c r="I32" s="6"/>
      <c r="J32" s="6"/>
      <c r="K32" s="6">
        <f t="shared" si="1"/>
        <v>0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>
        <f t="shared" si="3"/>
        <v>0</v>
      </c>
      <c r="X32" s="6"/>
      <c r="Y32" s="6" t="s">
        <v>42</v>
      </c>
      <c r="Z32" s="18"/>
      <c r="AA32" s="6" t="s">
        <v>43</v>
      </c>
      <c r="AB32" s="6"/>
      <c r="AC32" s="6"/>
      <c r="AD32" s="6"/>
      <c r="AE32" s="6"/>
      <c r="AF32" s="6"/>
      <c r="AG32" s="6"/>
      <c r="AH32" s="6"/>
      <c r="AI32" s="8">
        <v>0</v>
      </c>
      <c r="AJ32" s="8"/>
      <c r="AK32" s="6"/>
      <c r="AL32" s="6"/>
      <c r="AM32" s="6"/>
      <c r="AN32" s="6"/>
      <c r="AO32" s="6"/>
      <c r="AP32" s="6"/>
      <c r="AQ32" s="6"/>
      <c r="AR32" s="6"/>
      <c r="AS32" s="8">
        <f t="shared" si="9"/>
        <v>0</v>
      </c>
      <c r="AT32" s="8"/>
      <c r="AU32" s="6">
        <v>0</v>
      </c>
      <c r="AV32" s="6"/>
      <c r="AW32" s="6">
        <v>0</v>
      </c>
      <c r="AX32" s="6"/>
      <c r="AY32" s="6">
        <f t="shared" si="4"/>
        <v>0</v>
      </c>
      <c r="AZ32" s="6"/>
      <c r="BA32" s="6" t="s">
        <v>42</v>
      </c>
      <c r="BB32" s="18"/>
      <c r="BC32" s="6" t="s">
        <v>43</v>
      </c>
      <c r="BD32" s="6"/>
      <c r="BE32" s="6"/>
      <c r="BF32" s="6"/>
      <c r="BG32" s="6"/>
      <c r="BH32" s="6"/>
      <c r="BI32" s="6"/>
      <c r="BJ32" s="6"/>
      <c r="BK32" s="6"/>
      <c r="BL32" s="6"/>
      <c r="BM32" s="6">
        <f t="shared" ref="BM32:BM38" si="10">SUM(BE32:BK32)</f>
        <v>0</v>
      </c>
      <c r="BN32" s="17" t="s">
        <v>345</v>
      </c>
    </row>
    <row r="33" spans="1:95" hidden="1" x14ac:dyDescent="0.2">
      <c r="A33" s="6" t="s">
        <v>44</v>
      </c>
      <c r="B33" s="20"/>
      <c r="C33" s="6" t="s">
        <v>45</v>
      </c>
      <c r="D33" s="6"/>
      <c r="E33" s="6">
        <f t="shared" si="0"/>
        <v>0</v>
      </c>
      <c r="F33" s="6"/>
      <c r="G33" s="6"/>
      <c r="H33" s="6"/>
      <c r="I33" s="6"/>
      <c r="J33" s="6"/>
      <c r="K33" s="6">
        <f t="shared" si="1"/>
        <v>0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>
        <f t="shared" si="3"/>
        <v>0</v>
      </c>
      <c r="X33" s="6"/>
      <c r="Y33" s="6" t="s">
        <v>44</v>
      </c>
      <c r="Z33" s="18"/>
      <c r="AA33" s="6" t="s">
        <v>45</v>
      </c>
      <c r="AB33" s="6"/>
      <c r="AC33" s="6"/>
      <c r="AD33" s="6"/>
      <c r="AE33" s="6"/>
      <c r="AF33" s="6"/>
      <c r="AG33" s="6"/>
      <c r="AH33" s="6"/>
      <c r="AI33" s="8">
        <f>+AC33-AE33-AG33</f>
        <v>0</v>
      </c>
      <c r="AJ33" s="8"/>
      <c r="AK33" s="6"/>
      <c r="AL33" s="6"/>
      <c r="AM33" s="6"/>
      <c r="AN33" s="6"/>
      <c r="AO33" s="6"/>
      <c r="AP33" s="6"/>
      <c r="AQ33" s="6"/>
      <c r="AR33" s="6"/>
      <c r="AS33" s="8">
        <f t="shared" si="9"/>
        <v>0</v>
      </c>
      <c r="AT33" s="8"/>
      <c r="AU33" s="6">
        <v>0</v>
      </c>
      <c r="AV33" s="6"/>
      <c r="AW33" s="6">
        <v>0</v>
      </c>
      <c r="AX33" s="6"/>
      <c r="AY33" s="6">
        <f t="shared" si="4"/>
        <v>0</v>
      </c>
      <c r="AZ33" s="6"/>
      <c r="BA33" s="6" t="s">
        <v>44</v>
      </c>
      <c r="BB33" s="18"/>
      <c r="BC33" s="6" t="s">
        <v>45</v>
      </c>
      <c r="BD33" s="6"/>
      <c r="BE33" s="6"/>
      <c r="BF33" s="6"/>
      <c r="BG33" s="6"/>
      <c r="BH33" s="6"/>
      <c r="BI33" s="6"/>
      <c r="BJ33" s="6"/>
      <c r="BK33" s="6"/>
      <c r="BL33" s="6"/>
      <c r="BM33" s="6">
        <f t="shared" si="10"/>
        <v>0</v>
      </c>
      <c r="BN33" s="17" t="s">
        <v>345</v>
      </c>
    </row>
    <row r="34" spans="1:95" hidden="1" x14ac:dyDescent="0.2">
      <c r="A34" s="6" t="s">
        <v>46</v>
      </c>
      <c r="C34" s="6" t="s">
        <v>25</v>
      </c>
      <c r="D34" s="6"/>
      <c r="E34" s="6">
        <f t="shared" si="0"/>
        <v>0</v>
      </c>
      <c r="F34" s="6"/>
      <c r="G34" s="6"/>
      <c r="H34" s="6"/>
      <c r="I34" s="6"/>
      <c r="J34" s="6"/>
      <c r="K34" s="6">
        <f t="shared" si="1"/>
        <v>0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>
        <v>0</v>
      </c>
      <c r="X34" s="6"/>
      <c r="Y34" s="6" t="s">
        <v>46</v>
      </c>
      <c r="Z34" s="18"/>
      <c r="AA34" s="6" t="s">
        <v>25</v>
      </c>
      <c r="AB34" s="6"/>
      <c r="AC34" s="6"/>
      <c r="AD34" s="6"/>
      <c r="AE34" s="6"/>
      <c r="AF34" s="6"/>
      <c r="AG34" s="6"/>
      <c r="AH34" s="6"/>
      <c r="AI34" s="8">
        <f t="shared" ref="AI34:AI53" si="11">+AC34-AE34-AG34</f>
        <v>0</v>
      </c>
      <c r="AJ34" s="8"/>
      <c r="AK34" s="6"/>
      <c r="AL34" s="6"/>
      <c r="AM34" s="6"/>
      <c r="AN34" s="6"/>
      <c r="AO34" s="6"/>
      <c r="AP34" s="6"/>
      <c r="AQ34" s="6"/>
      <c r="AR34" s="6"/>
      <c r="AS34" s="8">
        <f t="shared" si="9"/>
        <v>0</v>
      </c>
      <c r="AT34" s="8"/>
      <c r="AU34" s="6">
        <v>0</v>
      </c>
      <c r="AV34" s="6"/>
      <c r="AW34" s="6">
        <v>0</v>
      </c>
      <c r="AX34" s="6"/>
      <c r="AY34" s="6">
        <f t="shared" si="4"/>
        <v>0</v>
      </c>
      <c r="AZ34" s="6"/>
      <c r="BA34" s="6" t="s">
        <v>46</v>
      </c>
      <c r="BB34" s="18"/>
      <c r="BC34" s="6" t="s">
        <v>25</v>
      </c>
      <c r="BD34" s="6"/>
      <c r="BE34" s="6"/>
      <c r="BF34" s="6"/>
      <c r="BG34" s="6"/>
      <c r="BH34" s="6"/>
      <c r="BI34" s="6"/>
      <c r="BJ34" s="6"/>
      <c r="BK34" s="6"/>
      <c r="BL34" s="6"/>
      <c r="BM34" s="6">
        <f t="shared" si="10"/>
        <v>0</v>
      </c>
      <c r="BN34" s="17" t="s">
        <v>345</v>
      </c>
    </row>
    <row r="35" spans="1:95" hidden="1" x14ac:dyDescent="0.2">
      <c r="A35" s="6" t="s">
        <v>47</v>
      </c>
      <c r="C35" s="6" t="s">
        <v>25</v>
      </c>
      <c r="D35" s="6"/>
      <c r="E35" s="6">
        <f t="shared" si="0"/>
        <v>0</v>
      </c>
      <c r="F35" s="6"/>
      <c r="G35" s="6"/>
      <c r="H35" s="6"/>
      <c r="I35" s="6"/>
      <c r="J35" s="6"/>
      <c r="K35" s="6">
        <f t="shared" si="1"/>
        <v>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>
        <f t="shared" ref="W35:W75" si="12">SUM(Q35:U35)</f>
        <v>0</v>
      </c>
      <c r="X35" s="6"/>
      <c r="Y35" s="6" t="s">
        <v>47</v>
      </c>
      <c r="Z35" s="18"/>
      <c r="AA35" s="6" t="s">
        <v>25</v>
      </c>
      <c r="AB35" s="6"/>
      <c r="AC35" s="6"/>
      <c r="AD35" s="6"/>
      <c r="AE35" s="6"/>
      <c r="AF35" s="6"/>
      <c r="AG35" s="6"/>
      <c r="AH35" s="6"/>
      <c r="AI35" s="8">
        <f t="shared" si="11"/>
        <v>0</v>
      </c>
      <c r="AJ35" s="8"/>
      <c r="AK35" s="6"/>
      <c r="AL35" s="6"/>
      <c r="AM35" s="6"/>
      <c r="AN35" s="6"/>
      <c r="AO35" s="6"/>
      <c r="AP35" s="6"/>
      <c r="AQ35" s="6"/>
      <c r="AR35" s="6"/>
      <c r="AS35" s="8">
        <v>0</v>
      </c>
      <c r="AT35" s="8"/>
      <c r="AU35" s="6">
        <v>0</v>
      </c>
      <c r="AV35" s="6"/>
      <c r="AW35" s="6">
        <v>0</v>
      </c>
      <c r="AX35" s="6"/>
      <c r="AY35" s="6">
        <f t="shared" si="4"/>
        <v>0</v>
      </c>
      <c r="AZ35" s="6"/>
      <c r="BA35" s="6" t="s">
        <v>47</v>
      </c>
      <c r="BB35" s="18"/>
      <c r="BC35" s="6" t="s">
        <v>25</v>
      </c>
      <c r="BD35" s="6"/>
      <c r="BE35" s="6"/>
      <c r="BF35" s="6"/>
      <c r="BG35" s="6"/>
      <c r="BH35" s="6"/>
      <c r="BI35" s="6"/>
      <c r="BJ35" s="6"/>
      <c r="BK35" s="6"/>
      <c r="BL35" s="6"/>
      <c r="BM35" s="6">
        <f t="shared" si="10"/>
        <v>0</v>
      </c>
      <c r="BN35" s="17" t="s">
        <v>345</v>
      </c>
      <c r="BO35" s="18" t="s">
        <v>369</v>
      </c>
    </row>
    <row r="36" spans="1:95" hidden="1" x14ac:dyDescent="0.2">
      <c r="A36" s="6" t="s">
        <v>48</v>
      </c>
      <c r="C36" s="6" t="s">
        <v>25</v>
      </c>
      <c r="D36" s="6"/>
      <c r="E36" s="6">
        <f t="shared" si="0"/>
        <v>0</v>
      </c>
      <c r="F36" s="6"/>
      <c r="G36" s="6"/>
      <c r="H36" s="6"/>
      <c r="I36" s="6"/>
      <c r="J36" s="6"/>
      <c r="K36" s="6">
        <f t="shared" si="1"/>
        <v>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>
        <f t="shared" si="12"/>
        <v>0</v>
      </c>
      <c r="X36" s="6"/>
      <c r="Y36" s="6" t="s">
        <v>48</v>
      </c>
      <c r="Z36" s="18"/>
      <c r="AA36" s="6" t="s">
        <v>25</v>
      </c>
      <c r="AB36" s="6"/>
      <c r="AC36" s="6"/>
      <c r="AD36" s="6"/>
      <c r="AE36" s="6"/>
      <c r="AF36" s="6"/>
      <c r="AG36" s="6"/>
      <c r="AH36" s="6"/>
      <c r="AI36" s="8">
        <f t="shared" si="11"/>
        <v>0</v>
      </c>
      <c r="AJ36" s="8"/>
      <c r="AK36" s="6"/>
      <c r="AL36" s="6"/>
      <c r="AM36" s="6"/>
      <c r="AN36" s="6"/>
      <c r="AO36" s="6"/>
      <c r="AP36" s="6"/>
      <c r="AQ36" s="6"/>
      <c r="AR36" s="6"/>
      <c r="AS36" s="8">
        <f>+AI36+AK36+AM36-AO36+AQ36</f>
        <v>0</v>
      </c>
      <c r="AT36" s="8"/>
      <c r="AU36" s="6">
        <v>0</v>
      </c>
      <c r="AV36" s="6"/>
      <c r="AW36" s="6">
        <v>0</v>
      </c>
      <c r="AX36" s="6"/>
      <c r="AY36" s="6">
        <f t="shared" si="4"/>
        <v>0</v>
      </c>
      <c r="AZ36" s="6"/>
      <c r="BA36" s="6" t="s">
        <v>48</v>
      </c>
      <c r="BB36" s="18"/>
      <c r="BC36" s="6" t="s">
        <v>25</v>
      </c>
      <c r="BD36" s="6"/>
      <c r="BE36" s="6"/>
      <c r="BF36" s="6"/>
      <c r="BG36" s="6"/>
      <c r="BH36" s="6"/>
      <c r="BI36" s="6"/>
      <c r="BJ36" s="6"/>
      <c r="BK36" s="6"/>
      <c r="BL36" s="6"/>
      <c r="BM36" s="6">
        <f t="shared" si="10"/>
        <v>0</v>
      </c>
      <c r="BN36" s="17" t="s">
        <v>345</v>
      </c>
    </row>
    <row r="37" spans="1:95" hidden="1" x14ac:dyDescent="0.2">
      <c r="A37" s="6" t="s">
        <v>49</v>
      </c>
      <c r="C37" s="6" t="s">
        <v>25</v>
      </c>
      <c r="D37" s="6"/>
      <c r="E37" s="6">
        <f t="shared" si="0"/>
        <v>0</v>
      </c>
      <c r="F37" s="6"/>
      <c r="G37" s="6"/>
      <c r="H37" s="6"/>
      <c r="I37" s="6"/>
      <c r="J37" s="6"/>
      <c r="K37" s="6">
        <f t="shared" si="1"/>
        <v>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>
        <f t="shared" si="12"/>
        <v>0</v>
      </c>
      <c r="X37" s="6"/>
      <c r="Y37" s="6" t="s">
        <v>49</v>
      </c>
      <c r="Z37" s="18"/>
      <c r="AA37" s="6" t="s">
        <v>25</v>
      </c>
      <c r="AB37" s="6"/>
      <c r="AC37" s="6"/>
      <c r="AD37" s="6"/>
      <c r="AE37" s="6"/>
      <c r="AF37" s="6"/>
      <c r="AG37" s="6"/>
      <c r="AH37" s="6"/>
      <c r="AI37" s="8">
        <f t="shared" si="11"/>
        <v>0</v>
      </c>
      <c r="AJ37" s="8"/>
      <c r="AK37" s="6"/>
      <c r="AL37" s="6"/>
      <c r="AM37" s="6"/>
      <c r="AN37" s="6"/>
      <c r="AO37" s="6"/>
      <c r="AP37" s="6"/>
      <c r="AQ37" s="6"/>
      <c r="AR37" s="6"/>
      <c r="AS37" s="8">
        <v>0</v>
      </c>
      <c r="AT37" s="8"/>
      <c r="AU37" s="6">
        <v>0</v>
      </c>
      <c r="AV37" s="6"/>
      <c r="AW37" s="6">
        <v>0</v>
      </c>
      <c r="AX37" s="6"/>
      <c r="AY37" s="6">
        <f t="shared" si="4"/>
        <v>0</v>
      </c>
      <c r="AZ37" s="6"/>
      <c r="BA37" s="6" t="s">
        <v>49</v>
      </c>
      <c r="BB37" s="18"/>
      <c r="BC37" s="6" t="s">
        <v>25</v>
      </c>
      <c r="BD37" s="6"/>
      <c r="BE37" s="6"/>
      <c r="BF37" s="6"/>
      <c r="BG37" s="6"/>
      <c r="BH37" s="6"/>
      <c r="BI37" s="6"/>
      <c r="BJ37" s="6"/>
      <c r="BK37" s="6"/>
      <c r="BL37" s="6"/>
      <c r="BM37" s="6">
        <f t="shared" si="10"/>
        <v>0</v>
      </c>
      <c r="BN37" s="17" t="s">
        <v>345</v>
      </c>
    </row>
    <row r="38" spans="1:95" s="6" customFormat="1" ht="12.75" customHeight="1" x14ac:dyDescent="0.2">
      <c r="A38" s="6" t="s">
        <v>458</v>
      </c>
      <c r="B38" s="14"/>
      <c r="C38" s="6" t="s">
        <v>64</v>
      </c>
      <c r="D38" s="7"/>
      <c r="E38" s="16">
        <v>241488</v>
      </c>
      <c r="F38" s="16"/>
      <c r="G38" s="16">
        <v>3294</v>
      </c>
      <c r="H38" s="16"/>
      <c r="I38" s="16">
        <f>+E38+G38</f>
        <v>244782</v>
      </c>
      <c r="J38" s="16"/>
      <c r="K38" s="16">
        <v>26370</v>
      </c>
      <c r="L38" s="16"/>
      <c r="M38" s="16">
        <v>3660</v>
      </c>
      <c r="N38" s="16"/>
      <c r="O38" s="16">
        <f>+K38+M38</f>
        <v>30030</v>
      </c>
      <c r="P38" s="16"/>
      <c r="Q38" s="16">
        <v>3294</v>
      </c>
      <c r="R38" s="16"/>
      <c r="S38" s="16">
        <v>0</v>
      </c>
      <c r="T38" s="16"/>
      <c r="U38" s="16">
        <v>211458</v>
      </c>
      <c r="V38" s="16"/>
      <c r="W38" s="16">
        <f>SUM(Q38:U38)</f>
        <v>214752</v>
      </c>
      <c r="X38" s="14"/>
      <c r="Y38" s="6" t="s">
        <v>458</v>
      </c>
      <c r="Z38" s="16"/>
      <c r="AA38" s="6" t="s">
        <v>64</v>
      </c>
      <c r="AB38" s="14"/>
      <c r="AC38" s="6">
        <v>385427</v>
      </c>
      <c r="AE38" s="6">
        <f>370522-506</f>
        <v>370016</v>
      </c>
      <c r="AG38" s="6">
        <v>506</v>
      </c>
      <c r="AI38" s="8">
        <f t="shared" si="11"/>
        <v>14905</v>
      </c>
      <c r="AJ38" s="8"/>
      <c r="AK38" s="6">
        <v>0</v>
      </c>
      <c r="AM38" s="6">
        <v>0</v>
      </c>
      <c r="AO38" s="6">
        <v>0</v>
      </c>
      <c r="AQ38" s="6">
        <v>0</v>
      </c>
      <c r="AS38" s="8">
        <f t="shared" ref="AS38" si="13">+AI38+AK38+AM38-AO38+AQ38</f>
        <v>14905</v>
      </c>
      <c r="AT38" s="8"/>
      <c r="AU38" s="6">
        <v>0</v>
      </c>
      <c r="AW38" s="6">
        <v>0</v>
      </c>
      <c r="AY38" s="6">
        <f t="shared" ref="AY38" si="14">+E38-K38</f>
        <v>215118</v>
      </c>
      <c r="AZ38" s="16"/>
      <c r="BA38" s="6" t="s">
        <v>458</v>
      </c>
      <c r="BC38" s="6" t="s">
        <v>64</v>
      </c>
      <c r="BE38" s="16">
        <v>0</v>
      </c>
      <c r="BF38" s="16"/>
      <c r="BG38" s="16">
        <v>0</v>
      </c>
      <c r="BH38" s="16"/>
      <c r="BI38" s="16">
        <v>0</v>
      </c>
      <c r="BJ38" s="16"/>
      <c r="BK38" s="16">
        <f>3660+8411</f>
        <v>12071</v>
      </c>
      <c r="BL38" s="16"/>
      <c r="BM38" s="6">
        <f t="shared" si="10"/>
        <v>12071</v>
      </c>
      <c r="BN38" s="16">
        <f t="shared" ref="BN38" si="15">SUM(BF38:BL38)</f>
        <v>12071</v>
      </c>
      <c r="BO38" s="17"/>
      <c r="BP38" s="18"/>
      <c r="BS38" s="18"/>
      <c r="BT38" s="18"/>
      <c r="BU38" s="30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</row>
    <row r="39" spans="1:95" x14ac:dyDescent="0.2">
      <c r="A39" s="6" t="s">
        <v>50</v>
      </c>
      <c r="C39" s="6" t="s">
        <v>51</v>
      </c>
      <c r="D39" s="6"/>
      <c r="E39" s="6">
        <v>922931</v>
      </c>
      <c r="F39" s="6"/>
      <c r="G39" s="6">
        <v>154149</v>
      </c>
      <c r="H39" s="6"/>
      <c r="I39" s="6">
        <f>+E39+G39</f>
        <v>1077080</v>
      </c>
      <c r="J39" s="6"/>
      <c r="K39" s="6">
        <v>5755</v>
      </c>
      <c r="L39" s="6"/>
      <c r="M39" s="6">
        <v>1487</v>
      </c>
      <c r="N39" s="6"/>
      <c r="O39" s="6">
        <f>+K39+M39</f>
        <v>7242</v>
      </c>
      <c r="P39" s="6"/>
      <c r="Q39" s="6">
        <v>154149</v>
      </c>
      <c r="R39" s="6"/>
      <c r="S39" s="6">
        <v>0</v>
      </c>
      <c r="T39" s="6"/>
      <c r="U39" s="6">
        <v>915689</v>
      </c>
      <c r="V39" s="6"/>
      <c r="W39" s="6">
        <f t="shared" si="12"/>
        <v>1069838</v>
      </c>
      <c r="X39" s="6"/>
      <c r="Y39" s="6" t="s">
        <v>50</v>
      </c>
      <c r="Z39" s="18"/>
      <c r="AA39" s="6" t="s">
        <v>51</v>
      </c>
      <c r="AB39" s="6"/>
      <c r="AC39" s="6">
        <v>2598583</v>
      </c>
      <c r="AD39" s="6"/>
      <c r="AE39" s="6">
        <f>2456370-24985</f>
        <v>2431385</v>
      </c>
      <c r="AF39" s="6"/>
      <c r="AG39" s="6">
        <v>24985</v>
      </c>
      <c r="AH39" s="6"/>
      <c r="AI39" s="8">
        <f t="shared" si="11"/>
        <v>142213</v>
      </c>
      <c r="AJ39" s="8"/>
      <c r="AK39" s="6">
        <v>0</v>
      </c>
      <c r="AL39" s="6"/>
      <c r="AM39" s="6">
        <v>0</v>
      </c>
      <c r="AN39" s="6"/>
      <c r="AO39" s="6">
        <v>0</v>
      </c>
      <c r="AP39" s="6"/>
      <c r="AQ39" s="6">
        <v>0</v>
      </c>
      <c r="AR39" s="6"/>
      <c r="AS39" s="8">
        <f t="shared" ref="AS39:AS104" si="16">+AI39+AK39+AM39-AO39+AQ39</f>
        <v>142213</v>
      </c>
      <c r="AT39" s="8"/>
      <c r="AU39" s="6">
        <v>0</v>
      </c>
      <c r="AV39" s="6"/>
      <c r="AW39" s="6">
        <v>0</v>
      </c>
      <c r="AX39" s="6"/>
      <c r="AY39" s="6">
        <f t="shared" si="4"/>
        <v>917176</v>
      </c>
      <c r="AZ39" s="6"/>
      <c r="BA39" s="6" t="s">
        <v>50</v>
      </c>
      <c r="BB39" s="18"/>
      <c r="BC39" s="6" t="s">
        <v>51</v>
      </c>
      <c r="BD39" s="6"/>
      <c r="BE39" s="6">
        <v>0</v>
      </c>
      <c r="BF39" s="6"/>
      <c r="BG39" s="6">
        <v>0</v>
      </c>
      <c r="BH39" s="6"/>
      <c r="BI39" s="6">
        <v>0</v>
      </c>
      <c r="BJ39" s="6"/>
      <c r="BK39" s="6">
        <f>1487+240</f>
        <v>1727</v>
      </c>
      <c r="BL39" s="6"/>
      <c r="BM39" s="6">
        <f t="shared" ref="BM39:BM100" si="17">SUM(BE39:BK39)</f>
        <v>1727</v>
      </c>
      <c r="BN39" s="17" t="s">
        <v>345</v>
      </c>
    </row>
    <row r="40" spans="1:95" x14ac:dyDescent="0.2">
      <c r="A40" s="6" t="s">
        <v>52</v>
      </c>
      <c r="C40" s="6" t="s">
        <v>53</v>
      </c>
      <c r="D40" s="6"/>
      <c r="E40" s="6">
        <v>403422</v>
      </c>
      <c r="F40" s="6"/>
      <c r="G40" s="6">
        <v>357291</v>
      </c>
      <c r="H40" s="6"/>
      <c r="I40" s="6">
        <f>+E40+G40</f>
        <v>760713</v>
      </c>
      <c r="J40" s="6"/>
      <c r="K40" s="6">
        <v>51632</v>
      </c>
      <c r="L40" s="6"/>
      <c r="M40" s="6">
        <v>33788</v>
      </c>
      <c r="N40" s="6"/>
      <c r="O40" s="6">
        <f>+K40+M40</f>
        <v>85420</v>
      </c>
      <c r="P40" s="6"/>
      <c r="Q40" s="6">
        <v>357291</v>
      </c>
      <c r="R40" s="6"/>
      <c r="S40" s="6">
        <v>0</v>
      </c>
      <c r="T40" s="6"/>
      <c r="U40" s="6">
        <v>318002</v>
      </c>
      <c r="V40" s="6"/>
      <c r="W40" s="6">
        <f t="shared" si="12"/>
        <v>675293</v>
      </c>
      <c r="X40" s="6"/>
      <c r="Y40" s="6" t="s">
        <v>52</v>
      </c>
      <c r="Z40" s="18"/>
      <c r="AA40" s="6" t="s">
        <v>53</v>
      </c>
      <c r="AB40" s="6"/>
      <c r="AC40" s="6">
        <v>908529</v>
      </c>
      <c r="AD40" s="6"/>
      <c r="AE40" s="6">
        <f>948095-39965</f>
        <v>908130</v>
      </c>
      <c r="AF40" s="6"/>
      <c r="AG40" s="6">
        <v>39965</v>
      </c>
      <c r="AH40" s="6"/>
      <c r="AI40" s="8">
        <f t="shared" si="11"/>
        <v>-39566</v>
      </c>
      <c r="AJ40" s="8"/>
      <c r="AK40" s="6">
        <v>3012</v>
      </c>
      <c r="AL40" s="6"/>
      <c r="AM40" s="6">
        <v>0</v>
      </c>
      <c r="AN40" s="6"/>
      <c r="AO40" s="6">
        <v>0</v>
      </c>
      <c r="AP40" s="6"/>
      <c r="AQ40" s="6">
        <v>0</v>
      </c>
      <c r="AR40" s="6"/>
      <c r="AS40" s="8">
        <f t="shared" si="16"/>
        <v>-36554</v>
      </c>
      <c r="AT40" s="8"/>
      <c r="AU40" s="6">
        <v>0</v>
      </c>
      <c r="AV40" s="6"/>
      <c r="AW40" s="6">
        <v>0</v>
      </c>
      <c r="AX40" s="6"/>
      <c r="AY40" s="6">
        <f t="shared" si="4"/>
        <v>351790</v>
      </c>
      <c r="AZ40" s="6"/>
      <c r="BA40" s="6" t="s">
        <v>52</v>
      </c>
      <c r="BB40" s="18"/>
      <c r="BC40" s="6" t="s">
        <v>53</v>
      </c>
      <c r="BD40" s="6"/>
      <c r="BE40" s="6">
        <v>0</v>
      </c>
      <c r="BF40" s="6"/>
      <c r="BG40" s="6">
        <v>0</v>
      </c>
      <c r="BH40" s="6"/>
      <c r="BI40" s="6">
        <v>0</v>
      </c>
      <c r="BJ40" s="6"/>
      <c r="BK40" s="6">
        <f>33788+12159</f>
        <v>45947</v>
      </c>
      <c r="BL40" s="6"/>
      <c r="BM40" s="6">
        <f t="shared" si="17"/>
        <v>45947</v>
      </c>
      <c r="BN40" s="17" t="s">
        <v>345</v>
      </c>
    </row>
    <row r="41" spans="1:95" x14ac:dyDescent="0.2">
      <c r="A41" s="6" t="s">
        <v>54</v>
      </c>
      <c r="C41" s="6" t="s">
        <v>55</v>
      </c>
      <c r="D41" s="6"/>
      <c r="E41" s="6">
        <v>459359</v>
      </c>
      <c r="F41" s="6"/>
      <c r="G41" s="6">
        <v>157495</v>
      </c>
      <c r="H41" s="6"/>
      <c r="I41" s="6">
        <f>+E41+G41</f>
        <v>616854</v>
      </c>
      <c r="J41" s="6"/>
      <c r="K41" s="6">
        <v>131655</v>
      </c>
      <c r="L41" s="6"/>
      <c r="M41" s="6">
        <v>33605</v>
      </c>
      <c r="N41" s="6"/>
      <c r="O41" s="6">
        <f>+K41+M41</f>
        <v>165260</v>
      </c>
      <c r="P41" s="6"/>
      <c r="Q41" s="6">
        <v>157495</v>
      </c>
      <c r="R41" s="6"/>
      <c r="S41" s="6">
        <v>0</v>
      </c>
      <c r="T41" s="6"/>
      <c r="U41" s="6">
        <v>294099</v>
      </c>
      <c r="V41" s="6"/>
      <c r="W41" s="6">
        <f t="shared" si="12"/>
        <v>451594</v>
      </c>
      <c r="X41" s="6"/>
      <c r="Y41" s="6" t="s">
        <v>54</v>
      </c>
      <c r="Z41" s="18"/>
      <c r="AA41" s="6" t="s">
        <v>55</v>
      </c>
      <c r="AB41" s="6"/>
      <c r="AC41" s="6">
        <v>859948</v>
      </c>
      <c r="AD41" s="6"/>
      <c r="AE41" s="6">
        <f>832592-33637</f>
        <v>798955</v>
      </c>
      <c r="AF41" s="6"/>
      <c r="AG41" s="6">
        <v>33637</v>
      </c>
      <c r="AH41" s="6"/>
      <c r="AI41" s="8">
        <f t="shared" si="11"/>
        <v>27356</v>
      </c>
      <c r="AJ41" s="8"/>
      <c r="AK41" s="6">
        <v>0</v>
      </c>
      <c r="AL41" s="6"/>
      <c r="AM41" s="6">
        <v>0</v>
      </c>
      <c r="AN41" s="6"/>
      <c r="AO41" s="6">
        <v>0</v>
      </c>
      <c r="AP41" s="6"/>
      <c r="AQ41" s="6">
        <v>0</v>
      </c>
      <c r="AR41" s="6"/>
      <c r="AS41" s="8">
        <f t="shared" si="16"/>
        <v>27356</v>
      </c>
      <c r="AT41" s="8"/>
      <c r="AU41" s="6">
        <v>0</v>
      </c>
      <c r="AV41" s="6"/>
      <c r="AW41" s="6">
        <v>0</v>
      </c>
      <c r="AX41" s="6"/>
      <c r="AY41" s="6">
        <f t="shared" si="4"/>
        <v>327704</v>
      </c>
      <c r="AZ41" s="6"/>
      <c r="BA41" s="6" t="s">
        <v>54</v>
      </c>
      <c r="BB41" s="18"/>
      <c r="BC41" s="6" t="s">
        <v>55</v>
      </c>
      <c r="BD41" s="6"/>
      <c r="BE41" s="6">
        <v>0</v>
      </c>
      <c r="BF41" s="6"/>
      <c r="BG41" s="6">
        <v>0</v>
      </c>
      <c r="BH41" s="6"/>
      <c r="BI41" s="6">
        <v>0</v>
      </c>
      <c r="BJ41" s="6"/>
      <c r="BK41" s="6">
        <f>33605+10162</f>
        <v>43767</v>
      </c>
      <c r="BL41" s="6"/>
      <c r="BM41" s="6">
        <f t="shared" si="17"/>
        <v>43767</v>
      </c>
      <c r="BN41" s="17" t="s">
        <v>345</v>
      </c>
    </row>
    <row r="42" spans="1:95" hidden="1" x14ac:dyDescent="0.2">
      <c r="A42" s="6" t="s">
        <v>56</v>
      </c>
      <c r="C42" s="6" t="s">
        <v>57</v>
      </c>
      <c r="D42" s="6"/>
      <c r="E42" s="6">
        <f t="shared" si="0"/>
        <v>0</v>
      </c>
      <c r="F42" s="6"/>
      <c r="G42" s="6"/>
      <c r="H42" s="6"/>
      <c r="I42" s="6"/>
      <c r="J42" s="6"/>
      <c r="K42" s="6">
        <f t="shared" si="1"/>
        <v>0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>
        <f t="shared" si="12"/>
        <v>0</v>
      </c>
      <c r="X42" s="6"/>
      <c r="Y42" s="6" t="s">
        <v>56</v>
      </c>
      <c r="Z42" s="18"/>
      <c r="AA42" s="6" t="s">
        <v>57</v>
      </c>
      <c r="AB42" s="6"/>
      <c r="AC42" s="6"/>
      <c r="AD42" s="6"/>
      <c r="AE42" s="6"/>
      <c r="AF42" s="6"/>
      <c r="AG42" s="6"/>
      <c r="AH42" s="6"/>
      <c r="AI42" s="8">
        <f t="shared" si="11"/>
        <v>0</v>
      </c>
      <c r="AJ42" s="8"/>
      <c r="AK42" s="6"/>
      <c r="AL42" s="6"/>
      <c r="AM42" s="6"/>
      <c r="AN42" s="6"/>
      <c r="AO42" s="6"/>
      <c r="AP42" s="6"/>
      <c r="AQ42" s="6"/>
      <c r="AR42" s="6"/>
      <c r="AS42" s="8">
        <f t="shared" si="16"/>
        <v>0</v>
      </c>
      <c r="AT42" s="8"/>
      <c r="AU42" s="6">
        <v>0</v>
      </c>
      <c r="AV42" s="6"/>
      <c r="AW42" s="6">
        <v>0</v>
      </c>
      <c r="AX42" s="6"/>
      <c r="AY42" s="6">
        <f t="shared" si="4"/>
        <v>0</v>
      </c>
      <c r="AZ42" s="6"/>
      <c r="BA42" s="6" t="s">
        <v>56</v>
      </c>
      <c r="BB42" s="18"/>
      <c r="BC42" s="6" t="s">
        <v>57</v>
      </c>
      <c r="BD42" s="6"/>
      <c r="BE42" s="6"/>
      <c r="BF42" s="6"/>
      <c r="BG42" s="6"/>
      <c r="BH42" s="6"/>
      <c r="BI42" s="6"/>
      <c r="BJ42" s="6"/>
      <c r="BK42" s="6"/>
      <c r="BL42" s="6"/>
      <c r="BM42" s="6">
        <f t="shared" si="17"/>
        <v>0</v>
      </c>
      <c r="BN42" s="17" t="s">
        <v>345</v>
      </c>
    </row>
    <row r="43" spans="1:95" hidden="1" x14ac:dyDescent="0.2">
      <c r="A43" s="7" t="s">
        <v>470</v>
      </c>
      <c r="C43" s="6" t="s">
        <v>13</v>
      </c>
      <c r="D43" s="6"/>
      <c r="E43" s="6">
        <f t="shared" si="0"/>
        <v>0</v>
      </c>
      <c r="F43" s="6"/>
      <c r="G43" s="6"/>
      <c r="H43" s="6"/>
      <c r="I43" s="6"/>
      <c r="J43" s="6"/>
      <c r="K43" s="6">
        <f t="shared" si="1"/>
        <v>0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>
        <f t="shared" si="12"/>
        <v>0</v>
      </c>
      <c r="X43" s="6"/>
      <c r="Y43" s="7" t="s">
        <v>60</v>
      </c>
      <c r="Z43" s="18"/>
      <c r="AA43" s="6" t="s">
        <v>13</v>
      </c>
      <c r="AB43" s="6"/>
      <c r="AC43" s="6"/>
      <c r="AD43" s="6"/>
      <c r="AE43" s="6"/>
      <c r="AF43" s="6"/>
      <c r="AG43" s="6"/>
      <c r="AH43" s="6"/>
      <c r="AI43" s="8">
        <f t="shared" si="11"/>
        <v>0</v>
      </c>
      <c r="AJ43" s="8"/>
      <c r="AK43" s="6"/>
      <c r="AL43" s="6"/>
      <c r="AM43" s="6"/>
      <c r="AN43" s="6"/>
      <c r="AO43" s="6"/>
      <c r="AP43" s="6"/>
      <c r="AQ43" s="6"/>
      <c r="AR43" s="6"/>
      <c r="AS43" s="8">
        <f t="shared" si="16"/>
        <v>0</v>
      </c>
      <c r="AT43" s="8"/>
      <c r="AU43" s="6">
        <v>0</v>
      </c>
      <c r="AV43" s="6"/>
      <c r="AW43" s="6">
        <v>0</v>
      </c>
      <c r="AX43" s="6"/>
      <c r="AY43" s="6">
        <f t="shared" si="4"/>
        <v>0</v>
      </c>
      <c r="AZ43" s="6"/>
      <c r="BA43" s="7" t="s">
        <v>60</v>
      </c>
      <c r="BB43" s="18"/>
      <c r="BC43" s="6" t="s">
        <v>13</v>
      </c>
      <c r="BD43" s="6"/>
      <c r="BE43" s="6"/>
      <c r="BF43" s="6"/>
      <c r="BG43" s="6"/>
      <c r="BH43" s="6"/>
      <c r="BI43" s="6"/>
      <c r="BJ43" s="6"/>
      <c r="BK43" s="6"/>
      <c r="BL43" s="6"/>
      <c r="BM43" s="6">
        <f t="shared" si="17"/>
        <v>0</v>
      </c>
      <c r="BN43" s="17" t="s">
        <v>345</v>
      </c>
    </row>
    <row r="44" spans="1:95" ht="12" hidden="1" x14ac:dyDescent="0.2">
      <c r="A44" s="7" t="s">
        <v>493</v>
      </c>
      <c r="B44" s="10"/>
      <c r="C44" s="7" t="s">
        <v>41</v>
      </c>
      <c r="D44" s="6"/>
      <c r="E44" s="6">
        <f t="shared" ref="E44:E45" si="18">I44-G44</f>
        <v>0</v>
      </c>
      <c r="F44" s="6"/>
      <c r="G44" s="6"/>
      <c r="H44" s="6"/>
      <c r="I44" s="6"/>
      <c r="J44" s="6"/>
      <c r="K44" s="6">
        <f t="shared" ref="K44:K45" si="19">O44-M44</f>
        <v>0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>
        <f t="shared" ref="W44:W46" si="20">SUM(Q44:U44)</f>
        <v>0</v>
      </c>
      <c r="X44" s="6"/>
      <c r="Y44" s="7" t="s">
        <v>493</v>
      </c>
      <c r="AA44" s="7" t="s">
        <v>41</v>
      </c>
      <c r="AB44" s="6"/>
      <c r="AC44" s="6"/>
      <c r="AD44" s="6"/>
      <c r="AE44" s="6"/>
      <c r="AF44" s="6"/>
      <c r="AG44" s="6"/>
      <c r="AH44" s="6"/>
      <c r="AI44" s="8">
        <f t="shared" ref="AI44:AI46" si="21">+AC44-AE44-AG44</f>
        <v>0</v>
      </c>
      <c r="AJ44" s="8"/>
      <c r="AK44" s="6"/>
      <c r="AL44" s="6"/>
      <c r="AM44" s="6"/>
      <c r="AN44" s="6"/>
      <c r="AO44" s="6"/>
      <c r="AP44" s="6"/>
      <c r="AQ44" s="6"/>
      <c r="AR44" s="6"/>
      <c r="AS44" s="8">
        <f t="shared" ref="AS44:AS46" si="22">+AI44+AK44+AM44-AO44+AQ44</f>
        <v>0</v>
      </c>
      <c r="AT44" s="8"/>
      <c r="AU44" s="6">
        <v>0</v>
      </c>
      <c r="AV44" s="6"/>
      <c r="AW44" s="6">
        <v>0</v>
      </c>
      <c r="AX44" s="6"/>
      <c r="AY44" s="6">
        <f t="shared" ref="AY44:AY46" si="23">+E44-K44</f>
        <v>0</v>
      </c>
      <c r="AZ44" s="6"/>
      <c r="BA44" s="7" t="s">
        <v>493</v>
      </c>
      <c r="BC44" s="7" t="s">
        <v>41</v>
      </c>
      <c r="BD44" s="6"/>
      <c r="BE44" s="6"/>
      <c r="BF44" s="6"/>
      <c r="BG44" s="6"/>
      <c r="BH44" s="6"/>
      <c r="BI44" s="6"/>
      <c r="BJ44" s="6"/>
      <c r="BK44" s="6"/>
      <c r="BL44" s="6"/>
      <c r="BM44" s="6">
        <f t="shared" si="17"/>
        <v>0</v>
      </c>
      <c r="BN44" s="17"/>
    </row>
    <row r="45" spans="1:95" hidden="1" x14ac:dyDescent="0.2">
      <c r="A45" s="6" t="s">
        <v>58</v>
      </c>
      <c r="C45" s="6" t="s">
        <v>59</v>
      </c>
      <c r="D45" s="6"/>
      <c r="E45" s="6">
        <f t="shared" si="18"/>
        <v>0</v>
      </c>
      <c r="F45" s="6"/>
      <c r="G45" s="6"/>
      <c r="H45" s="6"/>
      <c r="I45" s="6"/>
      <c r="J45" s="6"/>
      <c r="K45" s="6">
        <f t="shared" si="19"/>
        <v>0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>
        <f t="shared" si="20"/>
        <v>0</v>
      </c>
      <c r="X45" s="6"/>
      <c r="Y45" s="6" t="s">
        <v>58</v>
      </c>
      <c r="Z45" s="18"/>
      <c r="AA45" s="6" t="s">
        <v>59</v>
      </c>
      <c r="AB45" s="6"/>
      <c r="AC45" s="6"/>
      <c r="AD45" s="6"/>
      <c r="AE45" s="6"/>
      <c r="AF45" s="6"/>
      <c r="AG45" s="6"/>
      <c r="AH45" s="6"/>
      <c r="AI45" s="8">
        <f t="shared" si="21"/>
        <v>0</v>
      </c>
      <c r="AJ45" s="8"/>
      <c r="AK45" s="6"/>
      <c r="AL45" s="6"/>
      <c r="AM45" s="6"/>
      <c r="AN45" s="6"/>
      <c r="AO45" s="6"/>
      <c r="AP45" s="6"/>
      <c r="AQ45" s="6"/>
      <c r="AR45" s="6"/>
      <c r="AS45" s="8">
        <f t="shared" si="22"/>
        <v>0</v>
      </c>
      <c r="AT45" s="8"/>
      <c r="AU45" s="6">
        <v>0</v>
      </c>
      <c r="AV45" s="6"/>
      <c r="AW45" s="6">
        <v>0</v>
      </c>
      <c r="AX45" s="6"/>
      <c r="AY45" s="6">
        <f t="shared" si="23"/>
        <v>0</v>
      </c>
      <c r="AZ45" s="6"/>
      <c r="BA45" s="6" t="s">
        <v>58</v>
      </c>
      <c r="BB45" s="18"/>
      <c r="BC45" s="6" t="s">
        <v>59</v>
      </c>
      <c r="BD45" s="6"/>
      <c r="BE45" s="6"/>
      <c r="BF45" s="6"/>
      <c r="BG45" s="6"/>
      <c r="BH45" s="6"/>
      <c r="BI45" s="6"/>
      <c r="BJ45" s="6"/>
      <c r="BK45" s="6"/>
      <c r="BL45" s="6"/>
      <c r="BM45" s="6">
        <f t="shared" si="17"/>
        <v>0</v>
      </c>
      <c r="BN45" s="17" t="s">
        <v>345</v>
      </c>
    </row>
    <row r="46" spans="1:95" hidden="1" x14ac:dyDescent="0.2">
      <c r="A46" s="7" t="s">
        <v>60</v>
      </c>
      <c r="C46" s="6" t="s">
        <v>13</v>
      </c>
      <c r="D46" s="6"/>
      <c r="E46" s="6">
        <v>4462105</v>
      </c>
      <c r="F46" s="6"/>
      <c r="G46" s="6">
        <v>1606724</v>
      </c>
      <c r="H46" s="6"/>
      <c r="I46" s="6">
        <f>+E46+G46</f>
        <v>6068829</v>
      </c>
      <c r="J46" s="6"/>
      <c r="K46" s="6">
        <v>186323</v>
      </c>
      <c r="L46" s="6"/>
      <c r="M46" s="6">
        <v>0</v>
      </c>
      <c r="N46" s="6"/>
      <c r="O46" s="6">
        <f>+K46+M46</f>
        <v>186323</v>
      </c>
      <c r="P46" s="6"/>
      <c r="Q46" s="6">
        <v>1606724</v>
      </c>
      <c r="R46" s="6"/>
      <c r="S46" s="6">
        <v>0</v>
      </c>
      <c r="T46" s="6"/>
      <c r="U46" s="6">
        <v>4275782</v>
      </c>
      <c r="V46" s="6"/>
      <c r="W46" s="6">
        <f t="shared" si="20"/>
        <v>5882506</v>
      </c>
      <c r="X46" s="6"/>
      <c r="Y46" s="7" t="s">
        <v>60</v>
      </c>
      <c r="Z46" s="18"/>
      <c r="AA46" s="6" t="s">
        <v>13</v>
      </c>
      <c r="AB46" s="6"/>
      <c r="AC46" s="6">
        <v>6140848</v>
      </c>
      <c r="AD46" s="6"/>
      <c r="AE46" s="6">
        <f>5342651-189709</f>
        <v>5152942</v>
      </c>
      <c r="AF46" s="6"/>
      <c r="AG46" s="6">
        <v>189709</v>
      </c>
      <c r="AH46" s="6"/>
      <c r="AI46" s="8">
        <f t="shared" si="21"/>
        <v>798197</v>
      </c>
      <c r="AJ46" s="8"/>
      <c r="AK46" s="6">
        <v>13320</v>
      </c>
      <c r="AL46" s="6"/>
      <c r="AM46" s="6">
        <v>0</v>
      </c>
      <c r="AN46" s="6"/>
      <c r="AO46" s="6">
        <v>0</v>
      </c>
      <c r="AP46" s="6"/>
      <c r="AQ46" s="6">
        <v>0</v>
      </c>
      <c r="AR46" s="6"/>
      <c r="AS46" s="8">
        <f t="shared" si="22"/>
        <v>811517</v>
      </c>
      <c r="AT46" s="8"/>
      <c r="AU46" s="6">
        <v>0</v>
      </c>
      <c r="AV46" s="6"/>
      <c r="AW46" s="6">
        <v>0</v>
      </c>
      <c r="AX46" s="6"/>
      <c r="AY46" s="6">
        <f t="shared" si="23"/>
        <v>4275782</v>
      </c>
      <c r="AZ46" s="6"/>
      <c r="BA46" s="7" t="s">
        <v>60</v>
      </c>
      <c r="BB46" s="18"/>
      <c r="BC46" s="6" t="s">
        <v>13</v>
      </c>
      <c r="BD46" s="6"/>
      <c r="BE46" s="6">
        <v>0</v>
      </c>
      <c r="BF46" s="6"/>
      <c r="BG46" s="6">
        <v>0</v>
      </c>
      <c r="BH46" s="6"/>
      <c r="BI46" s="6">
        <v>0</v>
      </c>
      <c r="BJ46" s="6"/>
      <c r="BK46" s="6">
        <v>0</v>
      </c>
      <c r="BL46" s="6"/>
      <c r="BM46" s="6">
        <f t="shared" si="17"/>
        <v>0</v>
      </c>
      <c r="BN46" s="17" t="s">
        <v>345</v>
      </c>
      <c r="BS46" s="7"/>
    </row>
    <row r="47" spans="1:95" hidden="1" x14ac:dyDescent="0.2">
      <c r="A47" s="6" t="s">
        <v>479</v>
      </c>
      <c r="C47" s="6" t="s">
        <v>109</v>
      </c>
      <c r="D47" s="6"/>
      <c r="E47" s="6">
        <f t="shared" si="0"/>
        <v>0</v>
      </c>
      <c r="F47" s="6"/>
      <c r="G47" s="6"/>
      <c r="H47" s="6"/>
      <c r="I47" s="6"/>
      <c r="J47" s="6"/>
      <c r="K47" s="6">
        <f t="shared" si="1"/>
        <v>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>
        <f t="shared" si="12"/>
        <v>0</v>
      </c>
      <c r="X47" s="6"/>
      <c r="Y47" s="6" t="s">
        <v>479</v>
      </c>
      <c r="Z47" s="18"/>
      <c r="AA47" s="6" t="s">
        <v>109</v>
      </c>
      <c r="AB47" s="6"/>
      <c r="AC47" s="6"/>
      <c r="AD47" s="6"/>
      <c r="AE47" s="6"/>
      <c r="AF47" s="6"/>
      <c r="AG47" s="6"/>
      <c r="AH47" s="6"/>
      <c r="AI47" s="8">
        <f t="shared" si="11"/>
        <v>0</v>
      </c>
      <c r="AJ47" s="8"/>
      <c r="AK47" s="6"/>
      <c r="AL47" s="6"/>
      <c r="AM47" s="6"/>
      <c r="AN47" s="6"/>
      <c r="AO47" s="6"/>
      <c r="AP47" s="6"/>
      <c r="AQ47" s="6"/>
      <c r="AR47" s="6"/>
      <c r="AS47" s="8">
        <f t="shared" si="16"/>
        <v>0</v>
      </c>
      <c r="AT47" s="8"/>
      <c r="AU47" s="6">
        <v>0</v>
      </c>
      <c r="AV47" s="6"/>
      <c r="AW47" s="6">
        <v>0</v>
      </c>
      <c r="AX47" s="6"/>
      <c r="AY47" s="6">
        <f t="shared" si="4"/>
        <v>0</v>
      </c>
      <c r="AZ47" s="6"/>
      <c r="BA47" s="6" t="s">
        <v>479</v>
      </c>
      <c r="BB47" s="18"/>
      <c r="BC47" s="6" t="s">
        <v>109</v>
      </c>
      <c r="BD47" s="6"/>
      <c r="BE47" s="6"/>
      <c r="BF47" s="6"/>
      <c r="BG47" s="6"/>
      <c r="BH47" s="6"/>
      <c r="BI47" s="6"/>
      <c r="BJ47" s="6"/>
      <c r="BK47" s="6"/>
      <c r="BL47" s="6"/>
      <c r="BM47" s="6">
        <f t="shared" si="17"/>
        <v>0</v>
      </c>
      <c r="BN47" s="17" t="s">
        <v>345</v>
      </c>
      <c r="BS47" s="7"/>
    </row>
    <row r="48" spans="1:95" hidden="1" x14ac:dyDescent="0.2">
      <c r="A48" s="6" t="s">
        <v>61</v>
      </c>
      <c r="C48" s="6" t="s">
        <v>62</v>
      </c>
      <c r="D48" s="6"/>
      <c r="E48" s="6">
        <f t="shared" si="0"/>
        <v>0</v>
      </c>
      <c r="F48" s="6"/>
      <c r="G48" s="6"/>
      <c r="H48" s="6"/>
      <c r="I48" s="6"/>
      <c r="J48" s="6"/>
      <c r="K48" s="6">
        <f t="shared" si="1"/>
        <v>0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>
        <f t="shared" si="12"/>
        <v>0</v>
      </c>
      <c r="X48" s="6"/>
      <c r="Y48" s="6" t="s">
        <v>61</v>
      </c>
      <c r="Z48" s="18"/>
      <c r="AA48" s="6" t="s">
        <v>62</v>
      </c>
      <c r="AB48" s="6"/>
      <c r="AC48" s="6"/>
      <c r="AD48" s="6"/>
      <c r="AE48" s="6"/>
      <c r="AF48" s="6"/>
      <c r="AG48" s="6"/>
      <c r="AH48" s="6"/>
      <c r="AI48" s="8">
        <f t="shared" si="11"/>
        <v>0</v>
      </c>
      <c r="AJ48" s="8"/>
      <c r="AK48" s="6"/>
      <c r="AL48" s="6"/>
      <c r="AM48" s="6"/>
      <c r="AN48" s="6"/>
      <c r="AO48" s="6"/>
      <c r="AP48" s="6"/>
      <c r="AQ48" s="6"/>
      <c r="AR48" s="6"/>
      <c r="AS48" s="8">
        <f t="shared" si="16"/>
        <v>0</v>
      </c>
      <c r="AT48" s="8"/>
      <c r="AU48" s="6">
        <v>0</v>
      </c>
      <c r="AV48" s="6"/>
      <c r="AW48" s="6">
        <v>0</v>
      </c>
      <c r="AX48" s="6"/>
      <c r="AY48" s="6">
        <f t="shared" si="4"/>
        <v>0</v>
      </c>
      <c r="AZ48" s="6"/>
      <c r="BA48" s="6" t="s">
        <v>61</v>
      </c>
      <c r="BB48" s="18"/>
      <c r="BC48" s="6" t="s">
        <v>62</v>
      </c>
      <c r="BD48" s="6"/>
      <c r="BE48" s="6"/>
      <c r="BF48" s="6"/>
      <c r="BG48" s="6"/>
      <c r="BH48" s="6"/>
      <c r="BI48" s="6"/>
      <c r="BJ48" s="6"/>
      <c r="BK48" s="6"/>
      <c r="BL48" s="6"/>
      <c r="BM48" s="6">
        <f t="shared" si="17"/>
        <v>0</v>
      </c>
      <c r="BN48" s="17" t="s">
        <v>345</v>
      </c>
      <c r="BO48" s="18" t="s">
        <v>313</v>
      </c>
    </row>
    <row r="49" spans="1:66" x14ac:dyDescent="0.2">
      <c r="A49" s="6" t="s">
        <v>63</v>
      </c>
      <c r="C49" s="6" t="s">
        <v>64</v>
      </c>
      <c r="D49" s="6"/>
      <c r="E49" s="6">
        <v>437542</v>
      </c>
      <c r="F49" s="6"/>
      <c r="G49" s="6">
        <v>0</v>
      </c>
      <c r="H49" s="6"/>
      <c r="I49" s="6">
        <f>+E49+G49</f>
        <v>437542</v>
      </c>
      <c r="J49" s="6"/>
      <c r="K49" s="6">
        <v>300925</v>
      </c>
      <c r="L49" s="6"/>
      <c r="M49" s="6">
        <v>26024</v>
      </c>
      <c r="N49" s="6"/>
      <c r="O49" s="6">
        <f>+K49+M49</f>
        <v>326949</v>
      </c>
      <c r="P49" s="6"/>
      <c r="Q49" s="6">
        <v>0</v>
      </c>
      <c r="R49" s="6"/>
      <c r="S49" s="6">
        <v>0</v>
      </c>
      <c r="T49" s="6"/>
      <c r="U49" s="6">
        <v>110593</v>
      </c>
      <c r="V49" s="6"/>
      <c r="W49" s="6">
        <f t="shared" si="12"/>
        <v>110593</v>
      </c>
      <c r="X49" s="6"/>
      <c r="Y49" s="6" t="s">
        <v>63</v>
      </c>
      <c r="Z49" s="18"/>
      <c r="AA49" s="6" t="s">
        <v>64</v>
      </c>
      <c r="AB49" s="6"/>
      <c r="AC49" s="6">
        <v>1369685</v>
      </c>
      <c r="AD49" s="6"/>
      <c r="AE49" s="6">
        <f>1488483-0</f>
        <v>1488483</v>
      </c>
      <c r="AF49" s="6"/>
      <c r="AG49" s="6">
        <v>0</v>
      </c>
      <c r="AH49" s="6"/>
      <c r="AI49" s="8">
        <f t="shared" si="11"/>
        <v>-118798</v>
      </c>
      <c r="AJ49" s="8"/>
      <c r="AK49" s="6">
        <v>3616</v>
      </c>
      <c r="AL49" s="6"/>
      <c r="AM49" s="6">
        <v>0</v>
      </c>
      <c r="AN49" s="6"/>
      <c r="AO49" s="6">
        <v>0</v>
      </c>
      <c r="AP49" s="6"/>
      <c r="AQ49" s="6">
        <v>0</v>
      </c>
      <c r="AR49" s="6"/>
      <c r="AS49" s="8">
        <f t="shared" si="16"/>
        <v>-115182</v>
      </c>
      <c r="AT49" s="8"/>
      <c r="AU49" s="6">
        <v>0</v>
      </c>
      <c r="AV49" s="6"/>
      <c r="AW49" s="6">
        <v>0</v>
      </c>
      <c r="AX49" s="6"/>
      <c r="AY49" s="6">
        <f t="shared" si="4"/>
        <v>136617</v>
      </c>
      <c r="AZ49" s="6"/>
      <c r="BA49" s="6" t="s">
        <v>63</v>
      </c>
      <c r="BB49" s="18"/>
      <c r="BC49" s="6" t="s">
        <v>64</v>
      </c>
      <c r="BD49" s="6"/>
      <c r="BE49" s="6">
        <v>0</v>
      </c>
      <c r="BF49" s="6"/>
      <c r="BG49" s="6">
        <v>0</v>
      </c>
      <c r="BH49" s="6"/>
      <c r="BI49" s="6">
        <v>0</v>
      </c>
      <c r="BJ49" s="6"/>
      <c r="BK49" s="6">
        <f>5115+26024</f>
        <v>31139</v>
      </c>
      <c r="BL49" s="6"/>
      <c r="BM49" s="6">
        <f t="shared" si="17"/>
        <v>31139</v>
      </c>
      <c r="BN49" s="17" t="s">
        <v>345</v>
      </c>
    </row>
    <row r="50" spans="1:66" hidden="1" x14ac:dyDescent="0.2">
      <c r="A50" s="6" t="s">
        <v>65</v>
      </c>
      <c r="C50" s="6" t="s">
        <v>373</v>
      </c>
      <c r="D50" s="6"/>
      <c r="E50" s="6">
        <f t="shared" si="0"/>
        <v>0</v>
      </c>
      <c r="F50" s="6"/>
      <c r="G50" s="6"/>
      <c r="H50" s="6"/>
      <c r="I50" s="6"/>
      <c r="J50" s="6"/>
      <c r="K50" s="6">
        <f t="shared" si="1"/>
        <v>0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>
        <f t="shared" si="12"/>
        <v>0</v>
      </c>
      <c r="X50" s="6"/>
      <c r="Y50" s="6" t="s">
        <v>65</v>
      </c>
      <c r="Z50" s="18"/>
      <c r="AA50" s="6" t="s">
        <v>373</v>
      </c>
      <c r="AB50" s="6"/>
      <c r="AC50" s="6"/>
      <c r="AD50" s="6"/>
      <c r="AE50" s="6"/>
      <c r="AF50" s="6"/>
      <c r="AG50" s="6"/>
      <c r="AH50" s="6"/>
      <c r="AI50" s="8">
        <f t="shared" si="11"/>
        <v>0</v>
      </c>
      <c r="AJ50" s="8"/>
      <c r="AK50" s="6"/>
      <c r="AL50" s="6"/>
      <c r="AM50" s="6"/>
      <c r="AN50" s="6"/>
      <c r="AO50" s="6"/>
      <c r="AP50" s="6"/>
      <c r="AQ50" s="6"/>
      <c r="AR50" s="6"/>
      <c r="AS50" s="8">
        <f t="shared" si="16"/>
        <v>0</v>
      </c>
      <c r="AT50" s="8"/>
      <c r="AU50" s="6">
        <v>0</v>
      </c>
      <c r="AV50" s="6"/>
      <c r="AW50" s="6">
        <v>0</v>
      </c>
      <c r="AX50" s="6"/>
      <c r="AY50" s="6">
        <f t="shared" si="4"/>
        <v>0</v>
      </c>
      <c r="AZ50" s="6"/>
      <c r="BA50" s="6" t="s">
        <v>65</v>
      </c>
      <c r="BB50" s="18"/>
      <c r="BC50" s="6" t="s">
        <v>373</v>
      </c>
      <c r="BD50" s="6"/>
      <c r="BE50" s="6"/>
      <c r="BF50" s="6"/>
      <c r="BG50" s="6"/>
      <c r="BH50" s="6"/>
      <c r="BI50" s="6"/>
      <c r="BJ50" s="6"/>
      <c r="BK50" s="6"/>
      <c r="BL50" s="6"/>
      <c r="BM50" s="6">
        <f t="shared" si="17"/>
        <v>0</v>
      </c>
      <c r="BN50" s="17" t="s">
        <v>345</v>
      </c>
    </row>
    <row r="51" spans="1:66" hidden="1" x14ac:dyDescent="0.2">
      <c r="A51" s="6" t="s">
        <v>66</v>
      </c>
      <c r="C51" s="6" t="s">
        <v>43</v>
      </c>
      <c r="D51" s="6"/>
      <c r="E51" s="6">
        <f t="shared" si="0"/>
        <v>0</v>
      </c>
      <c r="F51" s="6"/>
      <c r="G51" s="6"/>
      <c r="H51" s="6"/>
      <c r="I51" s="6"/>
      <c r="J51" s="6"/>
      <c r="K51" s="6">
        <f t="shared" si="1"/>
        <v>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>
        <f t="shared" si="12"/>
        <v>0</v>
      </c>
      <c r="X51" s="6"/>
      <c r="Y51" s="6" t="s">
        <v>66</v>
      </c>
      <c r="Z51" s="18"/>
      <c r="AA51" s="6" t="s">
        <v>43</v>
      </c>
      <c r="AB51" s="6"/>
      <c r="AC51" s="6"/>
      <c r="AD51" s="6"/>
      <c r="AE51" s="6"/>
      <c r="AF51" s="6"/>
      <c r="AG51" s="6"/>
      <c r="AH51" s="6"/>
      <c r="AI51" s="8">
        <f t="shared" si="11"/>
        <v>0</v>
      </c>
      <c r="AJ51" s="8"/>
      <c r="AK51" s="6"/>
      <c r="AL51" s="6"/>
      <c r="AM51" s="6"/>
      <c r="AN51" s="6"/>
      <c r="AO51" s="6"/>
      <c r="AP51" s="6"/>
      <c r="AQ51" s="6"/>
      <c r="AR51" s="6"/>
      <c r="AS51" s="8">
        <f t="shared" si="16"/>
        <v>0</v>
      </c>
      <c r="AT51" s="8"/>
      <c r="AU51" s="6">
        <v>0</v>
      </c>
      <c r="AV51" s="6"/>
      <c r="AW51" s="6">
        <v>0</v>
      </c>
      <c r="AX51" s="6"/>
      <c r="AY51" s="6">
        <f t="shared" si="4"/>
        <v>0</v>
      </c>
      <c r="AZ51" s="6"/>
      <c r="BA51" s="6" t="s">
        <v>66</v>
      </c>
      <c r="BB51" s="18"/>
      <c r="BC51" s="6" t="s">
        <v>43</v>
      </c>
      <c r="BD51" s="6"/>
      <c r="BE51" s="6"/>
      <c r="BF51" s="6"/>
      <c r="BG51" s="6"/>
      <c r="BH51" s="6"/>
      <c r="BI51" s="6"/>
      <c r="BJ51" s="6"/>
      <c r="BK51" s="6"/>
      <c r="BL51" s="6"/>
      <c r="BM51" s="6">
        <f t="shared" si="17"/>
        <v>0</v>
      </c>
      <c r="BN51" s="17" t="s">
        <v>345</v>
      </c>
    </row>
    <row r="52" spans="1:66" hidden="1" x14ac:dyDescent="0.2">
      <c r="A52" s="6" t="s">
        <v>67</v>
      </c>
      <c r="C52" s="6" t="s">
        <v>68</v>
      </c>
      <c r="D52" s="6"/>
      <c r="E52" s="6">
        <f t="shared" si="0"/>
        <v>0</v>
      </c>
      <c r="F52" s="6"/>
      <c r="G52" s="6"/>
      <c r="H52" s="6"/>
      <c r="I52" s="6"/>
      <c r="J52" s="6"/>
      <c r="K52" s="6">
        <f t="shared" si="1"/>
        <v>0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>
        <f t="shared" si="12"/>
        <v>0</v>
      </c>
      <c r="X52" s="6"/>
      <c r="Y52" s="6" t="s">
        <v>67</v>
      </c>
      <c r="Z52" s="18"/>
      <c r="AA52" s="6" t="s">
        <v>68</v>
      </c>
      <c r="AB52" s="6"/>
      <c r="AC52" s="6"/>
      <c r="AD52" s="6"/>
      <c r="AE52" s="6"/>
      <c r="AF52" s="6"/>
      <c r="AG52" s="6"/>
      <c r="AH52" s="6"/>
      <c r="AI52" s="8">
        <f t="shared" si="11"/>
        <v>0</v>
      </c>
      <c r="AJ52" s="8"/>
      <c r="AK52" s="6"/>
      <c r="AL52" s="6"/>
      <c r="AM52" s="6"/>
      <c r="AN52" s="6"/>
      <c r="AO52" s="6"/>
      <c r="AP52" s="6"/>
      <c r="AQ52" s="6"/>
      <c r="AR52" s="6"/>
      <c r="AS52" s="8">
        <f t="shared" si="16"/>
        <v>0</v>
      </c>
      <c r="AT52" s="8"/>
      <c r="AU52" s="6">
        <v>0</v>
      </c>
      <c r="AV52" s="6"/>
      <c r="AW52" s="6">
        <v>0</v>
      </c>
      <c r="AX52" s="6"/>
      <c r="AY52" s="6">
        <f t="shared" si="4"/>
        <v>0</v>
      </c>
      <c r="AZ52" s="6"/>
      <c r="BA52" s="6" t="s">
        <v>67</v>
      </c>
      <c r="BB52" s="18"/>
      <c r="BC52" s="6" t="s">
        <v>68</v>
      </c>
      <c r="BD52" s="6"/>
      <c r="BE52" s="6"/>
      <c r="BF52" s="6"/>
      <c r="BG52" s="6"/>
      <c r="BH52" s="6"/>
      <c r="BI52" s="6"/>
      <c r="BJ52" s="6"/>
      <c r="BK52" s="6"/>
      <c r="BL52" s="6"/>
      <c r="BM52" s="6">
        <f t="shared" si="17"/>
        <v>0</v>
      </c>
      <c r="BN52" s="17" t="s">
        <v>345</v>
      </c>
    </row>
    <row r="53" spans="1:66" hidden="1" x14ac:dyDescent="0.2">
      <c r="A53" s="6" t="s">
        <v>69</v>
      </c>
      <c r="C53" s="6" t="s">
        <v>43</v>
      </c>
      <c r="D53" s="6"/>
      <c r="E53" s="6">
        <f t="shared" si="0"/>
        <v>0</v>
      </c>
      <c r="F53" s="6"/>
      <c r="G53" s="6"/>
      <c r="H53" s="6"/>
      <c r="I53" s="6"/>
      <c r="J53" s="6"/>
      <c r="K53" s="6">
        <f t="shared" si="1"/>
        <v>0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>
        <f t="shared" si="12"/>
        <v>0</v>
      </c>
      <c r="X53" s="6"/>
      <c r="Y53" s="6" t="s">
        <v>69</v>
      </c>
      <c r="Z53" s="18"/>
      <c r="AA53" s="6" t="s">
        <v>43</v>
      </c>
      <c r="AB53" s="6"/>
      <c r="AC53" s="6"/>
      <c r="AD53" s="6"/>
      <c r="AE53" s="6"/>
      <c r="AF53" s="6"/>
      <c r="AG53" s="6"/>
      <c r="AH53" s="6"/>
      <c r="AI53" s="8">
        <f t="shared" si="11"/>
        <v>0</v>
      </c>
      <c r="AJ53" s="8"/>
      <c r="AK53" s="6"/>
      <c r="AL53" s="6"/>
      <c r="AM53" s="6"/>
      <c r="AN53" s="6"/>
      <c r="AO53" s="6"/>
      <c r="AP53" s="6"/>
      <c r="AQ53" s="6"/>
      <c r="AR53" s="6"/>
      <c r="AS53" s="8">
        <f t="shared" si="16"/>
        <v>0</v>
      </c>
      <c r="AT53" s="8"/>
      <c r="AU53" s="6">
        <v>0</v>
      </c>
      <c r="AV53" s="6"/>
      <c r="AW53" s="6">
        <v>0</v>
      </c>
      <c r="AX53" s="6"/>
      <c r="AY53" s="6">
        <f t="shared" si="4"/>
        <v>0</v>
      </c>
      <c r="AZ53" s="6"/>
      <c r="BA53" s="6" t="s">
        <v>69</v>
      </c>
      <c r="BB53" s="18"/>
      <c r="BC53" s="6" t="s">
        <v>43</v>
      </c>
      <c r="BD53" s="6"/>
      <c r="BE53" s="6"/>
      <c r="BF53" s="6"/>
      <c r="BG53" s="6"/>
      <c r="BH53" s="6"/>
      <c r="BI53" s="6"/>
      <c r="BJ53" s="6"/>
      <c r="BK53" s="6"/>
      <c r="BL53" s="6"/>
      <c r="BM53" s="6">
        <f t="shared" si="17"/>
        <v>0</v>
      </c>
      <c r="BN53" s="17" t="s">
        <v>345</v>
      </c>
    </row>
    <row r="54" spans="1:66" hidden="1" x14ac:dyDescent="0.2">
      <c r="A54" s="6" t="s">
        <v>70</v>
      </c>
      <c r="C54" s="6" t="s">
        <v>64</v>
      </c>
      <c r="D54" s="6"/>
      <c r="E54" s="6">
        <f t="shared" si="0"/>
        <v>0</v>
      </c>
      <c r="F54" s="6"/>
      <c r="G54" s="6"/>
      <c r="H54" s="6"/>
      <c r="I54" s="6"/>
      <c r="J54" s="6"/>
      <c r="K54" s="6">
        <f t="shared" si="1"/>
        <v>0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>
        <f t="shared" si="12"/>
        <v>0</v>
      </c>
      <c r="X54" s="6"/>
      <c r="Y54" s="6" t="s">
        <v>70</v>
      </c>
      <c r="Z54" s="18"/>
      <c r="AA54" s="6" t="s">
        <v>64</v>
      </c>
      <c r="AB54" s="6"/>
      <c r="AC54" s="6"/>
      <c r="AD54" s="6"/>
      <c r="AE54" s="6"/>
      <c r="AF54" s="6"/>
      <c r="AG54" s="6"/>
      <c r="AH54" s="6"/>
      <c r="AI54" s="8">
        <v>0</v>
      </c>
      <c r="AJ54" s="8"/>
      <c r="AK54" s="6"/>
      <c r="AL54" s="6"/>
      <c r="AM54" s="6"/>
      <c r="AN54" s="6"/>
      <c r="AO54" s="6"/>
      <c r="AP54" s="6"/>
      <c r="AQ54" s="6"/>
      <c r="AR54" s="6"/>
      <c r="AS54" s="8">
        <f t="shared" si="16"/>
        <v>0</v>
      </c>
      <c r="AT54" s="8"/>
      <c r="AU54" s="6">
        <v>0</v>
      </c>
      <c r="AV54" s="6"/>
      <c r="AW54" s="6">
        <v>0</v>
      </c>
      <c r="AX54" s="6"/>
      <c r="AY54" s="6">
        <f t="shared" si="4"/>
        <v>0</v>
      </c>
      <c r="AZ54" s="6"/>
      <c r="BA54" s="6" t="s">
        <v>70</v>
      </c>
      <c r="BB54" s="18"/>
      <c r="BC54" s="6" t="s">
        <v>64</v>
      </c>
      <c r="BD54" s="6"/>
      <c r="BE54" s="6"/>
      <c r="BF54" s="6"/>
      <c r="BG54" s="6"/>
      <c r="BH54" s="6"/>
      <c r="BI54" s="6"/>
      <c r="BJ54" s="6"/>
      <c r="BK54" s="6"/>
      <c r="BL54" s="6"/>
      <c r="BM54" s="6">
        <f t="shared" si="17"/>
        <v>0</v>
      </c>
      <c r="BN54" s="17" t="s">
        <v>345</v>
      </c>
    </row>
    <row r="55" spans="1:66" ht="12" hidden="1" x14ac:dyDescent="0.2">
      <c r="A55" s="6" t="s">
        <v>71</v>
      </c>
      <c r="B55" s="18"/>
      <c r="C55" s="6" t="s">
        <v>25</v>
      </c>
      <c r="D55" s="6"/>
      <c r="E55" s="6">
        <f t="shared" si="0"/>
        <v>0</v>
      </c>
      <c r="F55" s="6"/>
      <c r="G55" s="6"/>
      <c r="H55" s="6"/>
      <c r="I55" s="6"/>
      <c r="J55" s="6"/>
      <c r="K55" s="6">
        <f t="shared" si="1"/>
        <v>0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>
        <f t="shared" si="12"/>
        <v>0</v>
      </c>
      <c r="X55" s="6"/>
      <c r="Y55" s="6" t="s">
        <v>71</v>
      </c>
      <c r="Z55" s="18"/>
      <c r="AA55" s="6" t="s">
        <v>25</v>
      </c>
      <c r="AB55" s="6"/>
      <c r="AC55" s="6"/>
      <c r="AD55" s="6"/>
      <c r="AE55" s="6"/>
      <c r="AF55" s="6"/>
      <c r="AG55" s="6"/>
      <c r="AH55" s="6"/>
      <c r="AI55" s="8">
        <f t="shared" ref="AI55:AI120" si="24">+AC55-AE55-AG55</f>
        <v>0</v>
      </c>
      <c r="AJ55" s="8"/>
      <c r="AK55" s="6"/>
      <c r="AL55" s="6"/>
      <c r="AM55" s="6"/>
      <c r="AN55" s="6"/>
      <c r="AO55" s="6"/>
      <c r="AP55" s="6"/>
      <c r="AQ55" s="6"/>
      <c r="AR55" s="6"/>
      <c r="AS55" s="8">
        <f t="shared" si="16"/>
        <v>0</v>
      </c>
      <c r="AT55" s="8"/>
      <c r="AU55" s="6">
        <v>0</v>
      </c>
      <c r="AV55" s="6"/>
      <c r="AW55" s="6">
        <v>0</v>
      </c>
      <c r="AX55" s="6"/>
      <c r="AY55" s="6">
        <f t="shared" si="4"/>
        <v>0</v>
      </c>
      <c r="AZ55" s="6"/>
      <c r="BA55" s="6" t="s">
        <v>71</v>
      </c>
      <c r="BB55" s="18"/>
      <c r="BC55" s="6" t="s">
        <v>25</v>
      </c>
      <c r="BD55" s="6"/>
      <c r="BE55" s="6"/>
      <c r="BF55" s="6"/>
      <c r="BG55" s="6"/>
      <c r="BH55" s="6"/>
      <c r="BI55" s="6"/>
      <c r="BJ55" s="6"/>
      <c r="BK55" s="6"/>
      <c r="BL55" s="6"/>
      <c r="BM55" s="6">
        <f t="shared" si="17"/>
        <v>0</v>
      </c>
      <c r="BN55" s="17" t="s">
        <v>345</v>
      </c>
    </row>
    <row r="56" spans="1:66" hidden="1" x14ac:dyDescent="0.2">
      <c r="A56" s="6" t="s">
        <v>72</v>
      </c>
      <c r="C56" s="6" t="s">
        <v>25</v>
      </c>
      <c r="D56" s="6"/>
      <c r="E56" s="6">
        <f t="shared" si="0"/>
        <v>0</v>
      </c>
      <c r="F56" s="6"/>
      <c r="G56" s="6"/>
      <c r="H56" s="6"/>
      <c r="I56" s="6"/>
      <c r="J56" s="6"/>
      <c r="K56" s="6">
        <f t="shared" si="1"/>
        <v>0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>
        <f t="shared" si="12"/>
        <v>0</v>
      </c>
      <c r="X56" s="6"/>
      <c r="Y56" s="6" t="s">
        <v>72</v>
      </c>
      <c r="Z56" s="18"/>
      <c r="AA56" s="6" t="s">
        <v>25</v>
      </c>
      <c r="AB56" s="6"/>
      <c r="AC56" s="6"/>
      <c r="AD56" s="6"/>
      <c r="AE56" s="6"/>
      <c r="AF56" s="6"/>
      <c r="AG56" s="6"/>
      <c r="AH56" s="6"/>
      <c r="AI56" s="8">
        <f t="shared" si="24"/>
        <v>0</v>
      </c>
      <c r="AJ56" s="8"/>
      <c r="AK56" s="6"/>
      <c r="AL56" s="6"/>
      <c r="AM56" s="6"/>
      <c r="AN56" s="6"/>
      <c r="AO56" s="6"/>
      <c r="AP56" s="6"/>
      <c r="AQ56" s="6"/>
      <c r="AR56" s="6"/>
      <c r="AS56" s="8">
        <f t="shared" si="16"/>
        <v>0</v>
      </c>
      <c r="AT56" s="8"/>
      <c r="AU56" s="6">
        <v>0</v>
      </c>
      <c r="AV56" s="6"/>
      <c r="AW56" s="6">
        <v>0</v>
      </c>
      <c r="AX56" s="6"/>
      <c r="AY56" s="6">
        <f t="shared" si="4"/>
        <v>0</v>
      </c>
      <c r="AZ56" s="6"/>
      <c r="BA56" s="6" t="s">
        <v>72</v>
      </c>
      <c r="BB56" s="18"/>
      <c r="BC56" s="6" t="s">
        <v>25</v>
      </c>
      <c r="BD56" s="6"/>
      <c r="BE56" s="6"/>
      <c r="BF56" s="6"/>
      <c r="BG56" s="6"/>
      <c r="BH56" s="6"/>
      <c r="BI56" s="6"/>
      <c r="BJ56" s="6"/>
      <c r="BK56" s="6"/>
      <c r="BL56" s="6"/>
      <c r="BM56" s="6">
        <f t="shared" si="17"/>
        <v>0</v>
      </c>
      <c r="BN56" s="17" t="s">
        <v>345</v>
      </c>
    </row>
    <row r="57" spans="1:66" hidden="1" x14ac:dyDescent="0.2">
      <c r="A57" s="6" t="s">
        <v>73</v>
      </c>
      <c r="C57" s="6" t="s">
        <v>74</v>
      </c>
      <c r="D57" s="6"/>
      <c r="E57" s="6">
        <f t="shared" si="0"/>
        <v>0</v>
      </c>
      <c r="F57" s="6"/>
      <c r="G57" s="6"/>
      <c r="H57" s="6"/>
      <c r="I57" s="6"/>
      <c r="J57" s="6"/>
      <c r="K57" s="6">
        <f t="shared" si="1"/>
        <v>0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>
        <f t="shared" si="12"/>
        <v>0</v>
      </c>
      <c r="X57" s="6"/>
      <c r="Y57" s="6" t="s">
        <v>73</v>
      </c>
      <c r="Z57" s="18"/>
      <c r="AA57" s="6" t="s">
        <v>74</v>
      </c>
      <c r="AB57" s="6"/>
      <c r="AC57" s="6"/>
      <c r="AD57" s="6"/>
      <c r="AE57" s="6"/>
      <c r="AF57" s="6"/>
      <c r="AG57" s="6"/>
      <c r="AH57" s="6"/>
      <c r="AI57" s="8">
        <f t="shared" si="24"/>
        <v>0</v>
      </c>
      <c r="AJ57" s="8"/>
      <c r="AK57" s="6"/>
      <c r="AL57" s="6"/>
      <c r="AM57" s="6"/>
      <c r="AN57" s="6"/>
      <c r="AO57" s="6"/>
      <c r="AP57" s="6"/>
      <c r="AQ57" s="6"/>
      <c r="AR57" s="6"/>
      <c r="AS57" s="8">
        <f t="shared" si="16"/>
        <v>0</v>
      </c>
      <c r="AT57" s="8"/>
      <c r="AU57" s="6">
        <v>0</v>
      </c>
      <c r="AV57" s="6"/>
      <c r="AW57" s="6">
        <v>0</v>
      </c>
      <c r="AX57" s="6"/>
      <c r="AY57" s="6">
        <f t="shared" si="4"/>
        <v>0</v>
      </c>
      <c r="AZ57" s="6"/>
      <c r="BA57" s="6" t="s">
        <v>73</v>
      </c>
      <c r="BB57" s="18"/>
      <c r="BC57" s="6" t="s">
        <v>74</v>
      </c>
      <c r="BD57" s="6"/>
      <c r="BE57" s="6"/>
      <c r="BF57" s="6"/>
      <c r="BG57" s="6"/>
      <c r="BH57" s="6"/>
      <c r="BI57" s="6"/>
      <c r="BJ57" s="6"/>
      <c r="BK57" s="6"/>
      <c r="BL57" s="6"/>
      <c r="BM57" s="6">
        <f t="shared" si="17"/>
        <v>0</v>
      </c>
      <c r="BN57" s="17" t="s">
        <v>345</v>
      </c>
    </row>
    <row r="58" spans="1:66" hidden="1" x14ac:dyDescent="0.2">
      <c r="A58" s="6" t="s">
        <v>92</v>
      </c>
      <c r="C58" s="6" t="s">
        <v>92</v>
      </c>
      <c r="D58" s="6"/>
      <c r="E58" s="6">
        <f t="shared" si="0"/>
        <v>0</v>
      </c>
      <c r="F58" s="6"/>
      <c r="G58" s="6"/>
      <c r="H58" s="6"/>
      <c r="I58" s="6"/>
      <c r="J58" s="6"/>
      <c r="K58" s="6">
        <f t="shared" si="1"/>
        <v>0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>
        <f t="shared" si="12"/>
        <v>0</v>
      </c>
      <c r="X58" s="6"/>
      <c r="Y58" s="6" t="str">
        <f>+A58</f>
        <v>Columbiana</v>
      </c>
      <c r="Z58" s="18"/>
      <c r="AA58" s="6" t="s">
        <v>92</v>
      </c>
      <c r="AB58" s="6"/>
      <c r="AC58" s="6"/>
      <c r="AD58" s="6"/>
      <c r="AE58" s="6"/>
      <c r="AF58" s="6"/>
      <c r="AG58" s="6"/>
      <c r="AH58" s="6"/>
      <c r="AI58" s="8">
        <f t="shared" si="24"/>
        <v>0</v>
      </c>
      <c r="AJ58" s="8"/>
      <c r="AK58" s="6"/>
      <c r="AL58" s="6"/>
      <c r="AM58" s="6"/>
      <c r="AN58" s="6"/>
      <c r="AO58" s="6"/>
      <c r="AP58" s="6"/>
      <c r="AQ58" s="6"/>
      <c r="AR58" s="6"/>
      <c r="AS58" s="8">
        <f t="shared" si="16"/>
        <v>0</v>
      </c>
      <c r="AT58" s="8"/>
      <c r="AU58" s="6">
        <v>0</v>
      </c>
      <c r="AV58" s="6"/>
      <c r="AW58" s="6">
        <v>0</v>
      </c>
      <c r="AX58" s="6"/>
      <c r="AY58" s="6">
        <f t="shared" si="4"/>
        <v>0</v>
      </c>
      <c r="AZ58" s="6"/>
      <c r="BA58" s="6" t="str">
        <f>+Y58</f>
        <v>Columbiana</v>
      </c>
      <c r="BB58" s="18"/>
      <c r="BC58" s="6" t="s">
        <v>92</v>
      </c>
      <c r="BD58" s="6"/>
      <c r="BE58" s="6"/>
      <c r="BF58" s="6"/>
      <c r="BG58" s="6"/>
      <c r="BH58" s="6"/>
      <c r="BI58" s="6"/>
      <c r="BJ58" s="6"/>
      <c r="BK58" s="6"/>
      <c r="BL58" s="6"/>
      <c r="BM58" s="6">
        <f t="shared" si="17"/>
        <v>0</v>
      </c>
      <c r="BN58" s="17" t="s">
        <v>345</v>
      </c>
    </row>
    <row r="59" spans="1:66" hidden="1" x14ac:dyDescent="0.2">
      <c r="A59" s="6" t="s">
        <v>75</v>
      </c>
      <c r="C59" s="6" t="s">
        <v>41</v>
      </c>
      <c r="D59" s="6"/>
      <c r="E59" s="6">
        <f t="shared" si="0"/>
        <v>0</v>
      </c>
      <c r="F59" s="6"/>
      <c r="G59" s="6"/>
      <c r="H59" s="6"/>
      <c r="I59" s="6"/>
      <c r="J59" s="6"/>
      <c r="K59" s="6">
        <f t="shared" si="1"/>
        <v>0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>
        <f t="shared" si="12"/>
        <v>0</v>
      </c>
      <c r="X59" s="6"/>
      <c r="Y59" s="6" t="s">
        <v>75</v>
      </c>
      <c r="Z59" s="18"/>
      <c r="AA59" s="6" t="s">
        <v>41</v>
      </c>
      <c r="AB59" s="6"/>
      <c r="AC59" s="6"/>
      <c r="AD59" s="6"/>
      <c r="AE59" s="6"/>
      <c r="AF59" s="6"/>
      <c r="AG59" s="6"/>
      <c r="AH59" s="6"/>
      <c r="AI59" s="8">
        <f t="shared" si="24"/>
        <v>0</v>
      </c>
      <c r="AJ59" s="8"/>
      <c r="AK59" s="6"/>
      <c r="AL59" s="6"/>
      <c r="AM59" s="6"/>
      <c r="AN59" s="6"/>
      <c r="AO59" s="6"/>
      <c r="AP59" s="6"/>
      <c r="AQ59" s="6"/>
      <c r="AR59" s="6"/>
      <c r="AS59" s="8">
        <f t="shared" si="16"/>
        <v>0</v>
      </c>
      <c r="AT59" s="8"/>
      <c r="AU59" s="6">
        <v>0</v>
      </c>
      <c r="AV59" s="6"/>
      <c r="AW59" s="6">
        <v>0</v>
      </c>
      <c r="AX59" s="6"/>
      <c r="AY59" s="6">
        <f t="shared" si="4"/>
        <v>0</v>
      </c>
      <c r="AZ59" s="6"/>
      <c r="BA59" s="6" t="s">
        <v>75</v>
      </c>
      <c r="BB59" s="18"/>
      <c r="BC59" s="6" t="s">
        <v>41</v>
      </c>
      <c r="BD59" s="6"/>
      <c r="BE59" s="6"/>
      <c r="BF59" s="6"/>
      <c r="BG59" s="6"/>
      <c r="BH59" s="6"/>
      <c r="BI59" s="6"/>
      <c r="BJ59" s="6"/>
      <c r="BK59" s="6"/>
      <c r="BL59" s="6"/>
      <c r="BM59" s="6">
        <f t="shared" si="17"/>
        <v>0</v>
      </c>
      <c r="BN59" s="17" t="s">
        <v>345</v>
      </c>
    </row>
    <row r="60" spans="1:66" hidden="1" x14ac:dyDescent="0.2">
      <c r="A60" s="6" t="s">
        <v>76</v>
      </c>
      <c r="C60" s="6" t="s">
        <v>17</v>
      </c>
      <c r="D60" s="6"/>
      <c r="E60" s="6">
        <f t="shared" si="0"/>
        <v>0</v>
      </c>
      <c r="F60" s="6"/>
      <c r="G60" s="6"/>
      <c r="H60" s="6"/>
      <c r="I60" s="6"/>
      <c r="J60" s="6"/>
      <c r="K60" s="6">
        <f t="shared" si="1"/>
        <v>0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>
        <f t="shared" si="12"/>
        <v>0</v>
      </c>
      <c r="X60" s="6"/>
      <c r="Y60" s="6" t="s">
        <v>76</v>
      </c>
      <c r="Z60" s="18"/>
      <c r="AA60" s="6" t="s">
        <v>17</v>
      </c>
      <c r="AB60" s="6"/>
      <c r="AC60" s="6"/>
      <c r="AD60" s="6"/>
      <c r="AE60" s="6"/>
      <c r="AF60" s="6"/>
      <c r="AG60" s="6"/>
      <c r="AH60" s="6"/>
      <c r="AI60" s="8">
        <f t="shared" si="24"/>
        <v>0</v>
      </c>
      <c r="AJ60" s="8"/>
      <c r="AK60" s="6"/>
      <c r="AL60" s="6"/>
      <c r="AM60" s="6"/>
      <c r="AN60" s="6"/>
      <c r="AO60" s="6"/>
      <c r="AP60" s="6"/>
      <c r="AQ60" s="6"/>
      <c r="AR60" s="6"/>
      <c r="AS60" s="8">
        <f t="shared" si="16"/>
        <v>0</v>
      </c>
      <c r="AT60" s="8"/>
      <c r="AU60" s="6">
        <v>0</v>
      </c>
      <c r="AV60" s="6"/>
      <c r="AW60" s="6">
        <v>0</v>
      </c>
      <c r="AX60" s="6"/>
      <c r="AY60" s="6">
        <f t="shared" si="4"/>
        <v>0</v>
      </c>
      <c r="AZ60" s="6"/>
      <c r="BA60" s="6" t="s">
        <v>76</v>
      </c>
      <c r="BB60" s="18"/>
      <c r="BC60" s="6" t="s">
        <v>17</v>
      </c>
      <c r="BD60" s="6"/>
      <c r="BE60" s="6"/>
      <c r="BF60" s="6"/>
      <c r="BG60" s="6"/>
      <c r="BH60" s="6"/>
      <c r="BI60" s="6"/>
      <c r="BJ60" s="6"/>
      <c r="BK60" s="6"/>
      <c r="BL60" s="6"/>
      <c r="BM60" s="6">
        <f t="shared" si="17"/>
        <v>0</v>
      </c>
      <c r="BN60" s="17" t="s">
        <v>345</v>
      </c>
    </row>
    <row r="61" spans="1:66" hidden="1" x14ac:dyDescent="0.2">
      <c r="A61" s="6" t="s">
        <v>77</v>
      </c>
      <c r="C61" s="6" t="s">
        <v>78</v>
      </c>
      <c r="D61" s="6"/>
      <c r="E61" s="6">
        <f t="shared" si="0"/>
        <v>0</v>
      </c>
      <c r="F61" s="6"/>
      <c r="G61" s="6"/>
      <c r="H61" s="6"/>
      <c r="I61" s="6"/>
      <c r="J61" s="6"/>
      <c r="K61" s="6">
        <f t="shared" si="1"/>
        <v>0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>
        <f t="shared" si="12"/>
        <v>0</v>
      </c>
      <c r="X61" s="6"/>
      <c r="Y61" s="6" t="s">
        <v>77</v>
      </c>
      <c r="Z61" s="18"/>
      <c r="AA61" s="6" t="s">
        <v>78</v>
      </c>
      <c r="AB61" s="6"/>
      <c r="AC61" s="6"/>
      <c r="AD61" s="6"/>
      <c r="AE61" s="6"/>
      <c r="AF61" s="6"/>
      <c r="AG61" s="6"/>
      <c r="AH61" s="6"/>
      <c r="AI61" s="8">
        <f t="shared" si="24"/>
        <v>0</v>
      </c>
      <c r="AJ61" s="8"/>
      <c r="AK61" s="6"/>
      <c r="AL61" s="6"/>
      <c r="AM61" s="6"/>
      <c r="AN61" s="6"/>
      <c r="AO61" s="6"/>
      <c r="AP61" s="6"/>
      <c r="AQ61" s="6"/>
      <c r="AR61" s="6"/>
      <c r="AS61" s="8">
        <f t="shared" si="16"/>
        <v>0</v>
      </c>
      <c r="AT61" s="8"/>
      <c r="AU61" s="6">
        <v>0</v>
      </c>
      <c r="AV61" s="6"/>
      <c r="AW61" s="6">
        <v>0</v>
      </c>
      <c r="AX61" s="6"/>
      <c r="AY61" s="6">
        <f t="shared" si="4"/>
        <v>0</v>
      </c>
      <c r="AZ61" s="6"/>
      <c r="BA61" s="6" t="s">
        <v>77</v>
      </c>
      <c r="BB61" s="18"/>
      <c r="BC61" s="6" t="s">
        <v>78</v>
      </c>
      <c r="BD61" s="6"/>
      <c r="BE61" s="6"/>
      <c r="BF61" s="6"/>
      <c r="BG61" s="6"/>
      <c r="BH61" s="6"/>
      <c r="BI61" s="6"/>
      <c r="BJ61" s="6"/>
      <c r="BK61" s="6"/>
      <c r="BL61" s="6"/>
      <c r="BM61" s="6">
        <f t="shared" si="17"/>
        <v>0</v>
      </c>
      <c r="BN61" s="17" t="s">
        <v>345</v>
      </c>
    </row>
    <row r="62" spans="1:66" x14ac:dyDescent="0.2">
      <c r="A62" s="6" t="s">
        <v>79</v>
      </c>
      <c r="C62" s="6" t="s">
        <v>79</v>
      </c>
      <c r="D62" s="6"/>
      <c r="E62" s="6">
        <v>514291</v>
      </c>
      <c r="F62" s="6"/>
      <c r="G62" s="6">
        <v>0</v>
      </c>
      <c r="H62" s="6"/>
      <c r="I62" s="6">
        <f>+E62+G62</f>
        <v>514291</v>
      </c>
      <c r="J62" s="6"/>
      <c r="K62" s="6">
        <v>0</v>
      </c>
      <c r="L62" s="6"/>
      <c r="M62" s="6">
        <v>0</v>
      </c>
      <c r="N62" s="6"/>
      <c r="O62" s="6">
        <f>+K62+M62</f>
        <v>0</v>
      </c>
      <c r="P62" s="6"/>
      <c r="Q62" s="6">
        <v>0</v>
      </c>
      <c r="R62" s="6"/>
      <c r="S62" s="6">
        <v>0</v>
      </c>
      <c r="T62" s="6"/>
      <c r="U62" s="6">
        <v>514291</v>
      </c>
      <c r="V62" s="6"/>
      <c r="W62" s="6">
        <f t="shared" si="12"/>
        <v>514291</v>
      </c>
      <c r="X62" s="6"/>
      <c r="Y62" s="6" t="s">
        <v>79</v>
      </c>
      <c r="Z62" s="18"/>
      <c r="AA62" s="6" t="s">
        <v>79</v>
      </c>
      <c r="AB62" s="6"/>
      <c r="AC62" s="6">
        <v>742751</v>
      </c>
      <c r="AD62" s="6"/>
      <c r="AE62" s="6">
        <v>708495</v>
      </c>
      <c r="AF62" s="6"/>
      <c r="AG62" s="6">
        <v>0</v>
      </c>
      <c r="AH62" s="6"/>
      <c r="AI62" s="8">
        <f t="shared" si="24"/>
        <v>34256</v>
      </c>
      <c r="AJ62" s="8"/>
      <c r="AK62" s="6">
        <v>0</v>
      </c>
      <c r="AL62" s="6"/>
      <c r="AM62" s="6">
        <v>0</v>
      </c>
      <c r="AN62" s="6"/>
      <c r="AO62" s="6">
        <v>0</v>
      </c>
      <c r="AP62" s="6"/>
      <c r="AQ62" s="6">
        <v>0</v>
      </c>
      <c r="AR62" s="6"/>
      <c r="AS62" s="8">
        <f t="shared" si="16"/>
        <v>34256</v>
      </c>
      <c r="AT62" s="8"/>
      <c r="AU62" s="6">
        <v>0</v>
      </c>
      <c r="AV62" s="6"/>
      <c r="AW62" s="6">
        <v>0</v>
      </c>
      <c r="AX62" s="6"/>
      <c r="AY62" s="6">
        <f t="shared" ref="AY62:AY127" si="25">+E62-K62</f>
        <v>514291</v>
      </c>
      <c r="AZ62" s="6"/>
      <c r="BA62" s="6" t="s">
        <v>79</v>
      </c>
      <c r="BB62" s="18"/>
      <c r="BC62" s="6" t="s">
        <v>79</v>
      </c>
      <c r="BD62" s="6"/>
      <c r="BE62" s="6">
        <v>0</v>
      </c>
      <c r="BF62" s="6"/>
      <c r="BG62" s="6">
        <v>0</v>
      </c>
      <c r="BH62" s="6"/>
      <c r="BI62" s="6">
        <v>0</v>
      </c>
      <c r="BJ62" s="6"/>
      <c r="BK62" s="6">
        <v>0</v>
      </c>
      <c r="BL62" s="6"/>
      <c r="BM62" s="6">
        <f t="shared" si="17"/>
        <v>0</v>
      </c>
      <c r="BN62" s="17" t="s">
        <v>345</v>
      </c>
    </row>
    <row r="63" spans="1:66" hidden="1" x14ac:dyDescent="0.2">
      <c r="A63" s="6" t="s">
        <v>80</v>
      </c>
      <c r="C63" s="6" t="s">
        <v>11</v>
      </c>
      <c r="D63" s="6"/>
      <c r="E63" s="6">
        <v>2081109</v>
      </c>
      <c r="F63" s="6"/>
      <c r="G63" s="6">
        <v>1418847</v>
      </c>
      <c r="H63" s="6"/>
      <c r="I63" s="6">
        <f>+E63+G63</f>
        <v>3499956</v>
      </c>
      <c r="J63" s="6"/>
      <c r="K63" s="6">
        <v>344074</v>
      </c>
      <c r="L63" s="6"/>
      <c r="M63" s="6">
        <v>464739</v>
      </c>
      <c r="N63" s="6"/>
      <c r="O63" s="6">
        <f>+K63+M63</f>
        <v>808813</v>
      </c>
      <c r="P63" s="6"/>
      <c r="Q63" s="6">
        <v>1224722</v>
      </c>
      <c r="R63" s="6"/>
      <c r="S63" s="6">
        <v>0</v>
      </c>
      <c r="T63" s="6"/>
      <c r="U63" s="6">
        <v>1466421</v>
      </c>
      <c r="V63" s="6"/>
      <c r="W63" s="6">
        <f>SUM(Q63:U63)</f>
        <v>2691143</v>
      </c>
      <c r="X63" s="6"/>
      <c r="Y63" s="6" t="s">
        <v>80</v>
      </c>
      <c r="Z63" s="18"/>
      <c r="AA63" s="6" t="s">
        <v>11</v>
      </c>
      <c r="AB63" s="6"/>
      <c r="AC63" s="6">
        <v>3688590</v>
      </c>
      <c r="AD63" s="6"/>
      <c r="AE63" s="6">
        <f>3446116-249346</f>
        <v>3196770</v>
      </c>
      <c r="AF63" s="6"/>
      <c r="AG63" s="6">
        <v>249346</v>
      </c>
      <c r="AH63" s="6"/>
      <c r="AI63" s="8">
        <f t="shared" si="24"/>
        <v>242474</v>
      </c>
      <c r="AJ63" s="8"/>
      <c r="AK63" s="6">
        <v>30737</v>
      </c>
      <c r="AL63" s="6"/>
      <c r="AM63" s="6">
        <v>0</v>
      </c>
      <c r="AN63" s="6"/>
      <c r="AO63" s="6">
        <v>13842</v>
      </c>
      <c r="AP63" s="6"/>
      <c r="AQ63" s="6">
        <v>0</v>
      </c>
      <c r="AR63" s="6"/>
      <c r="AS63" s="8">
        <f t="shared" si="16"/>
        <v>259369</v>
      </c>
      <c r="AT63" s="8"/>
      <c r="AU63" s="6">
        <v>0</v>
      </c>
      <c r="AV63" s="6"/>
      <c r="AW63" s="6">
        <v>0</v>
      </c>
      <c r="AX63" s="6"/>
      <c r="AY63" s="6">
        <f t="shared" si="25"/>
        <v>1737035</v>
      </c>
      <c r="AZ63" s="6"/>
      <c r="BA63" s="6" t="s">
        <v>80</v>
      </c>
      <c r="BB63" s="18"/>
      <c r="BC63" s="6" t="s">
        <v>11</v>
      </c>
      <c r="BD63" s="6"/>
      <c r="BE63" s="6">
        <v>0</v>
      </c>
      <c r="BF63" s="6"/>
      <c r="BG63" s="6">
        <v>0</v>
      </c>
      <c r="BH63" s="6"/>
      <c r="BI63" s="6">
        <v>0</v>
      </c>
      <c r="BJ63" s="6"/>
      <c r="BK63" s="6">
        <f>295008+169731+57680+24394</f>
        <v>546813</v>
      </c>
      <c r="BL63" s="6"/>
      <c r="BM63" s="6">
        <f t="shared" si="17"/>
        <v>546813</v>
      </c>
      <c r="BN63" s="17" t="s">
        <v>345</v>
      </c>
    </row>
    <row r="64" spans="1:66" hidden="1" x14ac:dyDescent="0.2">
      <c r="A64" s="6" t="s">
        <v>81</v>
      </c>
      <c r="C64" s="6" t="s">
        <v>64</v>
      </c>
      <c r="D64" s="6"/>
      <c r="E64" s="6">
        <f t="shared" si="0"/>
        <v>0</v>
      </c>
      <c r="F64" s="6"/>
      <c r="G64" s="6"/>
      <c r="H64" s="6"/>
      <c r="I64" s="6"/>
      <c r="J64" s="6"/>
      <c r="K64" s="6">
        <f t="shared" si="1"/>
        <v>0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>
        <f t="shared" si="12"/>
        <v>0</v>
      </c>
      <c r="X64" s="6"/>
      <c r="Y64" s="6" t="s">
        <v>81</v>
      </c>
      <c r="Z64" s="18"/>
      <c r="AA64" s="6" t="s">
        <v>64</v>
      </c>
      <c r="AB64" s="6"/>
      <c r="AC64" s="6"/>
      <c r="AD64" s="6"/>
      <c r="AE64" s="6"/>
      <c r="AF64" s="6"/>
      <c r="AG64" s="6"/>
      <c r="AH64" s="6"/>
      <c r="AI64" s="8">
        <f t="shared" si="24"/>
        <v>0</v>
      </c>
      <c r="AJ64" s="8"/>
      <c r="AK64" s="6"/>
      <c r="AL64" s="6"/>
      <c r="AM64" s="6"/>
      <c r="AN64" s="6"/>
      <c r="AO64" s="6"/>
      <c r="AP64" s="6"/>
      <c r="AQ64" s="6"/>
      <c r="AR64" s="6"/>
      <c r="AS64" s="8">
        <f t="shared" si="16"/>
        <v>0</v>
      </c>
      <c r="AT64" s="8"/>
      <c r="AU64" s="6">
        <v>0</v>
      </c>
      <c r="AV64" s="6"/>
      <c r="AW64" s="6">
        <v>0</v>
      </c>
      <c r="AX64" s="6"/>
      <c r="AY64" s="6">
        <f t="shared" si="25"/>
        <v>0</v>
      </c>
      <c r="AZ64" s="6"/>
      <c r="BA64" s="6" t="s">
        <v>81</v>
      </c>
      <c r="BB64" s="18"/>
      <c r="BC64" s="6" t="s">
        <v>64</v>
      </c>
      <c r="BD64" s="6"/>
      <c r="BE64" s="6"/>
      <c r="BF64" s="6"/>
      <c r="BG64" s="6"/>
      <c r="BH64" s="6"/>
      <c r="BI64" s="6"/>
      <c r="BJ64" s="6"/>
      <c r="BK64" s="6"/>
      <c r="BL64" s="6"/>
      <c r="BM64" s="6">
        <f t="shared" si="17"/>
        <v>0</v>
      </c>
      <c r="BN64" s="17" t="s">
        <v>345</v>
      </c>
    </row>
    <row r="65" spans="1:67" ht="12" customHeight="1" x14ac:dyDescent="0.2">
      <c r="A65" s="6" t="s">
        <v>82</v>
      </c>
      <c r="C65" s="6" t="s">
        <v>43</v>
      </c>
      <c r="D65" s="6"/>
      <c r="E65" s="6">
        <v>104272</v>
      </c>
      <c r="F65" s="6"/>
      <c r="G65" s="6">
        <v>4223</v>
      </c>
      <c r="H65" s="6"/>
      <c r="I65" s="6">
        <f>+E65+G65</f>
        <v>108495</v>
      </c>
      <c r="J65" s="6"/>
      <c r="K65" s="6">
        <v>136728</v>
      </c>
      <c r="L65" s="6"/>
      <c r="M65" s="6">
        <v>0</v>
      </c>
      <c r="N65" s="6"/>
      <c r="O65" s="6">
        <f>+K65+M65</f>
        <v>136728</v>
      </c>
      <c r="P65" s="6"/>
      <c r="Q65" s="6">
        <v>4223</v>
      </c>
      <c r="R65" s="6"/>
      <c r="S65" s="6">
        <v>0</v>
      </c>
      <c r="T65" s="6"/>
      <c r="U65" s="6">
        <v>-32456</v>
      </c>
      <c r="V65" s="6"/>
      <c r="W65" s="6">
        <f t="shared" si="12"/>
        <v>-28233</v>
      </c>
      <c r="X65" s="6"/>
      <c r="Y65" s="6" t="s">
        <v>82</v>
      </c>
      <c r="Z65" s="18"/>
      <c r="AA65" s="6" t="s">
        <v>43</v>
      </c>
      <c r="AB65" s="6"/>
      <c r="AC65" s="6">
        <v>342205</v>
      </c>
      <c r="AD65" s="6"/>
      <c r="AE65" s="6">
        <f>342449-2822</f>
        <v>339627</v>
      </c>
      <c r="AF65" s="6"/>
      <c r="AG65" s="6">
        <v>2822</v>
      </c>
      <c r="AH65" s="6"/>
      <c r="AI65" s="8">
        <f t="shared" si="24"/>
        <v>-244</v>
      </c>
      <c r="AJ65" s="8"/>
      <c r="AK65" s="6">
        <v>0</v>
      </c>
      <c r="AL65" s="6"/>
      <c r="AM65" s="6">
        <v>0</v>
      </c>
      <c r="AN65" s="6"/>
      <c r="AO65" s="6">
        <v>0</v>
      </c>
      <c r="AP65" s="6"/>
      <c r="AQ65" s="6">
        <v>0</v>
      </c>
      <c r="AR65" s="6"/>
      <c r="AS65" s="8">
        <f t="shared" si="16"/>
        <v>-244</v>
      </c>
      <c r="AT65" s="8"/>
      <c r="AU65" s="6">
        <v>0</v>
      </c>
      <c r="AV65" s="6"/>
      <c r="AW65" s="6">
        <v>0</v>
      </c>
      <c r="AX65" s="6"/>
      <c r="AY65" s="6">
        <f t="shared" si="25"/>
        <v>-32456</v>
      </c>
      <c r="AZ65" s="6"/>
      <c r="BA65" s="6" t="s">
        <v>82</v>
      </c>
      <c r="BB65" s="18"/>
      <c r="BC65" s="6" t="s">
        <v>43</v>
      </c>
      <c r="BD65" s="6"/>
      <c r="BE65" s="6">
        <v>0</v>
      </c>
      <c r="BF65" s="6"/>
      <c r="BG65" s="6">
        <v>0</v>
      </c>
      <c r="BH65" s="6"/>
      <c r="BI65" s="6">
        <v>0</v>
      </c>
      <c r="BJ65" s="6"/>
      <c r="BK65" s="6">
        <v>0</v>
      </c>
      <c r="BL65" s="6"/>
      <c r="BM65" s="6">
        <f t="shared" si="17"/>
        <v>0</v>
      </c>
      <c r="BN65" s="17" t="s">
        <v>345</v>
      </c>
      <c r="BO65" s="18" t="s">
        <v>369</v>
      </c>
    </row>
    <row r="66" spans="1:67" hidden="1" x14ac:dyDescent="0.2">
      <c r="A66" s="6" t="s">
        <v>83</v>
      </c>
      <c r="C66" s="6" t="s">
        <v>83</v>
      </c>
      <c r="D66" s="6"/>
      <c r="E66" s="6">
        <f t="shared" si="0"/>
        <v>0</v>
      </c>
      <c r="F66" s="6"/>
      <c r="G66" s="6"/>
      <c r="H66" s="6"/>
      <c r="I66" s="6"/>
      <c r="J66" s="6"/>
      <c r="K66" s="6">
        <f t="shared" si="1"/>
        <v>0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>
        <f t="shared" si="12"/>
        <v>0</v>
      </c>
      <c r="X66" s="6"/>
      <c r="Y66" s="6" t="s">
        <v>83</v>
      </c>
      <c r="Z66" s="18"/>
      <c r="AA66" s="6" t="s">
        <v>83</v>
      </c>
      <c r="AB66" s="6"/>
      <c r="AC66" s="6"/>
      <c r="AD66" s="6"/>
      <c r="AE66" s="6"/>
      <c r="AF66" s="6"/>
      <c r="AG66" s="6"/>
      <c r="AH66" s="6"/>
      <c r="AI66" s="8">
        <f t="shared" si="24"/>
        <v>0</v>
      </c>
      <c r="AJ66" s="8"/>
      <c r="AK66" s="6"/>
      <c r="AL66" s="6"/>
      <c r="AM66" s="6"/>
      <c r="AN66" s="6"/>
      <c r="AO66" s="6"/>
      <c r="AP66" s="6"/>
      <c r="AQ66" s="6"/>
      <c r="AR66" s="6"/>
      <c r="AS66" s="8">
        <f t="shared" si="16"/>
        <v>0</v>
      </c>
      <c r="AT66" s="8"/>
      <c r="AU66" s="6">
        <v>0</v>
      </c>
      <c r="AV66" s="6"/>
      <c r="AW66" s="6">
        <v>0</v>
      </c>
      <c r="AX66" s="6"/>
      <c r="AY66" s="6">
        <f t="shared" si="25"/>
        <v>0</v>
      </c>
      <c r="AZ66" s="6"/>
      <c r="BA66" s="6" t="s">
        <v>83</v>
      </c>
      <c r="BB66" s="18"/>
      <c r="BC66" s="6" t="s">
        <v>83</v>
      </c>
      <c r="BD66" s="6"/>
      <c r="BE66" s="6"/>
      <c r="BF66" s="6"/>
      <c r="BG66" s="6"/>
      <c r="BH66" s="6"/>
      <c r="BI66" s="6"/>
      <c r="BJ66" s="6"/>
      <c r="BK66" s="6"/>
      <c r="BL66" s="6"/>
      <c r="BM66" s="6">
        <f t="shared" si="17"/>
        <v>0</v>
      </c>
      <c r="BN66" s="17" t="s">
        <v>345</v>
      </c>
    </row>
    <row r="67" spans="1:67" hidden="1" x14ac:dyDescent="0.2">
      <c r="A67" s="6" t="s">
        <v>84</v>
      </c>
      <c r="C67" s="6" t="s">
        <v>84</v>
      </c>
      <c r="D67" s="6"/>
      <c r="E67" s="6">
        <f t="shared" si="0"/>
        <v>304408</v>
      </c>
      <c r="F67" s="6"/>
      <c r="G67" s="6">
        <v>898775</v>
      </c>
      <c r="H67" s="6"/>
      <c r="I67" s="6">
        <v>1203183</v>
      </c>
      <c r="J67" s="6"/>
      <c r="K67" s="6">
        <f t="shared" si="1"/>
        <v>8403</v>
      </c>
      <c r="L67" s="6"/>
      <c r="M67" s="6">
        <v>16312</v>
      </c>
      <c r="N67" s="6"/>
      <c r="O67" s="6">
        <v>24715</v>
      </c>
      <c r="P67" s="6"/>
      <c r="Q67" s="6">
        <v>414835</v>
      </c>
      <c r="R67" s="6"/>
      <c r="S67" s="6">
        <v>0</v>
      </c>
      <c r="T67" s="6"/>
      <c r="U67" s="6">
        <v>110749</v>
      </c>
      <c r="V67" s="6"/>
      <c r="W67" s="6">
        <f t="shared" si="12"/>
        <v>525584</v>
      </c>
      <c r="X67" s="6"/>
      <c r="Y67" s="6" t="s">
        <v>84</v>
      </c>
      <c r="Z67" s="18"/>
      <c r="AA67" s="6" t="s">
        <v>84</v>
      </c>
      <c r="AB67" s="6"/>
      <c r="AC67" s="6">
        <v>3111820</v>
      </c>
      <c r="AD67" s="6"/>
      <c r="AE67" s="6">
        <f>3124128-191399</f>
        <v>2932729</v>
      </c>
      <c r="AF67" s="6"/>
      <c r="AG67" s="6">
        <v>191399</v>
      </c>
      <c r="AH67" s="6"/>
      <c r="AI67" s="8">
        <f t="shared" si="24"/>
        <v>-12308</v>
      </c>
      <c r="AJ67" s="8"/>
      <c r="AK67" s="6">
        <v>-3000</v>
      </c>
      <c r="AL67" s="6"/>
      <c r="AM67" s="6">
        <v>0</v>
      </c>
      <c r="AN67" s="6"/>
      <c r="AO67" s="6">
        <v>0</v>
      </c>
      <c r="AP67" s="6"/>
      <c r="AQ67" s="6">
        <v>0</v>
      </c>
      <c r="AR67" s="6"/>
      <c r="AS67" s="8">
        <f t="shared" si="16"/>
        <v>-15308</v>
      </c>
      <c r="AT67" s="8"/>
      <c r="AU67" s="6">
        <v>0</v>
      </c>
      <c r="AV67" s="6"/>
      <c r="AW67" s="6">
        <v>0</v>
      </c>
      <c r="AX67" s="6"/>
      <c r="AY67" s="6">
        <f t="shared" si="25"/>
        <v>296005</v>
      </c>
      <c r="AZ67" s="6"/>
      <c r="BA67" s="6" t="s">
        <v>84</v>
      </c>
      <c r="BB67" s="18"/>
      <c r="BC67" s="6" t="s">
        <v>84</v>
      </c>
      <c r="BD67" s="6"/>
      <c r="BE67" s="6">
        <v>0</v>
      </c>
      <c r="BF67" s="6"/>
      <c r="BG67" s="6">
        <v>0</v>
      </c>
      <c r="BH67" s="6"/>
      <c r="BI67" s="6">
        <v>0</v>
      </c>
      <c r="BJ67" s="6"/>
      <c r="BK67" s="6">
        <f>5101+668+13095</f>
        <v>18864</v>
      </c>
      <c r="BL67" s="6"/>
      <c r="BM67" s="6">
        <f t="shared" si="17"/>
        <v>18864</v>
      </c>
      <c r="BN67" s="17" t="s">
        <v>345</v>
      </c>
    </row>
    <row r="68" spans="1:67" s="36" customFormat="1" ht="12" x14ac:dyDescent="0.2">
      <c r="A68" s="19" t="s">
        <v>85</v>
      </c>
      <c r="C68" s="19" t="s">
        <v>86</v>
      </c>
      <c r="D68" s="19"/>
      <c r="E68" s="6">
        <v>154032</v>
      </c>
      <c r="F68" s="6"/>
      <c r="G68" s="6">
        <v>62163</v>
      </c>
      <c r="H68" s="6"/>
      <c r="I68" s="6">
        <f>+E68+G68</f>
        <v>216195</v>
      </c>
      <c r="J68" s="6"/>
      <c r="K68" s="6">
        <v>117695</v>
      </c>
      <c r="L68" s="6"/>
      <c r="M68" s="6">
        <v>8473</v>
      </c>
      <c r="N68" s="6"/>
      <c r="O68" s="6">
        <f>+K68+M68</f>
        <v>126168</v>
      </c>
      <c r="P68" s="6"/>
      <c r="Q68" s="6">
        <v>62163</v>
      </c>
      <c r="R68" s="6"/>
      <c r="S68" s="6">
        <v>0</v>
      </c>
      <c r="T68" s="6"/>
      <c r="U68" s="6">
        <v>27864</v>
      </c>
      <c r="V68" s="19"/>
      <c r="W68" s="19">
        <f t="shared" si="12"/>
        <v>90027</v>
      </c>
      <c r="X68" s="19"/>
      <c r="Y68" s="19" t="s">
        <v>85</v>
      </c>
      <c r="AA68" s="19" t="s">
        <v>86</v>
      </c>
      <c r="AB68" s="19"/>
      <c r="AC68" s="6">
        <v>471147</v>
      </c>
      <c r="AD68" s="6"/>
      <c r="AE68" s="6">
        <f>523245-15823</f>
        <v>507422</v>
      </c>
      <c r="AF68" s="6"/>
      <c r="AG68" s="6">
        <v>15823</v>
      </c>
      <c r="AH68" s="6"/>
      <c r="AI68" s="8">
        <f t="shared" si="24"/>
        <v>-52098</v>
      </c>
      <c r="AJ68" s="8"/>
      <c r="AK68" s="6">
        <v>0</v>
      </c>
      <c r="AL68" s="6"/>
      <c r="AM68" s="6">
        <v>0</v>
      </c>
      <c r="AN68" s="6"/>
      <c r="AO68" s="6">
        <v>0</v>
      </c>
      <c r="AP68" s="6"/>
      <c r="AQ68" s="6">
        <v>0</v>
      </c>
      <c r="AR68" s="6"/>
      <c r="AS68" s="8">
        <f t="shared" si="16"/>
        <v>-52098</v>
      </c>
      <c r="AT68" s="8"/>
      <c r="AU68" s="6">
        <v>0</v>
      </c>
      <c r="AV68" s="6"/>
      <c r="AW68" s="6">
        <v>0</v>
      </c>
      <c r="AX68" s="6"/>
      <c r="AY68" s="6">
        <f t="shared" si="25"/>
        <v>36337</v>
      </c>
      <c r="AZ68" s="19"/>
      <c r="BA68" s="19" t="s">
        <v>85</v>
      </c>
      <c r="BC68" s="19" t="s">
        <v>86</v>
      </c>
      <c r="BD68" s="19"/>
      <c r="BE68" s="6">
        <v>0</v>
      </c>
      <c r="BF68" s="6"/>
      <c r="BG68" s="6">
        <v>0</v>
      </c>
      <c r="BH68" s="6"/>
      <c r="BI68" s="6">
        <v>0</v>
      </c>
      <c r="BJ68" s="6"/>
      <c r="BK68" s="6">
        <f>8473+4132</f>
        <v>12605</v>
      </c>
      <c r="BL68" s="19"/>
      <c r="BM68" s="19">
        <f t="shared" si="17"/>
        <v>12605</v>
      </c>
      <c r="BN68" s="37" t="s">
        <v>345</v>
      </c>
    </row>
    <row r="69" spans="1:67" hidden="1" x14ac:dyDescent="0.2">
      <c r="A69" s="6" t="s">
        <v>392</v>
      </c>
      <c r="C69" s="6" t="s">
        <v>87</v>
      </c>
      <c r="D69" s="6"/>
      <c r="E69" s="6">
        <f t="shared" si="0"/>
        <v>0</v>
      </c>
      <c r="F69" s="6"/>
      <c r="G69" s="6"/>
      <c r="H69" s="6"/>
      <c r="I69" s="6"/>
      <c r="J69" s="6"/>
      <c r="K69" s="6">
        <f t="shared" si="1"/>
        <v>0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>
        <f t="shared" si="12"/>
        <v>0</v>
      </c>
      <c r="X69" s="6"/>
      <c r="Y69" s="6" t="s">
        <v>392</v>
      </c>
      <c r="Z69" s="18"/>
      <c r="AA69" s="6" t="s">
        <v>87</v>
      </c>
      <c r="AB69" s="6"/>
      <c r="AC69" s="6"/>
      <c r="AD69" s="6"/>
      <c r="AE69" s="6"/>
      <c r="AF69" s="6"/>
      <c r="AG69" s="6"/>
      <c r="AH69" s="6"/>
      <c r="AI69" s="8">
        <f t="shared" si="24"/>
        <v>0</v>
      </c>
      <c r="AJ69" s="8"/>
      <c r="AK69" s="6"/>
      <c r="AL69" s="6"/>
      <c r="AM69" s="6"/>
      <c r="AN69" s="6"/>
      <c r="AO69" s="6"/>
      <c r="AP69" s="6"/>
      <c r="AQ69" s="6"/>
      <c r="AR69" s="6"/>
      <c r="AS69" s="8">
        <f t="shared" si="16"/>
        <v>0</v>
      </c>
      <c r="AT69" s="8"/>
      <c r="AU69" s="6">
        <v>0</v>
      </c>
      <c r="AV69" s="6"/>
      <c r="AW69" s="6">
        <v>0</v>
      </c>
      <c r="AX69" s="6"/>
      <c r="AY69" s="6">
        <f t="shared" si="25"/>
        <v>0</v>
      </c>
      <c r="AZ69" s="6"/>
      <c r="BA69" s="6" t="s">
        <v>392</v>
      </c>
      <c r="BB69" s="18"/>
      <c r="BC69" s="6" t="s">
        <v>87</v>
      </c>
      <c r="BD69" s="6"/>
      <c r="BE69" s="6"/>
      <c r="BF69" s="6"/>
      <c r="BG69" s="6"/>
      <c r="BH69" s="6"/>
      <c r="BI69" s="6"/>
      <c r="BJ69" s="6"/>
      <c r="BK69" s="6"/>
      <c r="BL69" s="6"/>
      <c r="BM69" s="6">
        <f t="shared" si="17"/>
        <v>0</v>
      </c>
      <c r="BN69" s="17" t="s">
        <v>345</v>
      </c>
      <c r="BO69" s="18" t="s">
        <v>313</v>
      </c>
    </row>
    <row r="70" spans="1:67" hidden="1" x14ac:dyDescent="0.2">
      <c r="A70" s="6" t="s">
        <v>88</v>
      </c>
      <c r="C70" s="6" t="s">
        <v>41</v>
      </c>
      <c r="D70" s="6"/>
      <c r="E70" s="6">
        <f t="shared" si="0"/>
        <v>0</v>
      </c>
      <c r="F70" s="6"/>
      <c r="G70" s="6"/>
      <c r="H70" s="6"/>
      <c r="I70" s="6"/>
      <c r="J70" s="6"/>
      <c r="K70" s="6">
        <f t="shared" si="1"/>
        <v>0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>
        <f t="shared" si="12"/>
        <v>0</v>
      </c>
      <c r="X70" s="6"/>
      <c r="Y70" s="6" t="s">
        <v>88</v>
      </c>
      <c r="Z70" s="18"/>
      <c r="AA70" s="6" t="s">
        <v>41</v>
      </c>
      <c r="AB70" s="6"/>
      <c r="AC70" s="6"/>
      <c r="AD70" s="6"/>
      <c r="AE70" s="6"/>
      <c r="AF70" s="6"/>
      <c r="AG70" s="6"/>
      <c r="AH70" s="6"/>
      <c r="AI70" s="8">
        <f t="shared" si="24"/>
        <v>0</v>
      </c>
      <c r="AJ70" s="8"/>
      <c r="AK70" s="6"/>
      <c r="AL70" s="6"/>
      <c r="AM70" s="6"/>
      <c r="AN70" s="6"/>
      <c r="AO70" s="6"/>
      <c r="AP70" s="6"/>
      <c r="AQ70" s="6"/>
      <c r="AR70" s="6"/>
      <c r="AS70" s="8">
        <f t="shared" si="16"/>
        <v>0</v>
      </c>
      <c r="AT70" s="8"/>
      <c r="AU70" s="6">
        <v>0</v>
      </c>
      <c r="AV70" s="6"/>
      <c r="AW70" s="6">
        <v>0</v>
      </c>
      <c r="AX70" s="6"/>
      <c r="AY70" s="6">
        <f t="shared" si="25"/>
        <v>0</v>
      </c>
      <c r="AZ70" s="6"/>
      <c r="BA70" s="6" t="s">
        <v>88</v>
      </c>
      <c r="BB70" s="18"/>
      <c r="BC70" s="6" t="s">
        <v>41</v>
      </c>
      <c r="BD70" s="6"/>
      <c r="BE70" s="6"/>
      <c r="BF70" s="6"/>
      <c r="BG70" s="6"/>
      <c r="BH70" s="6"/>
      <c r="BI70" s="6"/>
      <c r="BJ70" s="6"/>
      <c r="BK70" s="6"/>
      <c r="BL70" s="6"/>
      <c r="BM70" s="6">
        <f t="shared" si="17"/>
        <v>0</v>
      </c>
      <c r="BN70" s="17" t="s">
        <v>345</v>
      </c>
    </row>
    <row r="71" spans="1:67" hidden="1" x14ac:dyDescent="0.2">
      <c r="A71" s="6" t="s">
        <v>91</v>
      </c>
      <c r="C71" s="6" t="s">
        <v>92</v>
      </c>
      <c r="D71" s="6"/>
      <c r="E71" s="6">
        <f t="shared" si="0"/>
        <v>0</v>
      </c>
      <c r="F71" s="6"/>
      <c r="G71" s="6"/>
      <c r="H71" s="6"/>
      <c r="I71" s="6"/>
      <c r="J71" s="6"/>
      <c r="K71" s="6">
        <f t="shared" si="1"/>
        <v>0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>
        <f t="shared" si="12"/>
        <v>0</v>
      </c>
      <c r="X71" s="6"/>
      <c r="Y71" s="6" t="s">
        <v>91</v>
      </c>
      <c r="Z71" s="18"/>
      <c r="AA71" s="6" t="s">
        <v>92</v>
      </c>
      <c r="AB71" s="6"/>
      <c r="AC71" s="6"/>
      <c r="AD71" s="6"/>
      <c r="AE71" s="6"/>
      <c r="AF71" s="6"/>
      <c r="AG71" s="6"/>
      <c r="AH71" s="6"/>
      <c r="AI71" s="8">
        <f t="shared" si="24"/>
        <v>0</v>
      </c>
      <c r="AJ71" s="8"/>
      <c r="AK71" s="6"/>
      <c r="AL71" s="6"/>
      <c r="AM71" s="6"/>
      <c r="AN71" s="6"/>
      <c r="AO71" s="6"/>
      <c r="AP71" s="6"/>
      <c r="AQ71" s="6"/>
      <c r="AR71" s="6"/>
      <c r="AS71" s="8">
        <f t="shared" si="16"/>
        <v>0</v>
      </c>
      <c r="AT71" s="8"/>
      <c r="AU71" s="6">
        <v>0</v>
      </c>
      <c r="AV71" s="6"/>
      <c r="AW71" s="6">
        <v>0</v>
      </c>
      <c r="AX71" s="6"/>
      <c r="AY71" s="6">
        <f t="shared" si="25"/>
        <v>0</v>
      </c>
      <c r="AZ71" s="6"/>
      <c r="BA71" s="6" t="s">
        <v>91</v>
      </c>
      <c r="BB71" s="18"/>
      <c r="BC71" s="6" t="s">
        <v>92</v>
      </c>
      <c r="BD71" s="6"/>
      <c r="BE71" s="6"/>
      <c r="BF71" s="6"/>
      <c r="BG71" s="6"/>
      <c r="BH71" s="6"/>
      <c r="BI71" s="6"/>
      <c r="BJ71" s="6"/>
      <c r="BK71" s="6"/>
      <c r="BL71" s="6"/>
      <c r="BM71" s="6">
        <f t="shared" si="17"/>
        <v>0</v>
      </c>
      <c r="BN71" s="17" t="s">
        <v>345</v>
      </c>
    </row>
    <row r="72" spans="1:67" hidden="1" x14ac:dyDescent="0.2">
      <c r="A72" s="6" t="s">
        <v>93</v>
      </c>
      <c r="C72" s="6" t="s">
        <v>92</v>
      </c>
      <c r="D72" s="6"/>
      <c r="E72" s="6">
        <f t="shared" si="0"/>
        <v>0</v>
      </c>
      <c r="F72" s="6"/>
      <c r="G72" s="6"/>
      <c r="H72" s="6"/>
      <c r="I72" s="6"/>
      <c r="J72" s="6"/>
      <c r="K72" s="6">
        <f t="shared" si="1"/>
        <v>0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>
        <f t="shared" si="12"/>
        <v>0</v>
      </c>
      <c r="X72" s="6"/>
      <c r="Y72" s="6" t="s">
        <v>93</v>
      </c>
      <c r="Z72" s="18"/>
      <c r="AA72" s="6" t="s">
        <v>92</v>
      </c>
      <c r="AB72" s="6"/>
      <c r="AC72" s="6"/>
      <c r="AD72" s="6"/>
      <c r="AE72" s="6"/>
      <c r="AF72" s="6"/>
      <c r="AG72" s="6"/>
      <c r="AH72" s="6"/>
      <c r="AI72" s="8">
        <f t="shared" si="24"/>
        <v>0</v>
      </c>
      <c r="AJ72" s="8"/>
      <c r="AK72" s="6"/>
      <c r="AL72" s="6"/>
      <c r="AM72" s="6"/>
      <c r="AN72" s="6"/>
      <c r="AO72" s="6"/>
      <c r="AP72" s="6"/>
      <c r="AQ72" s="6"/>
      <c r="AR72" s="6"/>
      <c r="AS72" s="8">
        <f t="shared" si="16"/>
        <v>0</v>
      </c>
      <c r="AT72" s="8"/>
      <c r="AU72" s="6">
        <v>0</v>
      </c>
      <c r="AV72" s="6"/>
      <c r="AW72" s="6">
        <v>0</v>
      </c>
      <c r="AX72" s="6"/>
      <c r="AY72" s="6">
        <f t="shared" si="25"/>
        <v>0</v>
      </c>
      <c r="AZ72" s="6"/>
      <c r="BA72" s="6" t="s">
        <v>93</v>
      </c>
      <c r="BB72" s="18"/>
      <c r="BC72" s="6" t="s">
        <v>92</v>
      </c>
      <c r="BD72" s="6"/>
      <c r="BE72" s="6"/>
      <c r="BF72" s="6"/>
      <c r="BG72" s="6"/>
      <c r="BH72" s="6"/>
      <c r="BI72" s="6"/>
      <c r="BJ72" s="6"/>
      <c r="BK72" s="6"/>
      <c r="BL72" s="6"/>
      <c r="BM72" s="6">
        <f t="shared" si="17"/>
        <v>0</v>
      </c>
      <c r="BN72" s="17" t="s">
        <v>345</v>
      </c>
    </row>
    <row r="73" spans="1:67" hidden="1" x14ac:dyDescent="0.2">
      <c r="A73" s="6" t="s">
        <v>89</v>
      </c>
      <c r="C73" s="6" t="s">
        <v>90</v>
      </c>
      <c r="D73" s="6"/>
      <c r="E73" s="6">
        <f t="shared" si="0"/>
        <v>0</v>
      </c>
      <c r="F73" s="6"/>
      <c r="G73" s="6"/>
      <c r="H73" s="6"/>
      <c r="I73" s="6"/>
      <c r="J73" s="6"/>
      <c r="K73" s="6">
        <f t="shared" si="1"/>
        <v>0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>
        <f t="shared" si="12"/>
        <v>0</v>
      </c>
      <c r="X73" s="6"/>
      <c r="Y73" s="6" t="s">
        <v>89</v>
      </c>
      <c r="Z73" s="18"/>
      <c r="AA73" s="6" t="s">
        <v>90</v>
      </c>
      <c r="AB73" s="6"/>
      <c r="AC73" s="6"/>
      <c r="AD73" s="6"/>
      <c r="AE73" s="6"/>
      <c r="AF73" s="6"/>
      <c r="AG73" s="6"/>
      <c r="AH73" s="6"/>
      <c r="AI73" s="8">
        <f t="shared" si="24"/>
        <v>0</v>
      </c>
      <c r="AJ73" s="8"/>
      <c r="AK73" s="6"/>
      <c r="AL73" s="6"/>
      <c r="AM73" s="6"/>
      <c r="AN73" s="6"/>
      <c r="AO73" s="6"/>
      <c r="AP73" s="6"/>
      <c r="AQ73" s="6"/>
      <c r="AR73" s="6"/>
      <c r="AS73" s="8">
        <f t="shared" si="16"/>
        <v>0</v>
      </c>
      <c r="AT73" s="8"/>
      <c r="AU73" s="6">
        <v>0</v>
      </c>
      <c r="AV73" s="6"/>
      <c r="AW73" s="6">
        <v>0</v>
      </c>
      <c r="AX73" s="6"/>
      <c r="AY73" s="6">
        <f t="shared" si="25"/>
        <v>0</v>
      </c>
      <c r="AZ73" s="6"/>
      <c r="BA73" s="6" t="s">
        <v>89</v>
      </c>
      <c r="BB73" s="18"/>
      <c r="BC73" s="6" t="s">
        <v>90</v>
      </c>
      <c r="BD73" s="6"/>
      <c r="BE73" s="6"/>
      <c r="BF73" s="6"/>
      <c r="BG73" s="6"/>
      <c r="BH73" s="6"/>
      <c r="BI73" s="6"/>
      <c r="BJ73" s="6"/>
      <c r="BK73" s="6"/>
      <c r="BL73" s="6"/>
      <c r="BM73" s="6">
        <f t="shared" si="17"/>
        <v>0</v>
      </c>
      <c r="BN73" s="17" t="s">
        <v>345</v>
      </c>
    </row>
    <row r="74" spans="1:67" x14ac:dyDescent="0.2">
      <c r="A74" s="6" t="s">
        <v>94</v>
      </c>
      <c r="C74" s="6" t="s">
        <v>95</v>
      </c>
      <c r="D74" s="6"/>
      <c r="E74" s="6">
        <v>327954</v>
      </c>
      <c r="F74" s="6"/>
      <c r="G74" s="6">
        <v>20925</v>
      </c>
      <c r="H74" s="6"/>
      <c r="I74" s="6">
        <f>+E74+G74</f>
        <v>348879</v>
      </c>
      <c r="J74" s="6"/>
      <c r="K74" s="6">
        <v>55567</v>
      </c>
      <c r="L74" s="6"/>
      <c r="M74" s="6">
        <v>8536</v>
      </c>
      <c r="N74" s="6"/>
      <c r="O74" s="6">
        <f>+K74+M74</f>
        <v>64103</v>
      </c>
      <c r="P74" s="6"/>
      <c r="Q74" s="6">
        <v>20925</v>
      </c>
      <c r="R74" s="6"/>
      <c r="S74" s="6">
        <v>0</v>
      </c>
      <c r="T74" s="6"/>
      <c r="U74" s="6">
        <v>263851</v>
      </c>
      <c r="V74" s="6"/>
      <c r="W74" s="6">
        <f t="shared" si="12"/>
        <v>284776</v>
      </c>
      <c r="X74" s="6"/>
      <c r="Y74" s="6" t="s">
        <v>94</v>
      </c>
      <c r="Z74" s="18"/>
      <c r="AA74" s="6" t="s">
        <v>95</v>
      </c>
      <c r="AB74" s="6"/>
      <c r="AC74" s="6">
        <v>699176</v>
      </c>
      <c r="AD74" s="6"/>
      <c r="AE74" s="6">
        <f>663218-397</f>
        <v>662821</v>
      </c>
      <c r="AF74" s="6"/>
      <c r="AG74" s="6">
        <v>397</v>
      </c>
      <c r="AH74" s="6"/>
      <c r="AI74" s="8">
        <f t="shared" si="24"/>
        <v>35958</v>
      </c>
      <c r="AJ74" s="8"/>
      <c r="AK74" s="6">
        <v>0</v>
      </c>
      <c r="AL74" s="6"/>
      <c r="AM74" s="6">
        <v>0</v>
      </c>
      <c r="AN74" s="6"/>
      <c r="AO74" s="6">
        <v>0</v>
      </c>
      <c r="AP74" s="6"/>
      <c r="AQ74" s="6">
        <v>0</v>
      </c>
      <c r="AR74" s="6"/>
      <c r="AS74" s="8">
        <f t="shared" si="16"/>
        <v>35958</v>
      </c>
      <c r="AT74" s="8"/>
      <c r="AU74" s="6">
        <v>0</v>
      </c>
      <c r="AV74" s="6"/>
      <c r="AW74" s="6">
        <v>0</v>
      </c>
      <c r="AX74" s="6"/>
      <c r="AY74" s="6">
        <f t="shared" si="25"/>
        <v>272387</v>
      </c>
      <c r="AZ74" s="6"/>
      <c r="BA74" s="6" t="s">
        <v>94</v>
      </c>
      <c r="BB74" s="18"/>
      <c r="BC74" s="6" t="s">
        <v>95</v>
      </c>
      <c r="BD74" s="6"/>
      <c r="BE74" s="6">
        <v>0</v>
      </c>
      <c r="BF74" s="6"/>
      <c r="BG74" s="6">
        <v>0</v>
      </c>
      <c r="BH74" s="6"/>
      <c r="BI74" s="6">
        <v>0</v>
      </c>
      <c r="BJ74" s="6"/>
      <c r="BK74" s="6">
        <f>2507+8536</f>
        <v>11043</v>
      </c>
      <c r="BL74" s="6"/>
      <c r="BM74" s="6">
        <f t="shared" si="17"/>
        <v>11043</v>
      </c>
      <c r="BN74" s="17" t="s">
        <v>345</v>
      </c>
    </row>
    <row r="75" spans="1:67" x14ac:dyDescent="0.2">
      <c r="A75" s="6" t="s">
        <v>96</v>
      </c>
      <c r="C75" s="6" t="s">
        <v>15</v>
      </c>
      <c r="D75" s="6"/>
      <c r="E75" s="6">
        <v>2394879</v>
      </c>
      <c r="F75" s="6"/>
      <c r="G75" s="6">
        <v>2269567</v>
      </c>
      <c r="H75" s="6"/>
      <c r="I75" s="6">
        <f>+E75+G75</f>
        <v>4664446</v>
      </c>
      <c r="J75" s="6"/>
      <c r="K75" s="6">
        <v>3050038</v>
      </c>
      <c r="L75" s="6"/>
      <c r="M75" s="6">
        <v>160646</v>
      </c>
      <c r="N75" s="6"/>
      <c r="O75" s="6">
        <f>+K75+M75</f>
        <v>3210684</v>
      </c>
      <c r="P75" s="6"/>
      <c r="Q75" s="6">
        <v>943630</v>
      </c>
      <c r="R75" s="6"/>
      <c r="S75" s="6">
        <v>0</v>
      </c>
      <c r="T75" s="6"/>
      <c r="U75" s="6">
        <v>510132</v>
      </c>
      <c r="V75" s="6"/>
      <c r="W75" s="6">
        <f t="shared" si="12"/>
        <v>1453762</v>
      </c>
      <c r="X75" s="6"/>
      <c r="Y75" s="6" t="s">
        <v>96</v>
      </c>
      <c r="Z75" s="18"/>
      <c r="AA75" s="6" t="s">
        <v>15</v>
      </c>
      <c r="AB75" s="6"/>
      <c r="AC75" s="6">
        <v>4380162</v>
      </c>
      <c r="AD75" s="6"/>
      <c r="AE75" s="6">
        <f>3735707-335820</f>
        <v>3399887</v>
      </c>
      <c r="AF75" s="6"/>
      <c r="AG75" s="6">
        <v>335820</v>
      </c>
      <c r="AH75" s="6"/>
      <c r="AI75" s="8">
        <f t="shared" si="24"/>
        <v>644455</v>
      </c>
      <c r="AJ75" s="8"/>
      <c r="AK75" s="6">
        <v>-33220</v>
      </c>
      <c r="AL75" s="6"/>
      <c r="AM75" s="6">
        <v>0</v>
      </c>
      <c r="AN75" s="6"/>
      <c r="AO75" s="6">
        <v>0</v>
      </c>
      <c r="AP75" s="6"/>
      <c r="AQ75" s="6">
        <v>0</v>
      </c>
      <c r="AR75" s="6"/>
      <c r="AS75" s="8">
        <f t="shared" si="16"/>
        <v>611235</v>
      </c>
      <c r="AT75" s="8"/>
      <c r="AU75" s="6">
        <v>0</v>
      </c>
      <c r="AV75" s="6"/>
      <c r="AW75" s="6">
        <v>0</v>
      </c>
      <c r="AX75" s="6"/>
      <c r="AY75" s="6">
        <f t="shared" si="25"/>
        <v>-655159</v>
      </c>
      <c r="AZ75" s="6"/>
      <c r="BA75" s="6" t="s">
        <v>96</v>
      </c>
      <c r="BB75" s="18"/>
      <c r="BC75" s="6" t="s">
        <v>15</v>
      </c>
      <c r="BD75" s="6"/>
      <c r="BE75" s="6">
        <v>0</v>
      </c>
      <c r="BF75" s="6"/>
      <c r="BG75" s="6">
        <v>0</v>
      </c>
      <c r="BH75" s="6"/>
      <c r="BI75" s="6">
        <v>0</v>
      </c>
      <c r="BJ75" s="6"/>
      <c r="BK75" s="6">
        <v>160646</v>
      </c>
      <c r="BL75" s="6"/>
      <c r="BM75" s="6">
        <f t="shared" si="17"/>
        <v>160646</v>
      </c>
      <c r="BN75" s="17" t="s">
        <v>345</v>
      </c>
    </row>
    <row r="76" spans="1:67" x14ac:dyDescent="0.2">
      <c r="A76" s="6" t="s">
        <v>97</v>
      </c>
      <c r="C76" s="6" t="s">
        <v>64</v>
      </c>
      <c r="D76" s="6"/>
      <c r="E76" s="6">
        <v>729346</v>
      </c>
      <c r="F76" s="6"/>
      <c r="G76" s="6">
        <v>130250</v>
      </c>
      <c r="H76" s="6"/>
      <c r="I76" s="6">
        <f>+E76+G76</f>
        <v>859596</v>
      </c>
      <c r="J76" s="6"/>
      <c r="K76" s="6">
        <v>131815</v>
      </c>
      <c r="L76" s="6"/>
      <c r="M76" s="6">
        <v>2686</v>
      </c>
      <c r="N76" s="6"/>
      <c r="O76" s="6">
        <f>+K76+M76</f>
        <v>134501</v>
      </c>
      <c r="P76" s="6"/>
      <c r="Q76" s="6">
        <v>130250</v>
      </c>
      <c r="R76" s="6"/>
      <c r="S76" s="6">
        <v>0</v>
      </c>
      <c r="T76" s="6"/>
      <c r="U76" s="6">
        <v>594845</v>
      </c>
      <c r="V76" s="6"/>
      <c r="W76" s="6">
        <f t="shared" ref="W76:W109" si="26">SUM(Q76:U76)</f>
        <v>725095</v>
      </c>
      <c r="X76" s="6"/>
      <c r="Y76" s="6" t="s">
        <v>97</v>
      </c>
      <c r="Z76" s="18"/>
      <c r="AA76" s="6" t="s">
        <v>64</v>
      </c>
      <c r="AB76" s="6"/>
      <c r="AC76" s="6">
        <v>794645</v>
      </c>
      <c r="AD76" s="6"/>
      <c r="AE76" s="6">
        <f>817969-11500</f>
        <v>806469</v>
      </c>
      <c r="AF76" s="6"/>
      <c r="AG76" s="6">
        <v>11500</v>
      </c>
      <c r="AH76" s="6"/>
      <c r="AI76" s="8">
        <f t="shared" si="24"/>
        <v>-23324</v>
      </c>
      <c r="AJ76" s="8"/>
      <c r="AK76" s="6">
        <v>0</v>
      </c>
      <c r="AL76" s="6"/>
      <c r="AM76" s="6">
        <v>0</v>
      </c>
      <c r="AN76" s="6"/>
      <c r="AO76" s="6">
        <v>0</v>
      </c>
      <c r="AP76" s="6"/>
      <c r="AQ76" s="6">
        <v>0</v>
      </c>
      <c r="AR76" s="6"/>
      <c r="AS76" s="8">
        <f t="shared" si="16"/>
        <v>-23324</v>
      </c>
      <c r="AT76" s="8"/>
      <c r="AU76" s="6">
        <v>0</v>
      </c>
      <c r="AV76" s="6"/>
      <c r="AW76" s="6">
        <v>0</v>
      </c>
      <c r="AX76" s="6"/>
      <c r="AY76" s="6">
        <f t="shared" si="25"/>
        <v>597531</v>
      </c>
      <c r="AZ76" s="6"/>
      <c r="BA76" s="6" t="s">
        <v>97</v>
      </c>
      <c r="BB76" s="18"/>
      <c r="BC76" s="6" t="s">
        <v>64</v>
      </c>
      <c r="BD76" s="6"/>
      <c r="BE76" s="6">
        <v>0</v>
      </c>
      <c r="BF76" s="6"/>
      <c r="BG76" s="6">
        <v>0</v>
      </c>
      <c r="BH76" s="6"/>
      <c r="BI76" s="6">
        <v>0</v>
      </c>
      <c r="BJ76" s="6"/>
      <c r="BK76" s="6">
        <f>2686+3308</f>
        <v>5994</v>
      </c>
      <c r="BL76" s="6"/>
      <c r="BM76" s="6">
        <f t="shared" si="17"/>
        <v>5994</v>
      </c>
      <c r="BN76" s="17" t="s">
        <v>345</v>
      </c>
    </row>
    <row r="77" spans="1:67" hidden="1" x14ac:dyDescent="0.2">
      <c r="A77" s="6" t="s">
        <v>98</v>
      </c>
      <c r="C77" s="6" t="s">
        <v>25</v>
      </c>
      <c r="D77" s="6"/>
      <c r="E77" s="6">
        <f t="shared" ref="E77:E117" si="27">I77-G77</f>
        <v>0</v>
      </c>
      <c r="F77" s="6"/>
      <c r="G77" s="6"/>
      <c r="H77" s="6"/>
      <c r="I77" s="6"/>
      <c r="J77" s="6"/>
      <c r="K77" s="6">
        <f t="shared" ref="K77:K117" si="28">O77-M77</f>
        <v>0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>
        <f t="shared" si="26"/>
        <v>0</v>
      </c>
      <c r="X77" s="6"/>
      <c r="Y77" s="6" t="s">
        <v>98</v>
      </c>
      <c r="Z77" s="18"/>
      <c r="AA77" s="6" t="s">
        <v>25</v>
      </c>
      <c r="AB77" s="6"/>
      <c r="AC77" s="6"/>
      <c r="AD77" s="6"/>
      <c r="AE77" s="6"/>
      <c r="AF77" s="6"/>
      <c r="AG77" s="6"/>
      <c r="AH77" s="6"/>
      <c r="AI77" s="8">
        <f t="shared" si="24"/>
        <v>0</v>
      </c>
      <c r="AJ77" s="8"/>
      <c r="AK77" s="6"/>
      <c r="AL77" s="6"/>
      <c r="AM77" s="6"/>
      <c r="AN77" s="6"/>
      <c r="AO77" s="6"/>
      <c r="AP77" s="6"/>
      <c r="AQ77" s="6"/>
      <c r="AR77" s="6"/>
      <c r="AS77" s="8">
        <f t="shared" si="16"/>
        <v>0</v>
      </c>
      <c r="AT77" s="8"/>
      <c r="AU77" s="6">
        <v>0</v>
      </c>
      <c r="AV77" s="6"/>
      <c r="AW77" s="6">
        <v>0</v>
      </c>
      <c r="AX77" s="6"/>
      <c r="AY77" s="6">
        <f t="shared" si="25"/>
        <v>0</v>
      </c>
      <c r="AZ77" s="6"/>
      <c r="BA77" s="6" t="s">
        <v>98</v>
      </c>
      <c r="BB77" s="18"/>
      <c r="BC77" s="6" t="s">
        <v>25</v>
      </c>
      <c r="BD77" s="6"/>
      <c r="BE77" s="6"/>
      <c r="BF77" s="6"/>
      <c r="BG77" s="6"/>
      <c r="BH77" s="6"/>
      <c r="BI77" s="6"/>
      <c r="BJ77" s="6"/>
      <c r="BK77" s="6"/>
      <c r="BL77" s="6"/>
      <c r="BM77" s="6">
        <f t="shared" si="17"/>
        <v>0</v>
      </c>
      <c r="BN77" s="17" t="s">
        <v>345</v>
      </c>
    </row>
    <row r="78" spans="1:67" x14ac:dyDescent="0.2">
      <c r="A78" s="6" t="s">
        <v>99</v>
      </c>
      <c r="C78" s="6" t="s">
        <v>28</v>
      </c>
      <c r="D78" s="6"/>
      <c r="E78" s="6">
        <v>992045</v>
      </c>
      <c r="F78" s="6"/>
      <c r="G78" s="6">
        <v>98192</v>
      </c>
      <c r="H78" s="6"/>
      <c r="I78" s="6">
        <f>+E78+G78</f>
        <v>1090237</v>
      </c>
      <c r="J78" s="6"/>
      <c r="K78" s="6">
        <v>175718</v>
      </c>
      <c r="L78" s="6"/>
      <c r="M78" s="6">
        <v>162156</v>
      </c>
      <c r="N78" s="6"/>
      <c r="O78" s="6">
        <f>+K78+M78</f>
        <v>337874</v>
      </c>
      <c r="P78" s="6"/>
      <c r="Q78" s="6">
        <v>98192</v>
      </c>
      <c r="R78" s="6"/>
      <c r="S78" s="6">
        <v>0</v>
      </c>
      <c r="T78" s="6"/>
      <c r="U78" s="6">
        <v>654171</v>
      </c>
      <c r="V78" s="6"/>
      <c r="W78" s="6">
        <f t="shared" si="26"/>
        <v>752363</v>
      </c>
      <c r="X78" s="6"/>
      <c r="Y78" s="6" t="s">
        <v>99</v>
      </c>
      <c r="Z78" s="18"/>
      <c r="AA78" s="6" t="s">
        <v>28</v>
      </c>
      <c r="AB78" s="6"/>
      <c r="AC78" s="6">
        <v>2542620</v>
      </c>
      <c r="AD78" s="6"/>
      <c r="AE78" s="6">
        <f>2450119-39739</f>
        <v>2410380</v>
      </c>
      <c r="AF78" s="6"/>
      <c r="AG78" s="6">
        <v>39739</v>
      </c>
      <c r="AH78" s="6"/>
      <c r="AI78" s="8">
        <f t="shared" si="24"/>
        <v>92501</v>
      </c>
      <c r="AJ78" s="8"/>
      <c r="AK78" s="6">
        <v>0</v>
      </c>
      <c r="AL78" s="6"/>
      <c r="AM78" s="6">
        <v>0</v>
      </c>
      <c r="AN78" s="6"/>
      <c r="AO78" s="6">
        <v>0</v>
      </c>
      <c r="AP78" s="6"/>
      <c r="AQ78" s="6">
        <v>0</v>
      </c>
      <c r="AR78" s="6"/>
      <c r="AS78" s="8">
        <f t="shared" si="16"/>
        <v>92501</v>
      </c>
      <c r="AT78" s="8"/>
      <c r="AU78" s="6">
        <v>0</v>
      </c>
      <c r="AV78" s="6"/>
      <c r="AW78" s="6">
        <v>0</v>
      </c>
      <c r="AX78" s="6"/>
      <c r="AY78" s="6">
        <f t="shared" si="25"/>
        <v>816327</v>
      </c>
      <c r="AZ78" s="6"/>
      <c r="BA78" s="6" t="s">
        <v>99</v>
      </c>
      <c r="BB78" s="18"/>
      <c r="BC78" s="6" t="s">
        <v>28</v>
      </c>
      <c r="BD78" s="6"/>
      <c r="BE78" s="6">
        <v>0</v>
      </c>
      <c r="BF78" s="6"/>
      <c r="BG78" s="6">
        <v>0</v>
      </c>
      <c r="BH78" s="6"/>
      <c r="BI78" s="6">
        <v>0</v>
      </c>
      <c r="BJ78" s="6"/>
      <c r="BK78" s="6">
        <f>161700+456+3752</f>
        <v>165908</v>
      </c>
      <c r="BL78" s="6"/>
      <c r="BM78" s="6">
        <f t="shared" si="17"/>
        <v>165908</v>
      </c>
      <c r="BN78" s="17" t="s">
        <v>345</v>
      </c>
    </row>
    <row r="79" spans="1:67" x14ac:dyDescent="0.2">
      <c r="A79" s="6" t="s">
        <v>100</v>
      </c>
      <c r="C79" s="6" t="s">
        <v>101</v>
      </c>
      <c r="D79" s="6"/>
      <c r="E79" s="6">
        <v>489763</v>
      </c>
      <c r="F79" s="6"/>
      <c r="G79" s="6">
        <v>0</v>
      </c>
      <c r="H79" s="6"/>
      <c r="I79" s="6">
        <f>+E79+G79</f>
        <v>489763</v>
      </c>
      <c r="J79" s="6"/>
      <c r="K79" s="6">
        <v>176585</v>
      </c>
      <c r="L79" s="6"/>
      <c r="M79" s="6">
        <v>0</v>
      </c>
      <c r="N79" s="6"/>
      <c r="O79" s="6">
        <f>+K79+M79</f>
        <v>176585</v>
      </c>
      <c r="P79" s="6"/>
      <c r="Q79" s="6">
        <v>0</v>
      </c>
      <c r="R79" s="6"/>
      <c r="S79" s="6">
        <v>0</v>
      </c>
      <c r="T79" s="6"/>
      <c r="U79" s="6">
        <v>313178</v>
      </c>
      <c r="V79" s="6"/>
      <c r="W79" s="6">
        <f t="shared" si="26"/>
        <v>313178</v>
      </c>
      <c r="X79" s="6"/>
      <c r="Y79" s="6" t="s">
        <v>100</v>
      </c>
      <c r="Z79" s="18"/>
      <c r="AA79" s="6" t="s">
        <v>101</v>
      </c>
      <c r="AB79" s="6"/>
      <c r="AC79" s="6">
        <v>2373948</v>
      </c>
      <c r="AD79" s="6"/>
      <c r="AE79" s="6">
        <v>2444874</v>
      </c>
      <c r="AF79" s="6"/>
      <c r="AG79" s="6">
        <v>0</v>
      </c>
      <c r="AH79" s="6"/>
      <c r="AI79" s="8">
        <f t="shared" si="24"/>
        <v>-70926</v>
      </c>
      <c r="AJ79" s="8"/>
      <c r="AK79" s="6">
        <v>3999</v>
      </c>
      <c r="AL79" s="6"/>
      <c r="AM79" s="6">
        <v>0</v>
      </c>
      <c r="AN79" s="6"/>
      <c r="AO79" s="6">
        <v>0</v>
      </c>
      <c r="AP79" s="6"/>
      <c r="AQ79" s="6">
        <v>0</v>
      </c>
      <c r="AR79" s="6"/>
      <c r="AS79" s="8">
        <f t="shared" si="16"/>
        <v>-66927</v>
      </c>
      <c r="AT79" s="8"/>
      <c r="AU79" s="6">
        <v>0</v>
      </c>
      <c r="AV79" s="6"/>
      <c r="AW79" s="6">
        <v>0</v>
      </c>
      <c r="AX79" s="6"/>
      <c r="AY79" s="6">
        <f t="shared" si="25"/>
        <v>313178</v>
      </c>
      <c r="AZ79" s="6"/>
      <c r="BA79" s="6" t="s">
        <v>100</v>
      </c>
      <c r="BB79" s="18"/>
      <c r="BC79" s="6" t="s">
        <v>101</v>
      </c>
      <c r="BD79" s="6"/>
      <c r="BE79" s="6">
        <v>0</v>
      </c>
      <c r="BF79" s="6"/>
      <c r="BG79" s="6">
        <v>0</v>
      </c>
      <c r="BH79" s="6"/>
      <c r="BI79" s="6">
        <v>0</v>
      </c>
      <c r="BJ79" s="6"/>
      <c r="BK79" s="6">
        <v>0</v>
      </c>
      <c r="BL79" s="6"/>
      <c r="BM79" s="6">
        <f t="shared" si="17"/>
        <v>0</v>
      </c>
      <c r="BN79" s="17" t="s">
        <v>345</v>
      </c>
    </row>
    <row r="80" spans="1:67" hidden="1" x14ac:dyDescent="0.2">
      <c r="A80" s="6" t="s">
        <v>102</v>
      </c>
      <c r="C80" s="6" t="s">
        <v>11</v>
      </c>
      <c r="D80" s="6"/>
      <c r="E80" s="6">
        <f t="shared" si="27"/>
        <v>0</v>
      </c>
      <c r="F80" s="6"/>
      <c r="G80" s="6"/>
      <c r="H80" s="6"/>
      <c r="I80" s="6"/>
      <c r="J80" s="6"/>
      <c r="K80" s="6">
        <f t="shared" si="28"/>
        <v>0</v>
      </c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>
        <f t="shared" si="26"/>
        <v>0</v>
      </c>
      <c r="X80" s="6"/>
      <c r="Y80" s="6" t="s">
        <v>102</v>
      </c>
      <c r="Z80" s="18"/>
      <c r="AA80" s="6" t="s">
        <v>11</v>
      </c>
      <c r="AB80" s="6"/>
      <c r="AC80" s="6"/>
      <c r="AD80" s="6"/>
      <c r="AE80" s="6"/>
      <c r="AF80" s="6"/>
      <c r="AG80" s="6"/>
      <c r="AH80" s="6"/>
      <c r="AI80" s="8">
        <f t="shared" si="24"/>
        <v>0</v>
      </c>
      <c r="AJ80" s="8"/>
      <c r="AK80" s="6"/>
      <c r="AL80" s="6"/>
      <c r="AM80" s="6"/>
      <c r="AN80" s="6"/>
      <c r="AO80" s="6"/>
      <c r="AP80" s="6"/>
      <c r="AQ80" s="6"/>
      <c r="AR80" s="6"/>
      <c r="AS80" s="8">
        <f t="shared" si="16"/>
        <v>0</v>
      </c>
      <c r="AT80" s="8"/>
      <c r="AU80" s="6">
        <v>0</v>
      </c>
      <c r="AV80" s="6"/>
      <c r="AW80" s="6">
        <v>0</v>
      </c>
      <c r="AX80" s="6"/>
      <c r="AY80" s="6">
        <f t="shared" si="25"/>
        <v>0</v>
      </c>
      <c r="AZ80" s="6"/>
      <c r="BA80" s="6" t="s">
        <v>102</v>
      </c>
      <c r="BB80" s="18"/>
      <c r="BC80" s="6" t="s">
        <v>11</v>
      </c>
      <c r="BD80" s="6"/>
      <c r="BE80" s="6"/>
      <c r="BF80" s="6"/>
      <c r="BG80" s="6"/>
      <c r="BH80" s="6"/>
      <c r="BI80" s="6"/>
      <c r="BJ80" s="6"/>
      <c r="BK80" s="6"/>
      <c r="BL80" s="6"/>
      <c r="BM80" s="6">
        <f t="shared" si="17"/>
        <v>0</v>
      </c>
      <c r="BN80" s="17" t="s">
        <v>345</v>
      </c>
    </row>
    <row r="81" spans="1:67" hidden="1" x14ac:dyDescent="0.2">
      <c r="A81" s="6" t="s">
        <v>103</v>
      </c>
      <c r="C81" s="6" t="s">
        <v>25</v>
      </c>
      <c r="D81" s="6"/>
      <c r="E81" s="6">
        <f t="shared" si="27"/>
        <v>0</v>
      </c>
      <c r="F81" s="6"/>
      <c r="G81" s="6"/>
      <c r="H81" s="6"/>
      <c r="I81" s="6"/>
      <c r="J81" s="6"/>
      <c r="K81" s="6">
        <f t="shared" si="28"/>
        <v>0</v>
      </c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>
        <f t="shared" si="26"/>
        <v>0</v>
      </c>
      <c r="X81" s="6"/>
      <c r="Y81" s="6" t="s">
        <v>103</v>
      </c>
      <c r="Z81" s="18"/>
      <c r="AA81" s="6" t="s">
        <v>25</v>
      </c>
      <c r="AB81" s="6"/>
      <c r="AC81" s="6"/>
      <c r="AD81" s="6"/>
      <c r="AE81" s="6"/>
      <c r="AF81" s="6"/>
      <c r="AG81" s="6"/>
      <c r="AH81" s="6"/>
      <c r="AI81" s="8">
        <f t="shared" si="24"/>
        <v>0</v>
      </c>
      <c r="AJ81" s="8"/>
      <c r="AK81" s="6"/>
      <c r="AL81" s="6"/>
      <c r="AM81" s="6"/>
      <c r="AN81" s="6"/>
      <c r="AO81" s="6"/>
      <c r="AP81" s="6"/>
      <c r="AQ81" s="6"/>
      <c r="AR81" s="6"/>
      <c r="AS81" s="8">
        <f t="shared" si="16"/>
        <v>0</v>
      </c>
      <c r="AT81" s="8"/>
      <c r="AU81" s="6">
        <v>0</v>
      </c>
      <c r="AV81" s="6"/>
      <c r="AW81" s="6">
        <v>0</v>
      </c>
      <c r="AX81" s="6"/>
      <c r="AY81" s="6">
        <f t="shared" si="25"/>
        <v>0</v>
      </c>
      <c r="AZ81" s="6"/>
      <c r="BA81" s="6" t="s">
        <v>103</v>
      </c>
      <c r="BB81" s="18"/>
      <c r="BC81" s="6" t="s">
        <v>25</v>
      </c>
      <c r="BD81" s="6"/>
      <c r="BE81" s="6"/>
      <c r="BF81" s="6"/>
      <c r="BG81" s="6"/>
      <c r="BH81" s="6"/>
      <c r="BI81" s="6"/>
      <c r="BJ81" s="6"/>
      <c r="BK81" s="6"/>
      <c r="BL81" s="6"/>
      <c r="BM81" s="6">
        <f t="shared" si="17"/>
        <v>0</v>
      </c>
      <c r="BN81" s="17" t="s">
        <v>345</v>
      </c>
    </row>
    <row r="82" spans="1:67" hidden="1" x14ac:dyDescent="0.2">
      <c r="A82" s="6" t="s">
        <v>104</v>
      </c>
      <c r="C82" s="6" t="s">
        <v>105</v>
      </c>
      <c r="D82" s="6"/>
      <c r="E82" s="6">
        <f t="shared" si="27"/>
        <v>0</v>
      </c>
      <c r="F82" s="6"/>
      <c r="G82" s="6"/>
      <c r="H82" s="6"/>
      <c r="I82" s="6"/>
      <c r="J82" s="6"/>
      <c r="K82" s="6">
        <f t="shared" si="28"/>
        <v>0</v>
      </c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>
        <f t="shared" si="26"/>
        <v>0</v>
      </c>
      <c r="X82" s="6"/>
      <c r="Y82" s="6" t="s">
        <v>104</v>
      </c>
      <c r="Z82" s="18"/>
      <c r="AA82" s="6" t="s">
        <v>105</v>
      </c>
      <c r="AB82" s="6"/>
      <c r="AC82" s="6"/>
      <c r="AD82" s="6"/>
      <c r="AE82" s="6"/>
      <c r="AF82" s="6"/>
      <c r="AG82" s="6"/>
      <c r="AH82" s="6"/>
      <c r="AI82" s="8">
        <f t="shared" si="24"/>
        <v>0</v>
      </c>
      <c r="AJ82" s="8"/>
      <c r="AK82" s="6"/>
      <c r="AL82" s="6"/>
      <c r="AM82" s="6"/>
      <c r="AN82" s="6"/>
      <c r="AO82" s="6"/>
      <c r="AP82" s="6"/>
      <c r="AQ82" s="6"/>
      <c r="AR82" s="6"/>
      <c r="AS82" s="8">
        <f t="shared" si="16"/>
        <v>0</v>
      </c>
      <c r="AT82" s="8"/>
      <c r="AU82" s="6">
        <v>0</v>
      </c>
      <c r="AV82" s="6"/>
      <c r="AW82" s="6">
        <v>0</v>
      </c>
      <c r="AX82" s="6"/>
      <c r="AY82" s="6">
        <f t="shared" si="25"/>
        <v>0</v>
      </c>
      <c r="AZ82" s="6"/>
      <c r="BA82" s="6" t="s">
        <v>104</v>
      </c>
      <c r="BB82" s="18"/>
      <c r="BC82" s="6" t="s">
        <v>105</v>
      </c>
      <c r="BD82" s="6"/>
      <c r="BE82" s="6"/>
      <c r="BF82" s="6"/>
      <c r="BG82" s="6"/>
      <c r="BH82" s="6"/>
      <c r="BI82" s="6"/>
      <c r="BJ82" s="6"/>
      <c r="BK82" s="6"/>
      <c r="BL82" s="6"/>
      <c r="BM82" s="6">
        <f t="shared" si="17"/>
        <v>0</v>
      </c>
      <c r="BN82" s="17" t="s">
        <v>345</v>
      </c>
    </row>
    <row r="83" spans="1:67" hidden="1" x14ac:dyDescent="0.2">
      <c r="A83" s="6" t="s">
        <v>106</v>
      </c>
      <c r="C83" s="6" t="s">
        <v>43</v>
      </c>
      <c r="D83" s="6"/>
      <c r="E83" s="6">
        <f t="shared" si="27"/>
        <v>0</v>
      </c>
      <c r="F83" s="6"/>
      <c r="G83" s="6"/>
      <c r="H83" s="6"/>
      <c r="I83" s="6"/>
      <c r="J83" s="6"/>
      <c r="K83" s="6">
        <f t="shared" si="28"/>
        <v>0</v>
      </c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>
        <f t="shared" si="26"/>
        <v>0</v>
      </c>
      <c r="X83" s="6"/>
      <c r="Y83" s="6" t="s">
        <v>106</v>
      </c>
      <c r="Z83" s="18"/>
      <c r="AA83" s="6" t="s">
        <v>43</v>
      </c>
      <c r="AB83" s="6"/>
      <c r="AC83" s="6"/>
      <c r="AD83" s="6"/>
      <c r="AE83" s="6"/>
      <c r="AF83" s="6"/>
      <c r="AG83" s="6"/>
      <c r="AH83" s="6"/>
      <c r="AI83" s="8">
        <f t="shared" si="24"/>
        <v>0</v>
      </c>
      <c r="AJ83" s="8"/>
      <c r="AK83" s="6"/>
      <c r="AL83" s="6"/>
      <c r="AM83" s="6"/>
      <c r="AN83" s="6"/>
      <c r="AO83" s="6"/>
      <c r="AP83" s="6"/>
      <c r="AQ83" s="6"/>
      <c r="AR83" s="6"/>
      <c r="AS83" s="8">
        <f t="shared" si="16"/>
        <v>0</v>
      </c>
      <c r="AT83" s="8"/>
      <c r="AU83" s="6">
        <v>0</v>
      </c>
      <c r="AV83" s="6"/>
      <c r="AW83" s="6">
        <v>0</v>
      </c>
      <c r="AX83" s="6"/>
      <c r="AY83" s="6">
        <f t="shared" si="25"/>
        <v>0</v>
      </c>
      <c r="AZ83" s="6"/>
      <c r="BA83" s="6" t="s">
        <v>106</v>
      </c>
      <c r="BB83" s="18"/>
      <c r="BC83" s="6" t="s">
        <v>43</v>
      </c>
      <c r="BD83" s="6"/>
      <c r="BE83" s="6"/>
      <c r="BF83" s="6"/>
      <c r="BG83" s="6"/>
      <c r="BH83" s="6"/>
      <c r="BI83" s="6"/>
      <c r="BJ83" s="6"/>
      <c r="BK83" s="6"/>
      <c r="BL83" s="6"/>
      <c r="BM83" s="6">
        <f t="shared" si="17"/>
        <v>0</v>
      </c>
      <c r="BN83" s="17" t="s">
        <v>345</v>
      </c>
    </row>
    <row r="84" spans="1:67" hidden="1" x14ac:dyDescent="0.2">
      <c r="A84" s="6" t="s">
        <v>107</v>
      </c>
      <c r="C84" s="6" t="s">
        <v>108</v>
      </c>
      <c r="D84" s="6"/>
      <c r="E84" s="6">
        <f t="shared" si="27"/>
        <v>0</v>
      </c>
      <c r="F84" s="6"/>
      <c r="G84" s="6"/>
      <c r="H84" s="6"/>
      <c r="I84" s="6"/>
      <c r="J84" s="6"/>
      <c r="K84" s="6">
        <f t="shared" si="28"/>
        <v>0</v>
      </c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>
        <f t="shared" si="26"/>
        <v>0</v>
      </c>
      <c r="X84" s="6"/>
      <c r="Y84" s="6" t="s">
        <v>107</v>
      </c>
      <c r="Z84" s="18"/>
      <c r="AA84" s="6" t="s">
        <v>108</v>
      </c>
      <c r="AB84" s="6"/>
      <c r="AC84" s="6"/>
      <c r="AD84" s="6"/>
      <c r="AE84" s="6"/>
      <c r="AF84" s="6"/>
      <c r="AG84" s="6"/>
      <c r="AH84" s="6"/>
      <c r="AI84" s="8">
        <f t="shared" si="24"/>
        <v>0</v>
      </c>
      <c r="AJ84" s="8"/>
      <c r="AK84" s="6"/>
      <c r="AL84" s="6"/>
      <c r="AM84" s="6"/>
      <c r="AN84" s="6"/>
      <c r="AO84" s="6"/>
      <c r="AP84" s="6"/>
      <c r="AQ84" s="6"/>
      <c r="AR84" s="6"/>
      <c r="AS84" s="8">
        <f t="shared" si="16"/>
        <v>0</v>
      </c>
      <c r="AT84" s="8"/>
      <c r="AU84" s="6">
        <v>0</v>
      </c>
      <c r="AV84" s="6"/>
      <c r="AW84" s="6">
        <v>0</v>
      </c>
      <c r="AX84" s="6"/>
      <c r="AY84" s="6">
        <f t="shared" si="25"/>
        <v>0</v>
      </c>
      <c r="AZ84" s="6"/>
      <c r="BA84" s="6" t="s">
        <v>107</v>
      </c>
      <c r="BB84" s="18"/>
      <c r="BC84" s="6" t="s">
        <v>108</v>
      </c>
      <c r="BD84" s="6"/>
      <c r="BE84" s="6"/>
      <c r="BF84" s="6"/>
      <c r="BG84" s="6"/>
      <c r="BH84" s="6"/>
      <c r="BI84" s="6"/>
      <c r="BJ84" s="6"/>
      <c r="BK84" s="6"/>
      <c r="BL84" s="6"/>
      <c r="BM84" s="6">
        <f t="shared" si="17"/>
        <v>0</v>
      </c>
      <c r="BN84" s="17" t="s">
        <v>345</v>
      </c>
    </row>
    <row r="85" spans="1:67" x14ac:dyDescent="0.2">
      <c r="A85" s="6" t="s">
        <v>41</v>
      </c>
      <c r="C85" s="6" t="s">
        <v>109</v>
      </c>
      <c r="D85" s="6"/>
      <c r="E85" s="6">
        <v>231441</v>
      </c>
      <c r="F85" s="6"/>
      <c r="G85" s="6">
        <v>0</v>
      </c>
      <c r="H85" s="6"/>
      <c r="I85" s="6">
        <f>+E85+G85</f>
        <v>231441</v>
      </c>
      <c r="J85" s="6"/>
      <c r="K85" s="6">
        <v>10524</v>
      </c>
      <c r="L85" s="6"/>
      <c r="M85" s="6">
        <v>1567</v>
      </c>
      <c r="N85" s="6"/>
      <c r="O85" s="6">
        <f>+K85+M85</f>
        <v>12091</v>
      </c>
      <c r="P85" s="6"/>
      <c r="Q85" s="6">
        <v>0</v>
      </c>
      <c r="R85" s="6"/>
      <c r="S85" s="6">
        <v>0</v>
      </c>
      <c r="T85" s="6"/>
      <c r="U85" s="6">
        <v>219350</v>
      </c>
      <c r="V85" s="6"/>
      <c r="W85" s="6">
        <f t="shared" si="26"/>
        <v>219350</v>
      </c>
      <c r="X85" s="6"/>
      <c r="Y85" s="6" t="s">
        <v>41</v>
      </c>
      <c r="Z85" s="18"/>
      <c r="AA85" s="6" t="s">
        <v>109</v>
      </c>
      <c r="AB85" s="6"/>
      <c r="AC85" s="6">
        <v>736048</v>
      </c>
      <c r="AD85" s="6"/>
      <c r="AE85" s="6">
        <v>712050</v>
      </c>
      <c r="AF85" s="6"/>
      <c r="AG85" s="6">
        <v>0</v>
      </c>
      <c r="AH85" s="6"/>
      <c r="AI85" s="8">
        <f t="shared" si="24"/>
        <v>23998</v>
      </c>
      <c r="AJ85" s="8"/>
      <c r="AK85" s="6">
        <v>97</v>
      </c>
      <c r="AL85" s="6"/>
      <c r="AM85" s="6">
        <v>0</v>
      </c>
      <c r="AN85" s="6"/>
      <c r="AO85" s="6">
        <v>0</v>
      </c>
      <c r="AP85" s="6"/>
      <c r="AQ85" s="6">
        <v>0</v>
      </c>
      <c r="AR85" s="6"/>
      <c r="AS85" s="8">
        <f t="shared" si="16"/>
        <v>24095</v>
      </c>
      <c r="AT85" s="8"/>
      <c r="AU85" s="6">
        <v>0</v>
      </c>
      <c r="AV85" s="6"/>
      <c r="AW85" s="6">
        <v>0</v>
      </c>
      <c r="AX85" s="6"/>
      <c r="AY85" s="6">
        <f t="shared" si="25"/>
        <v>220917</v>
      </c>
      <c r="AZ85" s="6"/>
      <c r="BA85" s="6" t="s">
        <v>41</v>
      </c>
      <c r="BB85" s="18"/>
      <c r="BC85" s="6" t="s">
        <v>109</v>
      </c>
      <c r="BD85" s="6"/>
      <c r="BE85" s="6">
        <v>0</v>
      </c>
      <c r="BF85" s="6"/>
      <c r="BG85" s="6">
        <v>0</v>
      </c>
      <c r="BH85" s="6"/>
      <c r="BI85" s="6">
        <v>0</v>
      </c>
      <c r="BJ85" s="6"/>
      <c r="BK85" s="6">
        <f>1567+166</f>
        <v>1733</v>
      </c>
      <c r="BL85" s="6"/>
      <c r="BM85" s="6">
        <f t="shared" si="17"/>
        <v>1733</v>
      </c>
      <c r="BN85" s="17" t="s">
        <v>345</v>
      </c>
    </row>
    <row r="86" spans="1:67" hidden="1" x14ac:dyDescent="0.2">
      <c r="A86" s="6" t="s">
        <v>110</v>
      </c>
      <c r="C86" s="6" t="s">
        <v>74</v>
      </c>
      <c r="D86" s="6"/>
      <c r="E86" s="6">
        <f t="shared" si="27"/>
        <v>0</v>
      </c>
      <c r="F86" s="6"/>
      <c r="G86" s="6"/>
      <c r="H86" s="6"/>
      <c r="I86" s="6"/>
      <c r="J86" s="6"/>
      <c r="K86" s="6">
        <f t="shared" si="28"/>
        <v>0</v>
      </c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>
        <f t="shared" si="26"/>
        <v>0</v>
      </c>
      <c r="X86" s="6"/>
      <c r="Y86" s="6" t="s">
        <v>110</v>
      </c>
      <c r="Z86" s="18"/>
      <c r="AA86" s="6" t="s">
        <v>74</v>
      </c>
      <c r="AB86" s="6"/>
      <c r="AC86" s="6"/>
      <c r="AD86" s="6"/>
      <c r="AE86" s="6"/>
      <c r="AF86" s="6"/>
      <c r="AG86" s="6"/>
      <c r="AH86" s="6"/>
      <c r="AI86" s="8">
        <f t="shared" si="24"/>
        <v>0</v>
      </c>
      <c r="AJ86" s="8"/>
      <c r="AK86" s="6"/>
      <c r="AL86" s="6"/>
      <c r="AM86" s="6"/>
      <c r="AN86" s="6"/>
      <c r="AO86" s="6"/>
      <c r="AP86" s="6"/>
      <c r="AQ86" s="6"/>
      <c r="AR86" s="6"/>
      <c r="AS86" s="8">
        <f t="shared" si="16"/>
        <v>0</v>
      </c>
      <c r="AT86" s="8"/>
      <c r="AU86" s="6">
        <v>0</v>
      </c>
      <c r="AV86" s="6"/>
      <c r="AW86" s="6">
        <v>0</v>
      </c>
      <c r="AX86" s="6"/>
      <c r="AY86" s="6">
        <f t="shared" si="25"/>
        <v>0</v>
      </c>
      <c r="AZ86" s="6"/>
      <c r="BA86" s="6" t="s">
        <v>110</v>
      </c>
      <c r="BB86" s="18"/>
      <c r="BC86" s="6" t="s">
        <v>74</v>
      </c>
      <c r="BD86" s="6"/>
      <c r="BE86" s="6"/>
      <c r="BF86" s="6"/>
      <c r="BG86" s="6"/>
      <c r="BH86" s="6"/>
      <c r="BI86" s="6"/>
      <c r="BJ86" s="6"/>
      <c r="BK86" s="6"/>
      <c r="BL86" s="6"/>
      <c r="BM86" s="6">
        <f t="shared" si="17"/>
        <v>0</v>
      </c>
      <c r="BN86" s="17" t="s">
        <v>345</v>
      </c>
    </row>
    <row r="87" spans="1:67" hidden="1" x14ac:dyDescent="0.2">
      <c r="A87" s="6" t="s">
        <v>111</v>
      </c>
      <c r="C87" s="6" t="s">
        <v>41</v>
      </c>
      <c r="D87" s="6"/>
      <c r="E87" s="6">
        <f t="shared" si="27"/>
        <v>0</v>
      </c>
      <c r="F87" s="6"/>
      <c r="G87" s="6"/>
      <c r="H87" s="6"/>
      <c r="I87" s="6"/>
      <c r="J87" s="6"/>
      <c r="K87" s="6">
        <f t="shared" si="28"/>
        <v>0</v>
      </c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>
        <f t="shared" si="26"/>
        <v>0</v>
      </c>
      <c r="X87" s="6"/>
      <c r="Y87" s="6" t="s">
        <v>111</v>
      </c>
      <c r="Z87" s="18"/>
      <c r="AA87" s="6" t="s">
        <v>41</v>
      </c>
      <c r="AB87" s="6"/>
      <c r="AC87" s="6"/>
      <c r="AD87" s="6"/>
      <c r="AE87" s="6"/>
      <c r="AF87" s="6"/>
      <c r="AG87" s="6"/>
      <c r="AH87" s="6"/>
      <c r="AI87" s="8">
        <f t="shared" si="24"/>
        <v>0</v>
      </c>
      <c r="AJ87" s="8"/>
      <c r="AK87" s="6"/>
      <c r="AL87" s="6"/>
      <c r="AM87" s="6"/>
      <c r="AN87" s="6"/>
      <c r="AO87" s="6"/>
      <c r="AP87" s="6"/>
      <c r="AQ87" s="6"/>
      <c r="AR87" s="6"/>
      <c r="AS87" s="8">
        <f t="shared" si="16"/>
        <v>0</v>
      </c>
      <c r="AT87" s="8"/>
      <c r="AU87" s="6">
        <v>0</v>
      </c>
      <c r="AV87" s="6"/>
      <c r="AW87" s="6">
        <v>0</v>
      </c>
      <c r="AX87" s="6"/>
      <c r="AY87" s="6">
        <f t="shared" si="25"/>
        <v>0</v>
      </c>
      <c r="AZ87" s="6"/>
      <c r="BA87" s="6" t="s">
        <v>111</v>
      </c>
      <c r="BB87" s="18"/>
      <c r="BC87" s="6" t="s">
        <v>41</v>
      </c>
      <c r="BD87" s="6"/>
      <c r="BE87" s="6"/>
      <c r="BF87" s="6"/>
      <c r="BG87" s="6"/>
      <c r="BH87" s="6"/>
      <c r="BI87" s="6"/>
      <c r="BJ87" s="6"/>
      <c r="BK87" s="6"/>
      <c r="BL87" s="6"/>
      <c r="BM87" s="6">
        <f t="shared" si="17"/>
        <v>0</v>
      </c>
      <c r="BN87" s="17" t="s">
        <v>345</v>
      </c>
    </row>
    <row r="88" spans="1:67" hidden="1" x14ac:dyDescent="0.2">
      <c r="A88" s="7" t="s">
        <v>483</v>
      </c>
      <c r="C88" s="6" t="s">
        <v>55</v>
      </c>
      <c r="D88" s="6"/>
      <c r="E88" s="6">
        <f t="shared" si="27"/>
        <v>0</v>
      </c>
      <c r="F88" s="6"/>
      <c r="G88" s="6"/>
      <c r="H88" s="6"/>
      <c r="I88" s="6"/>
      <c r="J88" s="6"/>
      <c r="K88" s="6">
        <f t="shared" si="28"/>
        <v>0</v>
      </c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>
        <f>SUM(Q88:U88)</f>
        <v>0</v>
      </c>
      <c r="X88" s="6"/>
      <c r="Y88" s="7" t="s">
        <v>483</v>
      </c>
      <c r="Z88" s="18"/>
      <c r="AA88" s="6" t="s">
        <v>55</v>
      </c>
      <c r="AB88" s="6"/>
      <c r="AC88" s="6"/>
      <c r="AD88" s="6"/>
      <c r="AE88" s="6"/>
      <c r="AF88" s="6"/>
      <c r="AG88" s="6"/>
      <c r="AH88" s="6"/>
      <c r="AI88" s="8">
        <f t="shared" si="24"/>
        <v>0</v>
      </c>
      <c r="AJ88" s="8"/>
      <c r="AK88" s="6"/>
      <c r="AL88" s="6"/>
      <c r="AM88" s="6"/>
      <c r="AN88" s="6"/>
      <c r="AO88" s="6"/>
      <c r="AP88" s="6"/>
      <c r="AQ88" s="6"/>
      <c r="AR88" s="6"/>
      <c r="AS88" s="8">
        <f t="shared" si="16"/>
        <v>0</v>
      </c>
      <c r="AT88" s="8"/>
      <c r="AU88" s="6">
        <v>0</v>
      </c>
      <c r="AV88" s="6"/>
      <c r="AW88" s="6">
        <v>0</v>
      </c>
      <c r="AX88" s="6"/>
      <c r="AY88" s="6">
        <f t="shared" si="25"/>
        <v>0</v>
      </c>
      <c r="AZ88" s="6"/>
      <c r="BA88" s="7" t="s">
        <v>483</v>
      </c>
      <c r="BB88" s="18"/>
      <c r="BC88" s="6" t="s">
        <v>55</v>
      </c>
      <c r="BD88" s="6"/>
      <c r="BE88" s="6"/>
      <c r="BF88" s="6"/>
      <c r="BG88" s="6"/>
      <c r="BH88" s="6"/>
      <c r="BI88" s="6"/>
      <c r="BJ88" s="6"/>
      <c r="BK88" s="6"/>
      <c r="BL88" s="6"/>
      <c r="BM88" s="6">
        <f>SUM(BE88:BK88)</f>
        <v>0</v>
      </c>
      <c r="BN88" s="17" t="s">
        <v>345</v>
      </c>
      <c r="BO88" s="18" t="s">
        <v>313</v>
      </c>
    </row>
    <row r="89" spans="1:67" hidden="1" x14ac:dyDescent="0.2">
      <c r="A89" s="6" t="s">
        <v>112</v>
      </c>
      <c r="C89" s="6" t="s">
        <v>25</v>
      </c>
      <c r="D89" s="6"/>
      <c r="E89" s="6">
        <f t="shared" si="27"/>
        <v>0</v>
      </c>
      <c r="F89" s="6"/>
      <c r="G89" s="6"/>
      <c r="H89" s="6"/>
      <c r="I89" s="6"/>
      <c r="J89" s="6"/>
      <c r="K89" s="6">
        <f t="shared" si="28"/>
        <v>0</v>
      </c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>
        <f t="shared" si="26"/>
        <v>0</v>
      </c>
      <c r="X89" s="6"/>
      <c r="Y89" s="6" t="s">
        <v>112</v>
      </c>
      <c r="Z89" s="18"/>
      <c r="AA89" s="6" t="s">
        <v>25</v>
      </c>
      <c r="AB89" s="6"/>
      <c r="AC89" s="6"/>
      <c r="AD89" s="6"/>
      <c r="AE89" s="6"/>
      <c r="AF89" s="6"/>
      <c r="AG89" s="6"/>
      <c r="AH89" s="6"/>
      <c r="AI89" s="8">
        <f t="shared" si="24"/>
        <v>0</v>
      </c>
      <c r="AJ89" s="8"/>
      <c r="AK89" s="6"/>
      <c r="AL89" s="6"/>
      <c r="AM89" s="6"/>
      <c r="AN89" s="6"/>
      <c r="AO89" s="6"/>
      <c r="AP89" s="6"/>
      <c r="AQ89" s="6"/>
      <c r="AR89" s="6"/>
      <c r="AS89" s="8">
        <f t="shared" si="16"/>
        <v>0</v>
      </c>
      <c r="AT89" s="8"/>
      <c r="AU89" s="6">
        <v>0</v>
      </c>
      <c r="AV89" s="6"/>
      <c r="AW89" s="6">
        <v>0</v>
      </c>
      <c r="AX89" s="6"/>
      <c r="AY89" s="6">
        <f t="shared" si="25"/>
        <v>0</v>
      </c>
      <c r="AZ89" s="6"/>
      <c r="BA89" s="6" t="s">
        <v>112</v>
      </c>
      <c r="BB89" s="18"/>
      <c r="BC89" s="6" t="s">
        <v>25</v>
      </c>
      <c r="BD89" s="6"/>
      <c r="BE89" s="6"/>
      <c r="BF89" s="6"/>
      <c r="BG89" s="6"/>
      <c r="BH89" s="6"/>
      <c r="BI89" s="6"/>
      <c r="BJ89" s="6"/>
      <c r="BK89" s="6"/>
      <c r="BL89" s="6"/>
      <c r="BM89" s="6">
        <f t="shared" si="17"/>
        <v>0</v>
      </c>
      <c r="BN89" s="17" t="s">
        <v>345</v>
      </c>
    </row>
    <row r="90" spans="1:67" hidden="1" x14ac:dyDescent="0.2">
      <c r="A90" s="6" t="s">
        <v>113</v>
      </c>
      <c r="C90" s="6" t="s">
        <v>17</v>
      </c>
      <c r="D90" s="6"/>
      <c r="E90" s="6">
        <f t="shared" si="27"/>
        <v>0</v>
      </c>
      <c r="F90" s="6"/>
      <c r="G90" s="6"/>
      <c r="H90" s="6"/>
      <c r="I90" s="6"/>
      <c r="J90" s="6"/>
      <c r="K90" s="6">
        <f t="shared" si="28"/>
        <v>0</v>
      </c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>
        <f t="shared" si="26"/>
        <v>0</v>
      </c>
      <c r="X90" s="6"/>
      <c r="Y90" s="6" t="s">
        <v>113</v>
      </c>
      <c r="Z90" s="18"/>
      <c r="AA90" s="6" t="s">
        <v>17</v>
      </c>
      <c r="AB90" s="6"/>
      <c r="AC90" s="6"/>
      <c r="AD90" s="6"/>
      <c r="AE90" s="6"/>
      <c r="AF90" s="6"/>
      <c r="AG90" s="6"/>
      <c r="AH90" s="6"/>
      <c r="AI90" s="8">
        <f t="shared" si="24"/>
        <v>0</v>
      </c>
      <c r="AJ90" s="8"/>
      <c r="AK90" s="6"/>
      <c r="AL90" s="6"/>
      <c r="AM90" s="6"/>
      <c r="AN90" s="6"/>
      <c r="AO90" s="6"/>
      <c r="AP90" s="6"/>
      <c r="AQ90" s="6"/>
      <c r="AR90" s="6"/>
      <c r="AS90" s="8">
        <f t="shared" si="16"/>
        <v>0</v>
      </c>
      <c r="AT90" s="8"/>
      <c r="AU90" s="6">
        <v>0</v>
      </c>
      <c r="AV90" s="6"/>
      <c r="AW90" s="6">
        <v>0</v>
      </c>
      <c r="AX90" s="6"/>
      <c r="AY90" s="6">
        <f t="shared" si="25"/>
        <v>0</v>
      </c>
      <c r="AZ90" s="6"/>
      <c r="BA90" s="6" t="s">
        <v>113</v>
      </c>
      <c r="BB90" s="18"/>
      <c r="BC90" s="6" t="s">
        <v>17</v>
      </c>
      <c r="BD90" s="6"/>
      <c r="BE90" s="6"/>
      <c r="BF90" s="6"/>
      <c r="BG90" s="6"/>
      <c r="BH90" s="6"/>
      <c r="BI90" s="6"/>
      <c r="BJ90" s="6"/>
      <c r="BK90" s="6"/>
      <c r="BL90" s="6"/>
      <c r="BM90" s="6">
        <f t="shared" si="17"/>
        <v>0</v>
      </c>
      <c r="BN90" s="17" t="s">
        <v>345</v>
      </c>
    </row>
    <row r="91" spans="1:67" hidden="1" x14ac:dyDescent="0.2">
      <c r="A91" s="6" t="s">
        <v>114</v>
      </c>
      <c r="C91" s="6" t="s">
        <v>78</v>
      </c>
      <c r="D91" s="6"/>
      <c r="E91" s="6">
        <f t="shared" si="27"/>
        <v>0</v>
      </c>
      <c r="F91" s="6"/>
      <c r="G91" s="6"/>
      <c r="H91" s="6"/>
      <c r="I91" s="6"/>
      <c r="J91" s="6"/>
      <c r="K91" s="6">
        <f t="shared" si="28"/>
        <v>0</v>
      </c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>
        <f t="shared" si="26"/>
        <v>0</v>
      </c>
      <c r="X91" s="6"/>
      <c r="Y91" s="6" t="s">
        <v>114</v>
      </c>
      <c r="Z91" s="18"/>
      <c r="AA91" s="6" t="s">
        <v>78</v>
      </c>
      <c r="AB91" s="6"/>
      <c r="AC91" s="6"/>
      <c r="AD91" s="6"/>
      <c r="AE91" s="6"/>
      <c r="AF91" s="6"/>
      <c r="AG91" s="6"/>
      <c r="AH91" s="6"/>
      <c r="AI91" s="8">
        <f t="shared" si="24"/>
        <v>0</v>
      </c>
      <c r="AJ91" s="8"/>
      <c r="AK91" s="6"/>
      <c r="AL91" s="6"/>
      <c r="AM91" s="6"/>
      <c r="AN91" s="6"/>
      <c r="AO91" s="6"/>
      <c r="AP91" s="6"/>
      <c r="AQ91" s="6"/>
      <c r="AR91" s="6"/>
      <c r="AS91" s="8">
        <f t="shared" si="16"/>
        <v>0</v>
      </c>
      <c r="AT91" s="8"/>
      <c r="AU91" s="6">
        <v>0</v>
      </c>
      <c r="AV91" s="6"/>
      <c r="AW91" s="6">
        <v>0</v>
      </c>
      <c r="AX91" s="6"/>
      <c r="AY91" s="6">
        <f t="shared" si="25"/>
        <v>0</v>
      </c>
      <c r="AZ91" s="6"/>
      <c r="BA91" s="6" t="s">
        <v>114</v>
      </c>
      <c r="BB91" s="18"/>
      <c r="BC91" s="6" t="s">
        <v>78</v>
      </c>
      <c r="BD91" s="6"/>
      <c r="BE91" s="6"/>
      <c r="BF91" s="6"/>
      <c r="BG91" s="6"/>
      <c r="BH91" s="6"/>
      <c r="BI91" s="6"/>
      <c r="BJ91" s="6"/>
      <c r="BK91" s="6"/>
      <c r="BL91" s="6"/>
      <c r="BM91" s="6">
        <f t="shared" si="17"/>
        <v>0</v>
      </c>
      <c r="BN91" s="17" t="s">
        <v>345</v>
      </c>
    </row>
    <row r="92" spans="1:67" hidden="1" x14ac:dyDescent="0.2">
      <c r="A92" s="7" t="s">
        <v>115</v>
      </c>
      <c r="C92" s="6" t="s">
        <v>41</v>
      </c>
      <c r="D92" s="6"/>
      <c r="E92" s="6">
        <f t="shared" si="27"/>
        <v>0</v>
      </c>
      <c r="F92" s="6"/>
      <c r="G92" s="6"/>
      <c r="H92" s="6"/>
      <c r="I92" s="6"/>
      <c r="J92" s="6"/>
      <c r="K92" s="6">
        <f t="shared" si="28"/>
        <v>0</v>
      </c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>
        <f t="shared" si="26"/>
        <v>0</v>
      </c>
      <c r="X92" s="6"/>
      <c r="Y92" s="7" t="s">
        <v>115</v>
      </c>
      <c r="Z92" s="18"/>
      <c r="AA92" s="6" t="s">
        <v>41</v>
      </c>
      <c r="AB92" s="6"/>
      <c r="AC92" s="6"/>
      <c r="AD92" s="6"/>
      <c r="AE92" s="6"/>
      <c r="AF92" s="6"/>
      <c r="AG92" s="6"/>
      <c r="AH92" s="6"/>
      <c r="AI92" s="8">
        <f t="shared" si="24"/>
        <v>0</v>
      </c>
      <c r="AJ92" s="8"/>
      <c r="AK92" s="6"/>
      <c r="AL92" s="6"/>
      <c r="AM92" s="6"/>
      <c r="AN92" s="6"/>
      <c r="AO92" s="6"/>
      <c r="AP92" s="6"/>
      <c r="AQ92" s="6"/>
      <c r="AR92" s="6"/>
      <c r="AS92" s="8">
        <f t="shared" si="16"/>
        <v>0</v>
      </c>
      <c r="AT92" s="8"/>
      <c r="AU92" s="6">
        <v>0</v>
      </c>
      <c r="AV92" s="6"/>
      <c r="AW92" s="6">
        <v>0</v>
      </c>
      <c r="AX92" s="6"/>
      <c r="AY92" s="6">
        <f t="shared" si="25"/>
        <v>0</v>
      </c>
      <c r="AZ92" s="6"/>
      <c r="BA92" s="7" t="s">
        <v>115</v>
      </c>
      <c r="BB92" s="18"/>
      <c r="BC92" s="6" t="s">
        <v>41</v>
      </c>
      <c r="BD92" s="6"/>
      <c r="BE92" s="6"/>
      <c r="BF92" s="6"/>
      <c r="BG92" s="6"/>
      <c r="BH92" s="6"/>
      <c r="BI92" s="6"/>
      <c r="BJ92" s="6"/>
      <c r="BK92" s="6"/>
      <c r="BL92" s="6"/>
      <c r="BM92" s="6">
        <f t="shared" si="17"/>
        <v>0</v>
      </c>
      <c r="BN92" s="17" t="s">
        <v>345</v>
      </c>
    </row>
    <row r="93" spans="1:67" hidden="1" x14ac:dyDescent="0.2">
      <c r="A93" s="6" t="s">
        <v>116</v>
      </c>
      <c r="C93" s="6" t="s">
        <v>11</v>
      </c>
      <c r="D93" s="6"/>
      <c r="E93" s="6">
        <f t="shared" si="27"/>
        <v>0</v>
      </c>
      <c r="F93" s="6"/>
      <c r="G93" s="6"/>
      <c r="H93" s="6"/>
      <c r="I93" s="6"/>
      <c r="J93" s="6"/>
      <c r="K93" s="6">
        <f t="shared" si="28"/>
        <v>0</v>
      </c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>
        <f t="shared" si="26"/>
        <v>0</v>
      </c>
      <c r="X93" s="6"/>
      <c r="Y93" s="6" t="s">
        <v>116</v>
      </c>
      <c r="Z93" s="18"/>
      <c r="AA93" s="6" t="s">
        <v>11</v>
      </c>
      <c r="AB93" s="6"/>
      <c r="AC93" s="6"/>
      <c r="AD93" s="6"/>
      <c r="AE93" s="6"/>
      <c r="AF93" s="6"/>
      <c r="AG93" s="6"/>
      <c r="AH93" s="6"/>
      <c r="AI93" s="8">
        <f t="shared" si="24"/>
        <v>0</v>
      </c>
      <c r="AJ93" s="8"/>
      <c r="AK93" s="6"/>
      <c r="AL93" s="6"/>
      <c r="AM93" s="6"/>
      <c r="AN93" s="6"/>
      <c r="AO93" s="6"/>
      <c r="AP93" s="6"/>
      <c r="AQ93" s="6"/>
      <c r="AR93" s="6"/>
      <c r="AS93" s="8">
        <f t="shared" si="16"/>
        <v>0</v>
      </c>
      <c r="AT93" s="8"/>
      <c r="AU93" s="6">
        <v>0</v>
      </c>
      <c r="AV93" s="6"/>
      <c r="AW93" s="6">
        <v>0</v>
      </c>
      <c r="AX93" s="6"/>
      <c r="AY93" s="6">
        <f t="shared" si="25"/>
        <v>0</v>
      </c>
      <c r="AZ93" s="6"/>
      <c r="BA93" s="6" t="s">
        <v>116</v>
      </c>
      <c r="BB93" s="18"/>
      <c r="BC93" s="6" t="s">
        <v>11</v>
      </c>
      <c r="BD93" s="6"/>
      <c r="BE93" s="6"/>
      <c r="BF93" s="6"/>
      <c r="BG93" s="6"/>
      <c r="BH93" s="6"/>
      <c r="BI93" s="6"/>
      <c r="BJ93" s="6"/>
      <c r="BK93" s="6"/>
      <c r="BL93" s="6"/>
      <c r="BM93" s="6">
        <f t="shared" si="17"/>
        <v>0</v>
      </c>
      <c r="BN93" s="17" t="s">
        <v>345</v>
      </c>
    </row>
    <row r="94" spans="1:67" hidden="1" x14ac:dyDescent="0.2">
      <c r="A94" s="6" t="s">
        <v>118</v>
      </c>
      <c r="C94" s="6" t="s">
        <v>119</v>
      </c>
      <c r="D94" s="6"/>
      <c r="E94" s="6">
        <f t="shared" si="27"/>
        <v>0</v>
      </c>
      <c r="F94" s="6"/>
      <c r="G94" s="6"/>
      <c r="H94" s="6"/>
      <c r="I94" s="6"/>
      <c r="J94" s="6"/>
      <c r="K94" s="6">
        <f t="shared" si="28"/>
        <v>0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>
        <f t="shared" si="26"/>
        <v>0</v>
      </c>
      <c r="X94" s="6"/>
      <c r="Y94" s="6" t="s">
        <v>118</v>
      </c>
      <c r="Z94" s="18"/>
      <c r="AA94" s="6" t="s">
        <v>119</v>
      </c>
      <c r="AB94" s="6"/>
      <c r="AC94" s="6"/>
      <c r="AD94" s="6"/>
      <c r="AE94" s="6"/>
      <c r="AF94" s="6"/>
      <c r="AG94" s="6"/>
      <c r="AH94" s="6"/>
      <c r="AI94" s="8">
        <f t="shared" si="24"/>
        <v>0</v>
      </c>
      <c r="AJ94" s="8"/>
      <c r="AK94" s="6"/>
      <c r="AL94" s="6"/>
      <c r="AM94" s="6"/>
      <c r="AN94" s="6"/>
      <c r="AO94" s="6"/>
      <c r="AP94" s="6"/>
      <c r="AQ94" s="6"/>
      <c r="AR94" s="6"/>
      <c r="AS94" s="8">
        <f t="shared" si="16"/>
        <v>0</v>
      </c>
      <c r="AT94" s="8"/>
      <c r="AU94" s="6">
        <v>0</v>
      </c>
      <c r="AV94" s="6"/>
      <c r="AW94" s="6">
        <v>0</v>
      </c>
      <c r="AX94" s="6"/>
      <c r="AY94" s="6">
        <f t="shared" si="25"/>
        <v>0</v>
      </c>
      <c r="AZ94" s="6"/>
      <c r="BA94" s="6" t="s">
        <v>118</v>
      </c>
      <c r="BB94" s="18"/>
      <c r="BC94" s="6" t="s">
        <v>119</v>
      </c>
      <c r="BD94" s="6"/>
      <c r="BE94" s="6"/>
      <c r="BF94" s="6"/>
      <c r="BG94" s="6"/>
      <c r="BH94" s="6"/>
      <c r="BI94" s="6"/>
      <c r="BJ94" s="6"/>
      <c r="BK94" s="6"/>
      <c r="BL94" s="6"/>
      <c r="BM94" s="6">
        <f t="shared" si="17"/>
        <v>0</v>
      </c>
      <c r="BN94" s="17" t="s">
        <v>345</v>
      </c>
      <c r="BO94" s="18" t="s">
        <v>369</v>
      </c>
    </row>
    <row r="95" spans="1:67" hidden="1" x14ac:dyDescent="0.2">
      <c r="A95" s="6" t="s">
        <v>120</v>
      </c>
      <c r="C95" s="6" t="s">
        <v>41</v>
      </c>
      <c r="D95" s="6"/>
      <c r="E95" s="6">
        <f t="shared" si="27"/>
        <v>0</v>
      </c>
      <c r="F95" s="6"/>
      <c r="G95" s="6"/>
      <c r="H95" s="6"/>
      <c r="I95" s="6"/>
      <c r="J95" s="6"/>
      <c r="K95" s="6">
        <f t="shared" si="28"/>
        <v>0</v>
      </c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>
        <f t="shared" si="26"/>
        <v>0</v>
      </c>
      <c r="X95" s="6"/>
      <c r="Y95" s="6" t="s">
        <v>120</v>
      </c>
      <c r="Z95" s="18"/>
      <c r="AA95" s="6" t="s">
        <v>41</v>
      </c>
      <c r="AB95" s="6"/>
      <c r="AC95" s="6"/>
      <c r="AD95" s="6"/>
      <c r="AE95" s="6"/>
      <c r="AF95" s="6"/>
      <c r="AG95" s="6"/>
      <c r="AH95" s="6"/>
      <c r="AI95" s="8">
        <f t="shared" si="24"/>
        <v>0</v>
      </c>
      <c r="AJ95" s="8"/>
      <c r="AK95" s="6"/>
      <c r="AL95" s="6"/>
      <c r="AM95" s="6"/>
      <c r="AN95" s="6"/>
      <c r="AO95" s="6"/>
      <c r="AP95" s="6"/>
      <c r="AQ95" s="6"/>
      <c r="AR95" s="6"/>
      <c r="AS95" s="8">
        <f t="shared" si="16"/>
        <v>0</v>
      </c>
      <c r="AT95" s="8"/>
      <c r="AU95" s="6">
        <v>0</v>
      </c>
      <c r="AV95" s="6"/>
      <c r="AW95" s="6">
        <v>0</v>
      </c>
      <c r="AX95" s="6"/>
      <c r="AY95" s="6">
        <f t="shared" si="25"/>
        <v>0</v>
      </c>
      <c r="AZ95" s="6"/>
      <c r="BA95" s="6" t="s">
        <v>120</v>
      </c>
      <c r="BB95" s="18"/>
      <c r="BC95" s="6" t="s">
        <v>41</v>
      </c>
      <c r="BD95" s="6"/>
      <c r="BE95" s="6"/>
      <c r="BF95" s="6"/>
      <c r="BG95" s="6"/>
      <c r="BH95" s="6"/>
      <c r="BI95" s="6"/>
      <c r="BJ95" s="6"/>
      <c r="BK95" s="6"/>
      <c r="BL95" s="6"/>
      <c r="BM95" s="6">
        <f t="shared" si="17"/>
        <v>0</v>
      </c>
      <c r="BN95" s="17" t="s">
        <v>345</v>
      </c>
    </row>
    <row r="96" spans="1:67" hidden="1" x14ac:dyDescent="0.2">
      <c r="A96" s="6" t="s">
        <v>494</v>
      </c>
      <c r="C96" s="6" t="s">
        <v>41</v>
      </c>
      <c r="D96" s="6"/>
      <c r="E96" s="6">
        <f t="shared" si="27"/>
        <v>0</v>
      </c>
      <c r="F96" s="6"/>
      <c r="G96" s="6"/>
      <c r="H96" s="6"/>
      <c r="I96" s="6"/>
      <c r="J96" s="6"/>
      <c r="K96" s="6">
        <f t="shared" si="28"/>
        <v>0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>
        <f t="shared" si="26"/>
        <v>0</v>
      </c>
      <c r="X96" s="6"/>
      <c r="Y96" s="6" t="s">
        <v>494</v>
      </c>
      <c r="Z96" s="14"/>
      <c r="AA96" s="6" t="s">
        <v>41</v>
      </c>
      <c r="AB96" s="6"/>
      <c r="AC96" s="6"/>
      <c r="AD96" s="6"/>
      <c r="AE96" s="6"/>
      <c r="AF96" s="6"/>
      <c r="AG96" s="6"/>
      <c r="AH96" s="6"/>
      <c r="AI96" s="8">
        <f t="shared" si="24"/>
        <v>0</v>
      </c>
      <c r="AJ96" s="8"/>
      <c r="AK96" s="6"/>
      <c r="AL96" s="6"/>
      <c r="AM96" s="6"/>
      <c r="AN96" s="6"/>
      <c r="AO96" s="6"/>
      <c r="AP96" s="6"/>
      <c r="AQ96" s="6"/>
      <c r="AR96" s="6"/>
      <c r="AS96" s="8">
        <f t="shared" si="16"/>
        <v>0</v>
      </c>
      <c r="AT96" s="8"/>
      <c r="AU96" s="6"/>
      <c r="AV96" s="6"/>
      <c r="AW96" s="6"/>
      <c r="AX96" s="6"/>
      <c r="AY96" s="6">
        <f t="shared" si="25"/>
        <v>0</v>
      </c>
      <c r="AZ96" s="6"/>
      <c r="BA96" s="6" t="s">
        <v>494</v>
      </c>
      <c r="BB96" s="14"/>
      <c r="BC96" s="6" t="s">
        <v>41</v>
      </c>
      <c r="BD96" s="6"/>
      <c r="BE96" s="6"/>
      <c r="BF96" s="6"/>
      <c r="BG96" s="6"/>
      <c r="BH96" s="6"/>
      <c r="BI96" s="6"/>
      <c r="BJ96" s="6"/>
      <c r="BK96" s="6"/>
      <c r="BL96" s="6"/>
      <c r="BM96" s="6">
        <f t="shared" si="17"/>
        <v>0</v>
      </c>
      <c r="BN96" s="17"/>
    </row>
    <row r="97" spans="1:67" hidden="1" x14ac:dyDescent="0.2">
      <c r="A97" s="7" t="s">
        <v>43</v>
      </c>
      <c r="C97" s="6" t="s">
        <v>101</v>
      </c>
      <c r="D97" s="6"/>
      <c r="E97" s="6">
        <f t="shared" si="27"/>
        <v>0</v>
      </c>
      <c r="F97" s="6"/>
      <c r="G97" s="6"/>
      <c r="H97" s="6"/>
      <c r="I97" s="6"/>
      <c r="J97" s="6"/>
      <c r="K97" s="6">
        <f t="shared" si="28"/>
        <v>0</v>
      </c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>
        <f t="shared" si="26"/>
        <v>0</v>
      </c>
      <c r="X97" s="6"/>
      <c r="Y97" s="7" t="s">
        <v>43</v>
      </c>
      <c r="Z97" s="18"/>
      <c r="AA97" s="6" t="s">
        <v>101</v>
      </c>
      <c r="AB97" s="6"/>
      <c r="AC97" s="6"/>
      <c r="AD97" s="6"/>
      <c r="AE97" s="6"/>
      <c r="AF97" s="6"/>
      <c r="AG97" s="6"/>
      <c r="AH97" s="6"/>
      <c r="AI97" s="8">
        <f t="shared" si="24"/>
        <v>0</v>
      </c>
      <c r="AJ97" s="8"/>
      <c r="AK97" s="6"/>
      <c r="AL97" s="6"/>
      <c r="AM97" s="6"/>
      <c r="AN97" s="6"/>
      <c r="AO97" s="6"/>
      <c r="AP97" s="6"/>
      <c r="AQ97" s="6"/>
      <c r="AR97" s="6"/>
      <c r="AS97" s="8">
        <f t="shared" si="16"/>
        <v>0</v>
      </c>
      <c r="AT97" s="8"/>
      <c r="AU97" s="6">
        <v>0</v>
      </c>
      <c r="AV97" s="6"/>
      <c r="AW97" s="6">
        <v>0</v>
      </c>
      <c r="AX97" s="6"/>
      <c r="AY97" s="6">
        <f t="shared" si="25"/>
        <v>0</v>
      </c>
      <c r="AZ97" s="6"/>
      <c r="BA97" s="7" t="s">
        <v>43</v>
      </c>
      <c r="BB97" s="18"/>
      <c r="BC97" s="6" t="s">
        <v>101</v>
      </c>
      <c r="BD97" s="6"/>
      <c r="BE97" s="6"/>
      <c r="BF97" s="6"/>
      <c r="BG97" s="6"/>
      <c r="BH97" s="6"/>
      <c r="BI97" s="6"/>
      <c r="BJ97" s="6"/>
      <c r="BK97" s="6"/>
      <c r="BL97" s="6"/>
      <c r="BM97" s="6">
        <f t="shared" si="17"/>
        <v>0</v>
      </c>
      <c r="BN97" s="17" t="s">
        <v>345</v>
      </c>
      <c r="BO97" s="18" t="s">
        <v>313</v>
      </c>
    </row>
    <row r="98" spans="1:67" hidden="1" x14ac:dyDescent="0.2">
      <c r="A98" s="7" t="s">
        <v>121</v>
      </c>
      <c r="C98" s="6" t="s">
        <v>43</v>
      </c>
      <c r="D98" s="6"/>
      <c r="E98" s="6">
        <f t="shared" si="27"/>
        <v>0</v>
      </c>
      <c r="F98" s="6"/>
      <c r="G98" s="6"/>
      <c r="H98" s="6"/>
      <c r="I98" s="6"/>
      <c r="J98" s="6"/>
      <c r="K98" s="6">
        <f t="shared" si="28"/>
        <v>0</v>
      </c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>
        <f t="shared" si="26"/>
        <v>0</v>
      </c>
      <c r="X98" s="6"/>
      <c r="Y98" s="7" t="s">
        <v>121</v>
      </c>
      <c r="Z98" s="18"/>
      <c r="AA98" s="6" t="s">
        <v>43</v>
      </c>
      <c r="AB98" s="6"/>
      <c r="AC98" s="6"/>
      <c r="AD98" s="6"/>
      <c r="AE98" s="6"/>
      <c r="AF98" s="6"/>
      <c r="AG98" s="6"/>
      <c r="AH98" s="6"/>
      <c r="AI98" s="8">
        <f t="shared" si="24"/>
        <v>0</v>
      </c>
      <c r="AJ98" s="8"/>
      <c r="AK98" s="6"/>
      <c r="AL98" s="6"/>
      <c r="AM98" s="6"/>
      <c r="AN98" s="6"/>
      <c r="AO98" s="6"/>
      <c r="AP98" s="6"/>
      <c r="AQ98" s="6"/>
      <c r="AR98" s="6"/>
      <c r="AS98" s="8">
        <f t="shared" si="16"/>
        <v>0</v>
      </c>
      <c r="AT98" s="8"/>
      <c r="AU98" s="6">
        <v>0</v>
      </c>
      <c r="AV98" s="6"/>
      <c r="AW98" s="6">
        <v>0</v>
      </c>
      <c r="AX98" s="6"/>
      <c r="AY98" s="6">
        <f t="shared" si="25"/>
        <v>0</v>
      </c>
      <c r="AZ98" s="6"/>
      <c r="BA98" s="7" t="s">
        <v>121</v>
      </c>
      <c r="BB98" s="18"/>
      <c r="BC98" s="6" t="s">
        <v>43</v>
      </c>
      <c r="BD98" s="6"/>
      <c r="BE98" s="6"/>
      <c r="BF98" s="6"/>
      <c r="BG98" s="6"/>
      <c r="BH98" s="6"/>
      <c r="BI98" s="6"/>
      <c r="BJ98" s="6"/>
      <c r="BK98" s="6"/>
      <c r="BL98" s="6"/>
      <c r="BM98" s="6">
        <f t="shared" si="17"/>
        <v>0</v>
      </c>
      <c r="BN98" s="17" t="s">
        <v>345</v>
      </c>
    </row>
    <row r="99" spans="1:67" hidden="1" x14ac:dyDescent="0.2">
      <c r="A99" s="6" t="s">
        <v>122</v>
      </c>
      <c r="C99" s="6" t="s">
        <v>123</v>
      </c>
      <c r="D99" s="6"/>
      <c r="E99" s="6">
        <f t="shared" si="27"/>
        <v>0</v>
      </c>
      <c r="F99" s="6"/>
      <c r="G99" s="6"/>
      <c r="H99" s="6"/>
      <c r="I99" s="6"/>
      <c r="J99" s="6"/>
      <c r="K99" s="6">
        <f t="shared" si="28"/>
        <v>0</v>
      </c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>
        <f t="shared" si="26"/>
        <v>0</v>
      </c>
      <c r="X99" s="6"/>
      <c r="Y99" s="6" t="s">
        <v>122</v>
      </c>
      <c r="Z99" s="18"/>
      <c r="AA99" s="6" t="s">
        <v>123</v>
      </c>
      <c r="AB99" s="6"/>
      <c r="AC99" s="6"/>
      <c r="AD99" s="6"/>
      <c r="AE99" s="6"/>
      <c r="AF99" s="6"/>
      <c r="AG99" s="6"/>
      <c r="AH99" s="6"/>
      <c r="AI99" s="8">
        <f t="shared" si="24"/>
        <v>0</v>
      </c>
      <c r="AJ99" s="8"/>
      <c r="AK99" s="6"/>
      <c r="AL99" s="6"/>
      <c r="AM99" s="6"/>
      <c r="AN99" s="6"/>
      <c r="AO99" s="6"/>
      <c r="AP99" s="6"/>
      <c r="AQ99" s="6"/>
      <c r="AR99" s="6"/>
      <c r="AS99" s="8">
        <f t="shared" si="16"/>
        <v>0</v>
      </c>
      <c r="AT99" s="8"/>
      <c r="AU99" s="6">
        <v>0</v>
      </c>
      <c r="AV99" s="6"/>
      <c r="AW99" s="6">
        <v>0</v>
      </c>
      <c r="AX99" s="6"/>
      <c r="AY99" s="6">
        <f t="shared" si="25"/>
        <v>0</v>
      </c>
      <c r="AZ99" s="6"/>
      <c r="BA99" s="6" t="s">
        <v>122</v>
      </c>
      <c r="BB99" s="18"/>
      <c r="BC99" s="6" t="s">
        <v>123</v>
      </c>
      <c r="BD99" s="6"/>
      <c r="BE99" s="6"/>
      <c r="BF99" s="6"/>
      <c r="BG99" s="6"/>
      <c r="BH99" s="6"/>
      <c r="BI99" s="6"/>
      <c r="BJ99" s="6"/>
      <c r="BK99" s="6"/>
      <c r="BL99" s="6"/>
      <c r="BM99" s="6">
        <f t="shared" si="17"/>
        <v>0</v>
      </c>
      <c r="BN99" s="17" t="s">
        <v>345</v>
      </c>
    </row>
    <row r="100" spans="1:67" hidden="1" x14ac:dyDescent="0.2">
      <c r="A100" s="6" t="s">
        <v>124</v>
      </c>
      <c r="C100" s="6" t="s">
        <v>25</v>
      </c>
      <c r="D100" s="6"/>
      <c r="E100" s="6">
        <f t="shared" si="27"/>
        <v>0</v>
      </c>
      <c r="F100" s="6"/>
      <c r="G100" s="6"/>
      <c r="H100" s="6"/>
      <c r="I100" s="6"/>
      <c r="J100" s="6"/>
      <c r="K100" s="6">
        <f t="shared" si="28"/>
        <v>0</v>
      </c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>
        <f t="shared" si="26"/>
        <v>0</v>
      </c>
      <c r="X100" s="6"/>
      <c r="Y100" s="6" t="s">
        <v>124</v>
      </c>
      <c r="Z100" s="18"/>
      <c r="AA100" s="6" t="s">
        <v>25</v>
      </c>
      <c r="AB100" s="6"/>
      <c r="AC100" s="6"/>
      <c r="AD100" s="6"/>
      <c r="AE100" s="6"/>
      <c r="AF100" s="6"/>
      <c r="AG100" s="6"/>
      <c r="AH100" s="6"/>
      <c r="AI100" s="8">
        <f t="shared" si="24"/>
        <v>0</v>
      </c>
      <c r="AJ100" s="8"/>
      <c r="AK100" s="6"/>
      <c r="AL100" s="6"/>
      <c r="AM100" s="6"/>
      <c r="AN100" s="6"/>
      <c r="AO100" s="6"/>
      <c r="AP100" s="6"/>
      <c r="AQ100" s="6"/>
      <c r="AR100" s="6"/>
      <c r="AS100" s="8">
        <f t="shared" si="16"/>
        <v>0</v>
      </c>
      <c r="AT100" s="8"/>
      <c r="AU100" s="6">
        <v>0</v>
      </c>
      <c r="AV100" s="6"/>
      <c r="AW100" s="6">
        <v>0</v>
      </c>
      <c r="AX100" s="6"/>
      <c r="AY100" s="6">
        <f t="shared" si="25"/>
        <v>0</v>
      </c>
      <c r="AZ100" s="6"/>
      <c r="BA100" s="6" t="s">
        <v>124</v>
      </c>
      <c r="BB100" s="18"/>
      <c r="BC100" s="6" t="s">
        <v>25</v>
      </c>
      <c r="BD100" s="6"/>
      <c r="BE100" s="6"/>
      <c r="BF100" s="6"/>
      <c r="BG100" s="6"/>
      <c r="BH100" s="6"/>
      <c r="BI100" s="6"/>
      <c r="BJ100" s="6"/>
      <c r="BK100" s="6"/>
      <c r="BL100" s="6"/>
      <c r="BM100" s="6">
        <f t="shared" si="17"/>
        <v>0</v>
      </c>
      <c r="BN100" s="17" t="s">
        <v>345</v>
      </c>
    </row>
    <row r="101" spans="1:67" hidden="1" x14ac:dyDescent="0.2">
      <c r="A101" s="6" t="s">
        <v>125</v>
      </c>
      <c r="C101" s="6" t="s">
        <v>41</v>
      </c>
      <c r="D101" s="6"/>
      <c r="E101" s="6">
        <f t="shared" si="27"/>
        <v>0</v>
      </c>
      <c r="F101" s="6"/>
      <c r="G101" s="6"/>
      <c r="H101" s="6"/>
      <c r="I101" s="6"/>
      <c r="J101" s="6"/>
      <c r="K101" s="6">
        <f t="shared" si="28"/>
        <v>0</v>
      </c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>
        <f t="shared" si="26"/>
        <v>0</v>
      </c>
      <c r="X101" s="6"/>
      <c r="Y101" s="6" t="s">
        <v>125</v>
      </c>
      <c r="Z101" s="18"/>
      <c r="AA101" s="6" t="s">
        <v>41</v>
      </c>
      <c r="AB101" s="6"/>
      <c r="AC101" s="6"/>
      <c r="AD101" s="6"/>
      <c r="AE101" s="6"/>
      <c r="AF101" s="6"/>
      <c r="AG101" s="6"/>
      <c r="AH101" s="6"/>
      <c r="AI101" s="8">
        <f t="shared" si="24"/>
        <v>0</v>
      </c>
      <c r="AJ101" s="8"/>
      <c r="AK101" s="6"/>
      <c r="AL101" s="6"/>
      <c r="AM101" s="6"/>
      <c r="AN101" s="6"/>
      <c r="AO101" s="6"/>
      <c r="AP101" s="6"/>
      <c r="AQ101" s="6"/>
      <c r="AR101" s="6"/>
      <c r="AS101" s="8">
        <f t="shared" si="16"/>
        <v>0</v>
      </c>
      <c r="AT101" s="8"/>
      <c r="AU101" s="6">
        <v>0</v>
      </c>
      <c r="AV101" s="6"/>
      <c r="AW101" s="6">
        <v>0</v>
      </c>
      <c r="AX101" s="6"/>
      <c r="AY101" s="6">
        <f t="shared" si="25"/>
        <v>0</v>
      </c>
      <c r="AZ101" s="6"/>
      <c r="BA101" s="6" t="s">
        <v>125</v>
      </c>
      <c r="BB101" s="18"/>
      <c r="BC101" s="6" t="s">
        <v>41</v>
      </c>
      <c r="BD101" s="6"/>
      <c r="BE101" s="6"/>
      <c r="BF101" s="6"/>
      <c r="BG101" s="6"/>
      <c r="BH101" s="6"/>
      <c r="BI101" s="6"/>
      <c r="BJ101" s="6"/>
      <c r="BK101" s="6"/>
      <c r="BL101" s="6"/>
      <c r="BM101" s="6">
        <f t="shared" ref="BM101:BM144" si="29">SUM(BE101:BK101)</f>
        <v>0</v>
      </c>
      <c r="BN101" s="17" t="s">
        <v>345</v>
      </c>
    </row>
    <row r="102" spans="1:67" hidden="1" x14ac:dyDescent="0.2">
      <c r="A102" s="6" t="s">
        <v>126</v>
      </c>
      <c r="C102" s="6" t="s">
        <v>117</v>
      </c>
      <c r="D102" s="6"/>
      <c r="E102" s="6">
        <f t="shared" si="27"/>
        <v>0</v>
      </c>
      <c r="F102" s="6"/>
      <c r="G102" s="6"/>
      <c r="H102" s="6"/>
      <c r="I102" s="6"/>
      <c r="J102" s="6"/>
      <c r="K102" s="6">
        <f t="shared" si="28"/>
        <v>0</v>
      </c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>
        <f t="shared" si="26"/>
        <v>0</v>
      </c>
      <c r="X102" s="6"/>
      <c r="Y102" s="6" t="s">
        <v>126</v>
      </c>
      <c r="Z102" s="18"/>
      <c r="AA102" s="6" t="s">
        <v>117</v>
      </c>
      <c r="AB102" s="6"/>
      <c r="AC102" s="6"/>
      <c r="AD102" s="6"/>
      <c r="AE102" s="6"/>
      <c r="AF102" s="6"/>
      <c r="AG102" s="6"/>
      <c r="AH102" s="6"/>
      <c r="AI102" s="8">
        <f t="shared" si="24"/>
        <v>0</v>
      </c>
      <c r="AJ102" s="8"/>
      <c r="AK102" s="6"/>
      <c r="AL102" s="6"/>
      <c r="AM102" s="6"/>
      <c r="AN102" s="6"/>
      <c r="AO102" s="6"/>
      <c r="AP102" s="6"/>
      <c r="AQ102" s="6"/>
      <c r="AR102" s="6"/>
      <c r="AS102" s="8">
        <f t="shared" si="16"/>
        <v>0</v>
      </c>
      <c r="AT102" s="8"/>
      <c r="AU102" s="6">
        <v>0</v>
      </c>
      <c r="AV102" s="6"/>
      <c r="AW102" s="6">
        <v>0</v>
      </c>
      <c r="AX102" s="6"/>
      <c r="AY102" s="6">
        <f t="shared" si="25"/>
        <v>0</v>
      </c>
      <c r="AZ102" s="6"/>
      <c r="BA102" s="6" t="s">
        <v>126</v>
      </c>
      <c r="BB102" s="18"/>
      <c r="BC102" s="6" t="s">
        <v>117</v>
      </c>
      <c r="BD102" s="6"/>
      <c r="BE102" s="6"/>
      <c r="BF102" s="6"/>
      <c r="BG102" s="6"/>
      <c r="BH102" s="6"/>
      <c r="BI102" s="6"/>
      <c r="BJ102" s="6"/>
      <c r="BK102" s="6"/>
      <c r="BL102" s="6"/>
      <c r="BM102" s="6">
        <f t="shared" si="29"/>
        <v>0</v>
      </c>
      <c r="BN102" s="17" t="s">
        <v>345</v>
      </c>
    </row>
    <row r="103" spans="1:67" ht="12" hidden="1" x14ac:dyDescent="0.2">
      <c r="A103" s="6" t="s">
        <v>127</v>
      </c>
      <c r="B103" s="18"/>
      <c r="C103" s="6" t="s">
        <v>78</v>
      </c>
      <c r="D103" s="6"/>
      <c r="E103" s="6">
        <f t="shared" si="27"/>
        <v>0</v>
      </c>
      <c r="F103" s="6"/>
      <c r="G103" s="6"/>
      <c r="H103" s="6"/>
      <c r="I103" s="6"/>
      <c r="J103" s="6"/>
      <c r="K103" s="6">
        <f t="shared" si="28"/>
        <v>0</v>
      </c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>
        <f t="shared" si="26"/>
        <v>0</v>
      </c>
      <c r="X103" s="6"/>
      <c r="Y103" s="6" t="s">
        <v>127</v>
      </c>
      <c r="Z103" s="18"/>
      <c r="AA103" s="6" t="s">
        <v>78</v>
      </c>
      <c r="AB103" s="6"/>
      <c r="AC103" s="6"/>
      <c r="AD103" s="6"/>
      <c r="AE103" s="6"/>
      <c r="AF103" s="6"/>
      <c r="AG103" s="6"/>
      <c r="AH103" s="6"/>
      <c r="AI103" s="8">
        <f t="shared" si="24"/>
        <v>0</v>
      </c>
      <c r="AJ103" s="8"/>
      <c r="AK103" s="6"/>
      <c r="AL103" s="6"/>
      <c r="AM103" s="6"/>
      <c r="AN103" s="6"/>
      <c r="AO103" s="6"/>
      <c r="AP103" s="6"/>
      <c r="AQ103" s="6"/>
      <c r="AR103" s="6"/>
      <c r="AS103" s="8">
        <f t="shared" si="16"/>
        <v>0</v>
      </c>
      <c r="AT103" s="8"/>
      <c r="AU103" s="6">
        <v>0</v>
      </c>
      <c r="AV103" s="6"/>
      <c r="AW103" s="6">
        <v>0</v>
      </c>
      <c r="AX103" s="6"/>
      <c r="AY103" s="6">
        <f t="shared" si="25"/>
        <v>0</v>
      </c>
      <c r="AZ103" s="6"/>
      <c r="BA103" s="6" t="s">
        <v>127</v>
      </c>
      <c r="BB103" s="18"/>
      <c r="BC103" s="6" t="s">
        <v>78</v>
      </c>
      <c r="BD103" s="6"/>
      <c r="BE103" s="6"/>
      <c r="BF103" s="6"/>
      <c r="BG103" s="6"/>
      <c r="BH103" s="6"/>
      <c r="BI103" s="6"/>
      <c r="BJ103" s="6"/>
      <c r="BK103" s="6"/>
      <c r="BL103" s="6"/>
      <c r="BM103" s="6">
        <f t="shared" si="29"/>
        <v>0</v>
      </c>
      <c r="BN103" s="17" t="s">
        <v>345</v>
      </c>
    </row>
    <row r="104" spans="1:67" hidden="1" x14ac:dyDescent="0.2">
      <c r="A104" s="6" t="s">
        <v>128</v>
      </c>
      <c r="C104" s="6" t="s">
        <v>64</v>
      </c>
      <c r="D104" s="6"/>
      <c r="E104" s="6">
        <f t="shared" si="27"/>
        <v>0</v>
      </c>
      <c r="F104" s="6"/>
      <c r="G104" s="6"/>
      <c r="H104" s="6"/>
      <c r="I104" s="6"/>
      <c r="J104" s="6"/>
      <c r="K104" s="6">
        <f t="shared" si="28"/>
        <v>0</v>
      </c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>
        <f t="shared" si="26"/>
        <v>0</v>
      </c>
      <c r="X104" s="6"/>
      <c r="Y104" s="6" t="s">
        <v>128</v>
      </c>
      <c r="Z104" s="18"/>
      <c r="AA104" s="6" t="s">
        <v>64</v>
      </c>
      <c r="AB104" s="6"/>
      <c r="AC104" s="6"/>
      <c r="AD104" s="6"/>
      <c r="AE104" s="6"/>
      <c r="AF104" s="6"/>
      <c r="AG104" s="6"/>
      <c r="AH104" s="6"/>
      <c r="AI104" s="8">
        <f t="shared" si="24"/>
        <v>0</v>
      </c>
      <c r="AJ104" s="8"/>
      <c r="AK104" s="6"/>
      <c r="AL104" s="6"/>
      <c r="AM104" s="6"/>
      <c r="AN104" s="6"/>
      <c r="AO104" s="6"/>
      <c r="AP104" s="6"/>
      <c r="AQ104" s="6"/>
      <c r="AR104" s="6"/>
      <c r="AS104" s="8">
        <f t="shared" si="16"/>
        <v>0</v>
      </c>
      <c r="AT104" s="8"/>
      <c r="AU104" s="6">
        <v>0</v>
      </c>
      <c r="AV104" s="6"/>
      <c r="AW104" s="6">
        <v>0</v>
      </c>
      <c r="AX104" s="6"/>
      <c r="AY104" s="6">
        <f t="shared" si="25"/>
        <v>0</v>
      </c>
      <c r="AZ104" s="6"/>
      <c r="BA104" s="6" t="s">
        <v>128</v>
      </c>
      <c r="BB104" s="18"/>
      <c r="BC104" s="6" t="s">
        <v>64</v>
      </c>
      <c r="BD104" s="6"/>
      <c r="BE104" s="6"/>
      <c r="BF104" s="6"/>
      <c r="BG104" s="6"/>
      <c r="BH104" s="6"/>
      <c r="BI104" s="6"/>
      <c r="BJ104" s="6"/>
      <c r="BK104" s="6"/>
      <c r="BL104" s="6"/>
      <c r="BM104" s="6">
        <f t="shared" si="29"/>
        <v>0</v>
      </c>
      <c r="BN104" s="17" t="s">
        <v>345</v>
      </c>
    </row>
    <row r="105" spans="1:67" hidden="1" x14ac:dyDescent="0.2">
      <c r="A105" s="6" t="s">
        <v>129</v>
      </c>
      <c r="C105" s="6" t="s">
        <v>11</v>
      </c>
      <c r="D105" s="6"/>
      <c r="E105" s="6">
        <f t="shared" si="27"/>
        <v>0</v>
      </c>
      <c r="F105" s="6"/>
      <c r="G105" s="6"/>
      <c r="H105" s="6"/>
      <c r="I105" s="6"/>
      <c r="J105" s="6"/>
      <c r="K105" s="6">
        <f t="shared" si="28"/>
        <v>0</v>
      </c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>
        <f t="shared" si="26"/>
        <v>0</v>
      </c>
      <c r="X105" s="6"/>
      <c r="Y105" s="6" t="s">
        <v>129</v>
      </c>
      <c r="Z105" s="18"/>
      <c r="AA105" s="6" t="s">
        <v>11</v>
      </c>
      <c r="AB105" s="6"/>
      <c r="AC105" s="6"/>
      <c r="AD105" s="6"/>
      <c r="AE105" s="6"/>
      <c r="AF105" s="6"/>
      <c r="AG105" s="6"/>
      <c r="AH105" s="6"/>
      <c r="AI105" s="8">
        <f t="shared" si="24"/>
        <v>0</v>
      </c>
      <c r="AJ105" s="8"/>
      <c r="AK105" s="6"/>
      <c r="AL105" s="6"/>
      <c r="AM105" s="6"/>
      <c r="AN105" s="6"/>
      <c r="AO105" s="6"/>
      <c r="AP105" s="6"/>
      <c r="AQ105" s="6"/>
      <c r="AR105" s="6"/>
      <c r="AS105" s="8">
        <f t="shared" ref="AS105:AS170" si="30">+AI105+AK105+AM105-AO105+AQ105</f>
        <v>0</v>
      </c>
      <c r="AT105" s="8"/>
      <c r="AU105" s="6">
        <v>0</v>
      </c>
      <c r="AV105" s="6"/>
      <c r="AW105" s="6">
        <v>0</v>
      </c>
      <c r="AX105" s="6"/>
      <c r="AY105" s="6">
        <f t="shared" si="25"/>
        <v>0</v>
      </c>
      <c r="AZ105" s="6"/>
      <c r="BA105" s="6" t="s">
        <v>129</v>
      </c>
      <c r="BB105" s="18"/>
      <c r="BC105" s="6" t="s">
        <v>11</v>
      </c>
      <c r="BD105" s="6"/>
      <c r="BE105" s="6"/>
      <c r="BF105" s="6"/>
      <c r="BG105" s="6"/>
      <c r="BH105" s="6"/>
      <c r="BI105" s="6"/>
      <c r="BJ105" s="6"/>
      <c r="BK105" s="6"/>
      <c r="BL105" s="6"/>
      <c r="BM105" s="6">
        <f t="shared" si="29"/>
        <v>0</v>
      </c>
      <c r="BN105" s="17" t="s">
        <v>345</v>
      </c>
    </row>
    <row r="106" spans="1:67" hidden="1" x14ac:dyDescent="0.2">
      <c r="A106" s="6" t="s">
        <v>36</v>
      </c>
      <c r="C106" s="6" t="s">
        <v>130</v>
      </c>
      <c r="D106" s="6"/>
      <c r="E106" s="6">
        <f t="shared" si="27"/>
        <v>0</v>
      </c>
      <c r="F106" s="6"/>
      <c r="G106" s="6"/>
      <c r="H106" s="6"/>
      <c r="I106" s="6"/>
      <c r="J106" s="6"/>
      <c r="K106" s="6">
        <f t="shared" si="28"/>
        <v>0</v>
      </c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>
        <f t="shared" si="26"/>
        <v>0</v>
      </c>
      <c r="X106" s="6"/>
      <c r="Y106" s="6" t="s">
        <v>36</v>
      </c>
      <c r="Z106" s="18"/>
      <c r="AA106" s="6" t="s">
        <v>130</v>
      </c>
      <c r="AB106" s="6"/>
      <c r="AC106" s="6"/>
      <c r="AD106" s="6"/>
      <c r="AE106" s="6"/>
      <c r="AF106" s="6"/>
      <c r="AG106" s="6"/>
      <c r="AH106" s="6"/>
      <c r="AI106" s="8">
        <f t="shared" si="24"/>
        <v>0</v>
      </c>
      <c r="AJ106" s="8"/>
      <c r="AK106" s="6"/>
      <c r="AL106" s="6"/>
      <c r="AM106" s="6"/>
      <c r="AN106" s="6"/>
      <c r="AO106" s="6"/>
      <c r="AP106" s="6"/>
      <c r="AQ106" s="6"/>
      <c r="AR106" s="6"/>
      <c r="AS106" s="8">
        <f t="shared" si="30"/>
        <v>0</v>
      </c>
      <c r="AT106" s="8"/>
      <c r="AU106" s="6">
        <v>0</v>
      </c>
      <c r="AV106" s="6"/>
      <c r="AW106" s="6">
        <v>0</v>
      </c>
      <c r="AX106" s="6"/>
      <c r="AY106" s="6">
        <f t="shared" si="25"/>
        <v>0</v>
      </c>
      <c r="AZ106" s="6"/>
      <c r="BA106" s="6" t="s">
        <v>36</v>
      </c>
      <c r="BB106" s="18"/>
      <c r="BC106" s="6" t="s">
        <v>130</v>
      </c>
      <c r="BD106" s="6"/>
      <c r="BE106" s="6"/>
      <c r="BF106" s="6"/>
      <c r="BG106" s="6"/>
      <c r="BH106" s="6"/>
      <c r="BI106" s="6"/>
      <c r="BJ106" s="6"/>
      <c r="BK106" s="6"/>
      <c r="BL106" s="6"/>
      <c r="BM106" s="6">
        <f t="shared" si="29"/>
        <v>0</v>
      </c>
      <c r="BN106" s="17" t="s">
        <v>345</v>
      </c>
    </row>
    <row r="107" spans="1:67" hidden="1" x14ac:dyDescent="0.2">
      <c r="A107" s="6" t="s">
        <v>131</v>
      </c>
      <c r="C107" s="6" t="s">
        <v>25</v>
      </c>
      <c r="D107" s="6"/>
      <c r="E107" s="6">
        <f t="shared" si="27"/>
        <v>0</v>
      </c>
      <c r="F107" s="6"/>
      <c r="G107" s="6"/>
      <c r="H107" s="6"/>
      <c r="I107" s="6"/>
      <c r="J107" s="6"/>
      <c r="K107" s="6">
        <f t="shared" si="28"/>
        <v>0</v>
      </c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>
        <f t="shared" si="26"/>
        <v>0</v>
      </c>
      <c r="X107" s="6"/>
      <c r="Y107" s="6" t="s">
        <v>131</v>
      </c>
      <c r="Z107" s="18"/>
      <c r="AA107" s="6" t="s">
        <v>25</v>
      </c>
      <c r="AB107" s="6"/>
      <c r="AC107" s="6"/>
      <c r="AD107" s="6"/>
      <c r="AE107" s="6"/>
      <c r="AF107" s="6"/>
      <c r="AG107" s="6"/>
      <c r="AH107" s="6"/>
      <c r="AI107" s="8">
        <f t="shared" si="24"/>
        <v>0</v>
      </c>
      <c r="AJ107" s="8"/>
      <c r="AK107" s="6"/>
      <c r="AL107" s="6"/>
      <c r="AM107" s="6"/>
      <c r="AN107" s="6"/>
      <c r="AO107" s="6"/>
      <c r="AP107" s="6"/>
      <c r="AQ107" s="6"/>
      <c r="AR107" s="6"/>
      <c r="AS107" s="8">
        <f t="shared" si="30"/>
        <v>0</v>
      </c>
      <c r="AT107" s="8"/>
      <c r="AU107" s="6">
        <v>0</v>
      </c>
      <c r="AV107" s="6"/>
      <c r="AW107" s="6">
        <v>0</v>
      </c>
      <c r="AX107" s="6"/>
      <c r="AY107" s="6">
        <f t="shared" si="25"/>
        <v>0</v>
      </c>
      <c r="AZ107" s="6"/>
      <c r="BA107" s="6" t="s">
        <v>131</v>
      </c>
      <c r="BB107" s="18"/>
      <c r="BC107" s="6" t="s">
        <v>25</v>
      </c>
      <c r="BD107" s="6"/>
      <c r="BE107" s="6"/>
      <c r="BF107" s="6"/>
      <c r="BG107" s="6"/>
      <c r="BH107" s="6"/>
      <c r="BI107" s="6"/>
      <c r="BJ107" s="6"/>
      <c r="BK107" s="6"/>
      <c r="BL107" s="6"/>
      <c r="BM107" s="6">
        <f t="shared" si="29"/>
        <v>0</v>
      </c>
      <c r="BN107" s="17" t="s">
        <v>345</v>
      </c>
    </row>
    <row r="108" spans="1:67" ht="12" x14ac:dyDescent="0.2">
      <c r="A108" s="6" t="s">
        <v>132</v>
      </c>
      <c r="B108" s="18"/>
      <c r="C108" s="6" t="s">
        <v>133</v>
      </c>
      <c r="D108" s="6"/>
      <c r="E108" s="6">
        <v>199637</v>
      </c>
      <c r="F108" s="6"/>
      <c r="G108" s="6">
        <v>45712</v>
      </c>
      <c r="H108" s="6"/>
      <c r="I108" s="6">
        <f>+E108+G108</f>
        <v>245349</v>
      </c>
      <c r="J108" s="6"/>
      <c r="K108" s="6">
        <v>57846</v>
      </c>
      <c r="L108" s="6"/>
      <c r="M108" s="6">
        <v>19422</v>
      </c>
      <c r="N108" s="6"/>
      <c r="O108" s="6">
        <f>+K108+M108</f>
        <v>77268</v>
      </c>
      <c r="P108" s="6"/>
      <c r="Q108" s="6">
        <v>45712</v>
      </c>
      <c r="R108" s="6"/>
      <c r="S108" s="6">
        <v>0</v>
      </c>
      <c r="T108" s="6"/>
      <c r="U108" s="6">
        <v>122369</v>
      </c>
      <c r="V108" s="6"/>
      <c r="W108" s="6">
        <f t="shared" si="26"/>
        <v>168081</v>
      </c>
      <c r="X108" s="6"/>
      <c r="Y108" s="6" t="s">
        <v>132</v>
      </c>
      <c r="Z108" s="18"/>
      <c r="AA108" s="6" t="s">
        <v>133</v>
      </c>
      <c r="AB108" s="6"/>
      <c r="AC108" s="6">
        <v>668054</v>
      </c>
      <c r="AD108" s="6"/>
      <c r="AE108" s="6">
        <v>650600</v>
      </c>
      <c r="AF108" s="6"/>
      <c r="AG108" s="6">
        <v>0</v>
      </c>
      <c r="AH108" s="6"/>
      <c r="AI108" s="8">
        <f t="shared" si="24"/>
        <v>17454</v>
      </c>
      <c r="AJ108" s="8"/>
      <c r="AK108" s="6">
        <v>8984</v>
      </c>
      <c r="AL108" s="6"/>
      <c r="AM108" s="6">
        <v>0</v>
      </c>
      <c r="AN108" s="6"/>
      <c r="AO108" s="6">
        <v>0</v>
      </c>
      <c r="AP108" s="6"/>
      <c r="AQ108" s="6">
        <v>0</v>
      </c>
      <c r="AR108" s="6"/>
      <c r="AS108" s="8">
        <f t="shared" si="30"/>
        <v>26438</v>
      </c>
      <c r="AT108" s="8"/>
      <c r="AU108" s="6"/>
      <c r="AV108" s="6"/>
      <c r="AW108" s="6"/>
      <c r="AX108" s="6"/>
      <c r="AY108" s="6">
        <f t="shared" si="25"/>
        <v>141791</v>
      </c>
      <c r="AZ108" s="6"/>
      <c r="BA108" s="6" t="s">
        <v>132</v>
      </c>
      <c r="BB108" s="18"/>
      <c r="BC108" s="6" t="s">
        <v>133</v>
      </c>
      <c r="BD108" s="6"/>
      <c r="BE108" s="6">
        <v>0</v>
      </c>
      <c r="BF108" s="6"/>
      <c r="BG108" s="6">
        <v>0</v>
      </c>
      <c r="BH108" s="6"/>
      <c r="BI108" s="6">
        <v>0</v>
      </c>
      <c r="BJ108" s="6"/>
      <c r="BK108" s="6">
        <f>19422+16732</f>
        <v>36154</v>
      </c>
      <c r="BL108" s="6"/>
      <c r="BM108" s="6">
        <f t="shared" si="29"/>
        <v>36154</v>
      </c>
      <c r="BN108" s="17"/>
    </row>
    <row r="109" spans="1:67" hidden="1" x14ac:dyDescent="0.2">
      <c r="A109" s="6" t="s">
        <v>134</v>
      </c>
      <c r="C109" s="6" t="s">
        <v>134</v>
      </c>
      <c r="D109" s="6"/>
      <c r="E109" s="6">
        <f t="shared" si="27"/>
        <v>0</v>
      </c>
      <c r="F109" s="6"/>
      <c r="G109" s="6"/>
      <c r="H109" s="6"/>
      <c r="I109" s="6"/>
      <c r="J109" s="6"/>
      <c r="K109" s="6">
        <f t="shared" si="28"/>
        <v>0</v>
      </c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>
        <f t="shared" si="26"/>
        <v>0</v>
      </c>
      <c r="X109" s="6"/>
      <c r="Y109" s="6" t="s">
        <v>134</v>
      </c>
      <c r="Z109" s="18"/>
      <c r="AA109" s="6" t="s">
        <v>134</v>
      </c>
      <c r="AB109" s="6"/>
      <c r="AC109" s="6"/>
      <c r="AD109" s="6"/>
      <c r="AE109" s="6"/>
      <c r="AF109" s="6"/>
      <c r="AG109" s="6"/>
      <c r="AH109" s="6"/>
      <c r="AI109" s="8">
        <f t="shared" si="24"/>
        <v>0</v>
      </c>
      <c r="AJ109" s="8"/>
      <c r="AK109" s="6"/>
      <c r="AL109" s="6"/>
      <c r="AM109" s="6"/>
      <c r="AN109" s="6"/>
      <c r="AO109" s="6"/>
      <c r="AP109" s="6"/>
      <c r="AQ109" s="6"/>
      <c r="AR109" s="6"/>
      <c r="AS109" s="8">
        <f t="shared" si="30"/>
        <v>0</v>
      </c>
      <c r="AT109" s="8"/>
      <c r="AU109" s="6">
        <v>0</v>
      </c>
      <c r="AV109" s="6"/>
      <c r="AW109" s="6">
        <v>0</v>
      </c>
      <c r="AX109" s="6"/>
      <c r="AY109" s="6">
        <f t="shared" si="25"/>
        <v>0</v>
      </c>
      <c r="AZ109" s="6"/>
      <c r="BA109" s="6" t="s">
        <v>134</v>
      </c>
      <c r="BB109" s="18"/>
      <c r="BC109" s="6" t="s">
        <v>134</v>
      </c>
      <c r="BD109" s="6"/>
      <c r="BE109" s="6"/>
      <c r="BF109" s="6"/>
      <c r="BG109" s="6"/>
      <c r="BH109" s="6"/>
      <c r="BI109" s="6"/>
      <c r="BJ109" s="6"/>
      <c r="BK109" s="6"/>
      <c r="BL109" s="6"/>
      <c r="BM109" s="6">
        <f t="shared" si="29"/>
        <v>0</v>
      </c>
      <c r="BN109" s="17" t="s">
        <v>345</v>
      </c>
    </row>
    <row r="110" spans="1:67" x14ac:dyDescent="0.2">
      <c r="A110" s="6" t="s">
        <v>135</v>
      </c>
      <c r="C110" s="6" t="s">
        <v>20</v>
      </c>
      <c r="D110" s="6"/>
      <c r="E110" s="6">
        <v>489754</v>
      </c>
      <c r="F110" s="6"/>
      <c r="G110" s="6">
        <v>554</v>
      </c>
      <c r="H110" s="6"/>
      <c r="I110" s="6">
        <v>289135</v>
      </c>
      <c r="J110" s="6"/>
      <c r="K110" s="6">
        <v>679978</v>
      </c>
      <c r="L110" s="6"/>
      <c r="M110" s="6">
        <v>500</v>
      </c>
      <c r="N110" s="6"/>
      <c r="O110" s="6">
        <v>513101</v>
      </c>
      <c r="P110" s="6"/>
      <c r="Q110" s="6">
        <v>554</v>
      </c>
      <c r="R110" s="6"/>
      <c r="S110" s="6">
        <v>0</v>
      </c>
      <c r="T110" s="6"/>
      <c r="U110" s="6">
        <v>-190724</v>
      </c>
      <c r="V110" s="6"/>
      <c r="W110" s="6">
        <f t="shared" ref="W110:W141" si="31">SUM(Q110:U110)</f>
        <v>-190170</v>
      </c>
      <c r="X110" s="6"/>
      <c r="Y110" s="6" t="s">
        <v>135</v>
      </c>
      <c r="Z110" s="18"/>
      <c r="AA110" s="6" t="s">
        <v>20</v>
      </c>
      <c r="AB110" s="6"/>
      <c r="AC110" s="6">
        <v>445105</v>
      </c>
      <c r="AD110" s="6"/>
      <c r="AE110" s="6">
        <f>423809-221</f>
        <v>423588</v>
      </c>
      <c r="AF110" s="6"/>
      <c r="AG110" s="6">
        <v>221</v>
      </c>
      <c r="AH110" s="6"/>
      <c r="AI110" s="8">
        <f t="shared" si="24"/>
        <v>21296</v>
      </c>
      <c r="AJ110" s="8"/>
      <c r="AK110" s="6">
        <v>12500</v>
      </c>
      <c r="AL110" s="6"/>
      <c r="AM110" s="6">
        <v>0</v>
      </c>
      <c r="AN110" s="6"/>
      <c r="AO110" s="6">
        <v>0</v>
      </c>
      <c r="AP110" s="6"/>
      <c r="AQ110" s="6">
        <v>0</v>
      </c>
      <c r="AR110" s="6"/>
      <c r="AS110" s="8">
        <f t="shared" si="30"/>
        <v>33796</v>
      </c>
      <c r="AT110" s="8"/>
      <c r="AU110" s="6">
        <v>0</v>
      </c>
      <c r="AV110" s="6"/>
      <c r="AW110" s="6">
        <v>0</v>
      </c>
      <c r="AX110" s="6"/>
      <c r="AY110" s="6">
        <f t="shared" si="25"/>
        <v>-190224</v>
      </c>
      <c r="AZ110" s="6"/>
      <c r="BA110" s="6" t="s">
        <v>135</v>
      </c>
      <c r="BB110" s="18"/>
      <c r="BC110" s="6" t="s">
        <v>20</v>
      </c>
      <c r="BD110" s="6"/>
      <c r="BE110" s="6">
        <v>0</v>
      </c>
      <c r="BF110" s="6"/>
      <c r="BG110" s="6">
        <v>0</v>
      </c>
      <c r="BH110" s="6"/>
      <c r="BI110" s="6">
        <v>0</v>
      </c>
      <c r="BJ110" s="6"/>
      <c r="BK110" s="6">
        <f>500+3330</f>
        <v>3830</v>
      </c>
      <c r="BL110" s="6"/>
      <c r="BM110" s="6">
        <f t="shared" si="29"/>
        <v>3830</v>
      </c>
      <c r="BN110" s="17" t="s">
        <v>345</v>
      </c>
    </row>
    <row r="111" spans="1:67" hidden="1" x14ac:dyDescent="0.2">
      <c r="A111" s="6" t="s">
        <v>136</v>
      </c>
      <c r="C111" s="6" t="s">
        <v>137</v>
      </c>
      <c r="D111" s="6"/>
      <c r="E111" s="6">
        <f t="shared" si="27"/>
        <v>0</v>
      </c>
      <c r="F111" s="6"/>
      <c r="G111" s="6"/>
      <c r="H111" s="6"/>
      <c r="I111" s="6"/>
      <c r="J111" s="6"/>
      <c r="K111" s="6">
        <f t="shared" si="28"/>
        <v>0</v>
      </c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>
        <f t="shared" si="31"/>
        <v>0</v>
      </c>
      <c r="X111" s="6"/>
      <c r="Y111" s="6" t="s">
        <v>136</v>
      </c>
      <c r="Z111" s="18"/>
      <c r="AA111" s="6" t="s">
        <v>137</v>
      </c>
      <c r="AB111" s="6"/>
      <c r="AC111" s="6"/>
      <c r="AD111" s="6"/>
      <c r="AE111" s="6"/>
      <c r="AF111" s="6"/>
      <c r="AG111" s="6"/>
      <c r="AH111" s="6"/>
      <c r="AI111" s="8">
        <f t="shared" si="24"/>
        <v>0</v>
      </c>
      <c r="AJ111" s="8"/>
      <c r="AK111" s="6"/>
      <c r="AL111" s="6"/>
      <c r="AM111" s="6"/>
      <c r="AN111" s="6"/>
      <c r="AO111" s="6"/>
      <c r="AP111" s="6"/>
      <c r="AQ111" s="6"/>
      <c r="AR111" s="6"/>
      <c r="AS111" s="8">
        <f t="shared" si="30"/>
        <v>0</v>
      </c>
      <c r="AT111" s="8"/>
      <c r="AU111" s="6">
        <v>0</v>
      </c>
      <c r="AV111" s="6"/>
      <c r="AW111" s="6">
        <v>0</v>
      </c>
      <c r="AX111" s="6"/>
      <c r="AY111" s="6">
        <f t="shared" si="25"/>
        <v>0</v>
      </c>
      <c r="AZ111" s="6"/>
      <c r="BA111" s="6" t="s">
        <v>136</v>
      </c>
      <c r="BB111" s="18"/>
      <c r="BC111" s="6" t="s">
        <v>137</v>
      </c>
      <c r="BD111" s="6"/>
      <c r="BE111" s="6"/>
      <c r="BF111" s="6"/>
      <c r="BG111" s="6"/>
      <c r="BH111" s="6"/>
      <c r="BI111" s="6"/>
      <c r="BJ111" s="6"/>
      <c r="BK111" s="6"/>
      <c r="BL111" s="6"/>
      <c r="BM111" s="6">
        <f t="shared" si="29"/>
        <v>0</v>
      </c>
      <c r="BN111" s="17" t="s">
        <v>345</v>
      </c>
    </row>
    <row r="112" spans="1:67" hidden="1" x14ac:dyDescent="0.2">
      <c r="A112" s="6" t="s">
        <v>138</v>
      </c>
      <c r="C112" s="6" t="s">
        <v>64</v>
      </c>
      <c r="D112" s="6"/>
      <c r="E112" s="6">
        <f t="shared" si="27"/>
        <v>0</v>
      </c>
      <c r="F112" s="6"/>
      <c r="G112" s="6"/>
      <c r="H112" s="6"/>
      <c r="I112" s="6"/>
      <c r="J112" s="6"/>
      <c r="K112" s="6">
        <f t="shared" si="28"/>
        <v>0</v>
      </c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>
        <f t="shared" si="31"/>
        <v>0</v>
      </c>
      <c r="X112" s="6"/>
      <c r="Y112" s="6" t="s">
        <v>138</v>
      </c>
      <c r="Z112" s="18"/>
      <c r="AA112" s="6" t="s">
        <v>64</v>
      </c>
      <c r="AB112" s="6"/>
      <c r="AC112" s="6"/>
      <c r="AD112" s="6"/>
      <c r="AE112" s="6"/>
      <c r="AF112" s="6"/>
      <c r="AG112" s="6"/>
      <c r="AH112" s="6"/>
      <c r="AI112" s="8">
        <f t="shared" si="24"/>
        <v>0</v>
      </c>
      <c r="AJ112" s="8"/>
      <c r="AK112" s="6"/>
      <c r="AL112" s="6"/>
      <c r="AM112" s="6"/>
      <c r="AN112" s="6"/>
      <c r="AO112" s="6"/>
      <c r="AP112" s="6"/>
      <c r="AQ112" s="6"/>
      <c r="AR112" s="6"/>
      <c r="AS112" s="8">
        <f t="shared" si="30"/>
        <v>0</v>
      </c>
      <c r="AT112" s="8"/>
      <c r="AU112" s="6">
        <v>0</v>
      </c>
      <c r="AV112" s="6"/>
      <c r="AW112" s="6">
        <v>0</v>
      </c>
      <c r="AX112" s="6"/>
      <c r="AY112" s="6">
        <f t="shared" si="25"/>
        <v>0</v>
      </c>
      <c r="AZ112" s="6"/>
      <c r="BA112" s="6" t="s">
        <v>138</v>
      </c>
      <c r="BB112" s="18"/>
      <c r="BC112" s="6" t="s">
        <v>64</v>
      </c>
      <c r="BD112" s="6"/>
      <c r="BE112" s="6"/>
      <c r="BF112" s="6"/>
      <c r="BG112" s="6"/>
      <c r="BH112" s="6"/>
      <c r="BI112" s="6"/>
      <c r="BJ112" s="6"/>
      <c r="BK112" s="6"/>
      <c r="BL112" s="6"/>
      <c r="BM112" s="6">
        <f t="shared" si="29"/>
        <v>0</v>
      </c>
      <c r="BN112" s="17" t="s">
        <v>345</v>
      </c>
    </row>
    <row r="113" spans="1:67" hidden="1" x14ac:dyDescent="0.2">
      <c r="A113" s="6" t="s">
        <v>139</v>
      </c>
      <c r="C113" s="6" t="s">
        <v>25</v>
      </c>
      <c r="D113" s="6"/>
      <c r="E113" s="6">
        <f t="shared" si="27"/>
        <v>0</v>
      </c>
      <c r="F113" s="6"/>
      <c r="G113" s="6"/>
      <c r="H113" s="6"/>
      <c r="I113" s="6"/>
      <c r="J113" s="6"/>
      <c r="K113" s="6">
        <f t="shared" si="28"/>
        <v>0</v>
      </c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>
        <f t="shared" si="31"/>
        <v>0</v>
      </c>
      <c r="X113" s="6"/>
      <c r="Y113" s="6" t="s">
        <v>139</v>
      </c>
      <c r="Z113" s="18"/>
      <c r="AA113" s="6" t="s">
        <v>25</v>
      </c>
      <c r="AB113" s="6"/>
      <c r="AC113" s="6"/>
      <c r="AD113" s="6"/>
      <c r="AE113" s="6"/>
      <c r="AF113" s="6"/>
      <c r="AG113" s="6"/>
      <c r="AH113" s="6"/>
      <c r="AI113" s="8">
        <f t="shared" si="24"/>
        <v>0</v>
      </c>
      <c r="AJ113" s="8"/>
      <c r="AK113" s="6"/>
      <c r="AL113" s="6"/>
      <c r="AM113" s="6"/>
      <c r="AN113" s="6"/>
      <c r="AO113" s="6"/>
      <c r="AP113" s="6"/>
      <c r="AQ113" s="6"/>
      <c r="AR113" s="6"/>
      <c r="AS113" s="8">
        <f t="shared" si="30"/>
        <v>0</v>
      </c>
      <c r="AT113" s="8"/>
      <c r="AU113" s="6">
        <v>0</v>
      </c>
      <c r="AV113" s="6"/>
      <c r="AW113" s="6">
        <v>0</v>
      </c>
      <c r="AX113" s="6"/>
      <c r="AY113" s="6">
        <f t="shared" si="25"/>
        <v>0</v>
      </c>
      <c r="AZ113" s="6"/>
      <c r="BA113" s="6" t="s">
        <v>139</v>
      </c>
      <c r="BB113" s="18"/>
      <c r="BC113" s="6" t="s">
        <v>25</v>
      </c>
      <c r="BD113" s="6"/>
      <c r="BE113" s="6"/>
      <c r="BF113" s="6"/>
      <c r="BG113" s="6"/>
      <c r="BH113" s="6"/>
      <c r="BI113" s="6"/>
      <c r="BJ113" s="6"/>
      <c r="BK113" s="6"/>
      <c r="BL113" s="6"/>
      <c r="BM113" s="6">
        <f t="shared" si="29"/>
        <v>0</v>
      </c>
      <c r="BN113" s="17" t="s">
        <v>345</v>
      </c>
      <c r="BO113" s="18" t="s">
        <v>370</v>
      </c>
    </row>
    <row r="114" spans="1:67" x14ac:dyDescent="0.2">
      <c r="A114" s="6" t="s">
        <v>140</v>
      </c>
      <c r="C114" s="6" t="s">
        <v>100</v>
      </c>
      <c r="D114" s="6"/>
      <c r="E114" s="6">
        <v>3043612</v>
      </c>
      <c r="F114" s="6"/>
      <c r="G114" s="6">
        <v>1686931</v>
      </c>
      <c r="H114" s="6"/>
      <c r="I114" s="6">
        <f>+E114+G114</f>
        <v>4730543</v>
      </c>
      <c r="J114" s="6"/>
      <c r="K114" s="6">
        <v>534988</v>
      </c>
      <c r="L114" s="6"/>
      <c r="M114" s="6">
        <v>2889501</v>
      </c>
      <c r="N114" s="6"/>
      <c r="O114" s="6">
        <f>+K114+M114</f>
        <v>3424489</v>
      </c>
      <c r="P114" s="6"/>
      <c r="Q114" s="6">
        <v>1158095</v>
      </c>
      <c r="R114" s="6"/>
      <c r="S114" s="6">
        <v>0</v>
      </c>
      <c r="T114" s="6"/>
      <c r="U114" s="6">
        <v>147959</v>
      </c>
      <c r="V114" s="6"/>
      <c r="W114" s="6">
        <f t="shared" si="31"/>
        <v>1306054</v>
      </c>
      <c r="X114" s="6"/>
      <c r="Y114" s="6" t="s">
        <v>140</v>
      </c>
      <c r="Z114" s="18"/>
      <c r="AA114" s="6" t="s">
        <v>100</v>
      </c>
      <c r="AB114" s="6"/>
      <c r="AC114" s="6">
        <v>3687918</v>
      </c>
      <c r="AD114" s="6"/>
      <c r="AE114" s="6">
        <f>3240374-173138</f>
        <v>3067236</v>
      </c>
      <c r="AF114" s="6"/>
      <c r="AG114" s="6">
        <v>173138</v>
      </c>
      <c r="AH114" s="6"/>
      <c r="AI114" s="8">
        <f t="shared" si="24"/>
        <v>447544</v>
      </c>
      <c r="AJ114" s="8"/>
      <c r="AK114" s="6">
        <v>-61023</v>
      </c>
      <c r="AL114" s="6"/>
      <c r="AM114" s="6">
        <v>0</v>
      </c>
      <c r="AN114" s="6"/>
      <c r="AO114" s="6">
        <v>0</v>
      </c>
      <c r="AP114" s="6"/>
      <c r="AQ114" s="6">
        <v>0</v>
      </c>
      <c r="AR114" s="6"/>
      <c r="AS114" s="8">
        <f t="shared" si="30"/>
        <v>386521</v>
      </c>
      <c r="AT114" s="8"/>
      <c r="AU114" s="6">
        <v>0</v>
      </c>
      <c r="AV114" s="6"/>
      <c r="AW114" s="6">
        <v>0</v>
      </c>
      <c r="AX114" s="6"/>
      <c r="AY114" s="6">
        <f t="shared" si="25"/>
        <v>2508624</v>
      </c>
      <c r="AZ114" s="6"/>
      <c r="BA114" s="6" t="s">
        <v>140</v>
      </c>
      <c r="BB114" s="18"/>
      <c r="BC114" s="6" t="s">
        <v>100</v>
      </c>
      <c r="BD114" s="6"/>
      <c r="BE114" s="6">
        <v>0</v>
      </c>
      <c r="BF114" s="6"/>
      <c r="BG114" s="6">
        <v>0</v>
      </c>
      <c r="BH114" s="6"/>
      <c r="BI114" s="6">
        <f>1300195+230685</f>
        <v>1530880</v>
      </c>
      <c r="BJ114" s="6"/>
      <c r="BK114" s="6">
        <f>1271908+78600+17294+317398</f>
        <v>1685200</v>
      </c>
      <c r="BL114" s="6"/>
      <c r="BM114" s="6">
        <f t="shared" si="29"/>
        <v>3216080</v>
      </c>
      <c r="BN114" s="17" t="s">
        <v>345</v>
      </c>
      <c r="BO114" s="18" t="s">
        <v>370</v>
      </c>
    </row>
    <row r="115" spans="1:67" x14ac:dyDescent="0.2">
      <c r="A115" s="6" t="s">
        <v>141</v>
      </c>
      <c r="C115" s="6" t="s">
        <v>109</v>
      </c>
      <c r="D115" s="6"/>
      <c r="E115" s="6">
        <v>4278190</v>
      </c>
      <c r="F115" s="6"/>
      <c r="G115" s="6">
        <v>25713791</v>
      </c>
      <c r="H115" s="6"/>
      <c r="I115" s="6">
        <f>+E115+G115</f>
        <v>29991981</v>
      </c>
      <c r="J115" s="6"/>
      <c r="K115" s="6">
        <v>111355</v>
      </c>
      <c r="L115" s="6"/>
      <c r="M115" s="6">
        <v>0</v>
      </c>
      <c r="N115" s="6"/>
      <c r="O115" s="6">
        <f>+K115+M115</f>
        <v>111355</v>
      </c>
      <c r="P115" s="6"/>
      <c r="Q115" s="6">
        <v>107437</v>
      </c>
      <c r="R115" s="6"/>
      <c r="S115" s="6">
        <v>0</v>
      </c>
      <c r="T115" s="6"/>
      <c r="U115" s="6">
        <v>507799</v>
      </c>
      <c r="V115" s="6"/>
      <c r="W115" s="6">
        <f t="shared" si="31"/>
        <v>615236</v>
      </c>
      <c r="X115" s="6"/>
      <c r="Y115" s="6" t="s">
        <v>141</v>
      </c>
      <c r="Z115" s="18"/>
      <c r="AA115" s="6" t="s">
        <v>109</v>
      </c>
      <c r="AB115" s="6"/>
      <c r="AC115" s="6">
        <v>1563225</v>
      </c>
      <c r="AD115" s="6"/>
      <c r="AE115" s="6">
        <f>1496957-17810</f>
        <v>1479147</v>
      </c>
      <c r="AF115" s="6"/>
      <c r="AG115" s="6">
        <v>17810</v>
      </c>
      <c r="AH115" s="6"/>
      <c r="AI115" s="8">
        <f t="shared" ref="AI115" si="32">+AC115-AE115-AG115</f>
        <v>66268</v>
      </c>
      <c r="AJ115" s="8"/>
      <c r="AK115" s="6">
        <v>-5848</v>
      </c>
      <c r="AL115" s="6"/>
      <c r="AM115" s="6">
        <v>0</v>
      </c>
      <c r="AN115" s="6"/>
      <c r="AO115" s="6">
        <v>0</v>
      </c>
      <c r="AP115" s="6"/>
      <c r="AQ115" s="6">
        <v>0</v>
      </c>
      <c r="AR115" s="6"/>
      <c r="AS115" s="8">
        <f t="shared" ref="AS115" si="33">+AI115+AK115+AM115-AO115+AQ115</f>
        <v>60420</v>
      </c>
      <c r="AT115" s="8"/>
      <c r="AU115" s="6">
        <v>0</v>
      </c>
      <c r="AV115" s="6"/>
      <c r="AW115" s="6">
        <v>0</v>
      </c>
      <c r="AX115" s="6"/>
      <c r="AY115" s="6">
        <f t="shared" si="25"/>
        <v>4166835</v>
      </c>
      <c r="AZ115" s="6"/>
      <c r="BA115" s="6" t="s">
        <v>141</v>
      </c>
      <c r="BB115" s="18"/>
      <c r="BC115" s="6" t="s">
        <v>109</v>
      </c>
      <c r="BD115" s="6"/>
      <c r="BE115" s="6">
        <v>0</v>
      </c>
      <c r="BF115" s="6"/>
      <c r="BG115" s="6">
        <v>0</v>
      </c>
      <c r="BH115" s="6"/>
      <c r="BI115" s="6">
        <v>0</v>
      </c>
      <c r="BJ115" s="6"/>
      <c r="BK115" s="6">
        <v>953</v>
      </c>
      <c r="BL115" s="6"/>
      <c r="BM115" s="6">
        <f t="shared" si="29"/>
        <v>953</v>
      </c>
      <c r="BN115" s="17" t="s">
        <v>345</v>
      </c>
      <c r="BO115" s="18" t="s">
        <v>313</v>
      </c>
    </row>
    <row r="116" spans="1:67" x14ac:dyDescent="0.2">
      <c r="A116" s="6" t="s">
        <v>142</v>
      </c>
      <c r="C116" s="6" t="s">
        <v>86</v>
      </c>
      <c r="D116" s="6"/>
      <c r="E116" s="6">
        <v>1624509</v>
      </c>
      <c r="F116" s="6"/>
      <c r="G116" s="6">
        <v>0</v>
      </c>
      <c r="H116" s="6"/>
      <c r="I116" s="6">
        <f>+E116+G116</f>
        <v>1624509</v>
      </c>
      <c r="J116" s="6"/>
      <c r="K116" s="6">
        <v>206254</v>
      </c>
      <c r="L116" s="6"/>
      <c r="M116" s="6">
        <v>19140</v>
      </c>
      <c r="N116" s="6"/>
      <c r="O116" s="6">
        <f>+K116+M116</f>
        <v>225394</v>
      </c>
      <c r="P116" s="6"/>
      <c r="Q116" s="6">
        <v>0</v>
      </c>
      <c r="R116" s="6"/>
      <c r="S116" s="6">
        <v>0</v>
      </c>
      <c r="T116" s="6"/>
      <c r="U116" s="6">
        <v>1399115</v>
      </c>
      <c r="V116" s="6"/>
      <c r="W116" s="6">
        <f t="shared" si="31"/>
        <v>1399115</v>
      </c>
      <c r="X116" s="6"/>
      <c r="Y116" s="6" t="s">
        <v>142</v>
      </c>
      <c r="Z116" s="18"/>
      <c r="AA116" s="6" t="s">
        <v>86</v>
      </c>
      <c r="AB116" s="6"/>
      <c r="AC116" s="6">
        <v>2980027</v>
      </c>
      <c r="AD116" s="6"/>
      <c r="AE116" s="6">
        <v>2777805</v>
      </c>
      <c r="AF116" s="6"/>
      <c r="AG116" s="6">
        <v>0</v>
      </c>
      <c r="AH116" s="6"/>
      <c r="AI116" s="8">
        <f t="shared" si="24"/>
        <v>202222</v>
      </c>
      <c r="AJ116" s="8"/>
      <c r="AK116" s="6">
        <v>0</v>
      </c>
      <c r="AL116" s="6"/>
      <c r="AM116" s="6">
        <v>0</v>
      </c>
      <c r="AN116" s="6"/>
      <c r="AO116" s="6">
        <v>0</v>
      </c>
      <c r="AP116" s="6"/>
      <c r="AQ116" s="6">
        <v>0</v>
      </c>
      <c r="AR116" s="6"/>
      <c r="AS116" s="8">
        <f t="shared" si="30"/>
        <v>202222</v>
      </c>
      <c r="AT116" s="8"/>
      <c r="AU116" s="6">
        <v>0</v>
      </c>
      <c r="AV116" s="6"/>
      <c r="AW116" s="6">
        <v>0</v>
      </c>
      <c r="AX116" s="6"/>
      <c r="AY116" s="6">
        <f t="shared" si="25"/>
        <v>1418255</v>
      </c>
      <c r="AZ116" s="6"/>
      <c r="BA116" s="6" t="s">
        <v>142</v>
      </c>
      <c r="BB116" s="18"/>
      <c r="BC116" s="6" t="s">
        <v>86</v>
      </c>
      <c r="BD116" s="6"/>
      <c r="BE116" s="6">
        <v>0</v>
      </c>
      <c r="BF116" s="6"/>
      <c r="BG116" s="6">
        <v>0</v>
      </c>
      <c r="BH116" s="6"/>
      <c r="BI116" s="6">
        <v>0</v>
      </c>
      <c r="BJ116" s="6"/>
      <c r="BK116" s="6">
        <v>19140</v>
      </c>
      <c r="BL116" s="6"/>
      <c r="BM116" s="6">
        <f t="shared" si="29"/>
        <v>19140</v>
      </c>
      <c r="BN116" s="17" t="s">
        <v>345</v>
      </c>
    </row>
    <row r="117" spans="1:67" hidden="1" x14ac:dyDescent="0.2">
      <c r="A117" s="6" t="s">
        <v>34</v>
      </c>
      <c r="C117" s="6" t="s">
        <v>143</v>
      </c>
      <c r="D117" s="6"/>
      <c r="E117" s="6">
        <f t="shared" si="27"/>
        <v>0</v>
      </c>
      <c r="F117" s="6"/>
      <c r="G117" s="6"/>
      <c r="H117" s="6"/>
      <c r="I117" s="6"/>
      <c r="J117" s="6"/>
      <c r="K117" s="6">
        <f t="shared" si="28"/>
        <v>0</v>
      </c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>
        <f t="shared" si="31"/>
        <v>0</v>
      </c>
      <c r="X117" s="6"/>
      <c r="Y117" s="6" t="s">
        <v>34</v>
      </c>
      <c r="Z117" s="18"/>
      <c r="AA117" s="6" t="s">
        <v>143</v>
      </c>
      <c r="AB117" s="6"/>
      <c r="AC117" s="6"/>
      <c r="AD117" s="6"/>
      <c r="AE117" s="6"/>
      <c r="AF117" s="6"/>
      <c r="AG117" s="6"/>
      <c r="AH117" s="6"/>
      <c r="AI117" s="8">
        <f t="shared" si="24"/>
        <v>0</v>
      </c>
      <c r="AJ117" s="8"/>
      <c r="AK117" s="6"/>
      <c r="AL117" s="6"/>
      <c r="AM117" s="6"/>
      <c r="AN117" s="6"/>
      <c r="AO117" s="6"/>
      <c r="AP117" s="6"/>
      <c r="AQ117" s="6"/>
      <c r="AR117" s="6"/>
      <c r="AS117" s="8">
        <f t="shared" si="30"/>
        <v>0</v>
      </c>
      <c r="AT117" s="8"/>
      <c r="AU117" s="6">
        <v>0</v>
      </c>
      <c r="AV117" s="6"/>
      <c r="AW117" s="6">
        <v>0</v>
      </c>
      <c r="AX117" s="6"/>
      <c r="AY117" s="6">
        <f t="shared" si="25"/>
        <v>0</v>
      </c>
      <c r="AZ117" s="6"/>
      <c r="BA117" s="6" t="s">
        <v>34</v>
      </c>
      <c r="BB117" s="18"/>
      <c r="BC117" s="6" t="s">
        <v>143</v>
      </c>
      <c r="BD117" s="6"/>
      <c r="BE117" s="6"/>
      <c r="BF117" s="6"/>
      <c r="BG117" s="6"/>
      <c r="BH117" s="6"/>
      <c r="BI117" s="6"/>
      <c r="BJ117" s="6"/>
      <c r="BK117" s="6"/>
      <c r="BL117" s="6"/>
      <c r="BM117" s="6">
        <f t="shared" si="29"/>
        <v>0</v>
      </c>
      <c r="BN117" s="17" t="s">
        <v>345</v>
      </c>
    </row>
    <row r="118" spans="1:67" x14ac:dyDescent="0.2">
      <c r="A118" s="6" t="s">
        <v>144</v>
      </c>
      <c r="C118" s="6" t="s">
        <v>145</v>
      </c>
      <c r="D118" s="6"/>
      <c r="E118" s="6">
        <v>1002273</v>
      </c>
      <c r="F118" s="6"/>
      <c r="G118" s="6">
        <v>628139</v>
      </c>
      <c r="H118" s="6"/>
      <c r="I118" s="6">
        <f>+E118+G118</f>
        <v>1630412</v>
      </c>
      <c r="J118" s="6"/>
      <c r="K118" s="6">
        <v>39292</v>
      </c>
      <c r="L118" s="6"/>
      <c r="M118" s="6">
        <v>6683</v>
      </c>
      <c r="N118" s="6"/>
      <c r="O118" s="6">
        <f>+K118+M118</f>
        <v>45975</v>
      </c>
      <c r="P118" s="6"/>
      <c r="Q118" s="6">
        <v>628139</v>
      </c>
      <c r="R118" s="6"/>
      <c r="S118" s="6">
        <v>0</v>
      </c>
      <c r="T118" s="6"/>
      <c r="U118" s="6">
        <v>956298</v>
      </c>
      <c r="V118" s="6"/>
      <c r="W118" s="6">
        <f t="shared" si="31"/>
        <v>1584437</v>
      </c>
      <c r="X118" s="6"/>
      <c r="Y118" s="6" t="s">
        <v>144</v>
      </c>
      <c r="Z118" s="18"/>
      <c r="AA118" s="6" t="s">
        <v>145</v>
      </c>
      <c r="AB118" s="6"/>
      <c r="AC118" s="6">
        <v>911005</v>
      </c>
      <c r="AD118" s="6"/>
      <c r="AE118" s="6">
        <f>941241-73613</f>
        <v>867628</v>
      </c>
      <c r="AF118" s="6"/>
      <c r="AG118" s="6">
        <v>73613</v>
      </c>
      <c r="AH118" s="6"/>
      <c r="AI118" s="8">
        <f t="shared" si="24"/>
        <v>-30236</v>
      </c>
      <c r="AJ118" s="8"/>
      <c r="AK118" s="6">
        <v>-444</v>
      </c>
      <c r="AL118" s="6"/>
      <c r="AM118" s="6">
        <v>0</v>
      </c>
      <c r="AN118" s="6"/>
      <c r="AO118" s="6">
        <v>0</v>
      </c>
      <c r="AP118" s="6"/>
      <c r="AQ118" s="6">
        <v>0</v>
      </c>
      <c r="AR118" s="6"/>
      <c r="AS118" s="8">
        <f t="shared" si="30"/>
        <v>-30680</v>
      </c>
      <c r="AT118" s="8"/>
      <c r="AU118" s="6">
        <v>0</v>
      </c>
      <c r="AV118" s="6"/>
      <c r="AW118" s="6">
        <v>0</v>
      </c>
      <c r="AX118" s="6"/>
      <c r="AY118" s="6">
        <f t="shared" si="25"/>
        <v>962981</v>
      </c>
      <c r="AZ118" s="6"/>
      <c r="BA118" s="6" t="s">
        <v>144</v>
      </c>
      <c r="BB118" s="18"/>
      <c r="BC118" s="6" t="s">
        <v>145</v>
      </c>
      <c r="BD118" s="6"/>
      <c r="BE118" s="6">
        <v>0</v>
      </c>
      <c r="BF118" s="6"/>
      <c r="BG118" s="6">
        <v>0</v>
      </c>
      <c r="BH118" s="6"/>
      <c r="BI118" s="6">
        <v>0</v>
      </c>
      <c r="BJ118" s="6"/>
      <c r="BK118" s="6">
        <f>8070+6683</f>
        <v>14753</v>
      </c>
      <c r="BL118" s="6"/>
      <c r="BM118" s="6">
        <f t="shared" si="29"/>
        <v>14753</v>
      </c>
      <c r="BN118" s="17" t="s">
        <v>345</v>
      </c>
    </row>
    <row r="119" spans="1:67" hidden="1" x14ac:dyDescent="0.2">
      <c r="A119" s="6" t="s">
        <v>15</v>
      </c>
      <c r="C119" s="6" t="s">
        <v>15</v>
      </c>
      <c r="D119" s="6"/>
      <c r="E119" s="6">
        <f t="shared" ref="E119:E124" si="34">I119-G119</f>
        <v>0</v>
      </c>
      <c r="F119" s="6"/>
      <c r="G119" s="6"/>
      <c r="H119" s="6"/>
      <c r="I119" s="6"/>
      <c r="J119" s="6"/>
      <c r="K119" s="6">
        <f t="shared" ref="K119:K124" si="35">O119-M119</f>
        <v>0</v>
      </c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>
        <f t="shared" si="31"/>
        <v>0</v>
      </c>
      <c r="X119" s="6"/>
      <c r="Y119" s="6" t="s">
        <v>15</v>
      </c>
      <c r="Z119" s="18"/>
      <c r="AA119" s="6" t="s">
        <v>15</v>
      </c>
      <c r="AB119" s="6"/>
      <c r="AC119" s="6"/>
      <c r="AD119" s="6"/>
      <c r="AE119" s="6"/>
      <c r="AF119" s="6"/>
      <c r="AG119" s="6"/>
      <c r="AH119" s="6"/>
      <c r="AI119" s="8">
        <f t="shared" si="24"/>
        <v>0</v>
      </c>
      <c r="AJ119" s="8"/>
      <c r="AK119" s="6"/>
      <c r="AL119" s="6"/>
      <c r="AM119" s="6"/>
      <c r="AN119" s="6"/>
      <c r="AO119" s="6"/>
      <c r="AP119" s="6"/>
      <c r="AQ119" s="6"/>
      <c r="AR119" s="6"/>
      <c r="AS119" s="8">
        <f t="shared" si="30"/>
        <v>0</v>
      </c>
      <c r="AT119" s="8"/>
      <c r="AU119" s="6">
        <v>0</v>
      </c>
      <c r="AV119" s="6"/>
      <c r="AW119" s="6">
        <v>0</v>
      </c>
      <c r="AX119" s="6"/>
      <c r="AY119" s="6">
        <f t="shared" si="25"/>
        <v>0</v>
      </c>
      <c r="AZ119" s="6"/>
      <c r="BA119" s="6" t="s">
        <v>15</v>
      </c>
      <c r="BB119" s="18"/>
      <c r="BC119" s="6" t="s">
        <v>15</v>
      </c>
      <c r="BD119" s="6"/>
      <c r="BE119" s="6"/>
      <c r="BF119" s="6"/>
      <c r="BG119" s="6"/>
      <c r="BH119" s="6"/>
      <c r="BI119" s="6"/>
      <c r="BJ119" s="6"/>
      <c r="BK119" s="6"/>
      <c r="BL119" s="6"/>
      <c r="BM119" s="6">
        <f t="shared" si="29"/>
        <v>0</v>
      </c>
      <c r="BN119" s="17" t="s">
        <v>345</v>
      </c>
    </row>
    <row r="120" spans="1:67" hidden="1" x14ac:dyDescent="0.2">
      <c r="A120" s="6" t="s">
        <v>146</v>
      </c>
      <c r="C120" s="6" t="s">
        <v>13</v>
      </c>
      <c r="D120" s="6"/>
      <c r="E120" s="6">
        <f t="shared" si="34"/>
        <v>0</v>
      </c>
      <c r="F120" s="6"/>
      <c r="G120" s="6"/>
      <c r="H120" s="6"/>
      <c r="I120" s="6"/>
      <c r="J120" s="6"/>
      <c r="K120" s="6">
        <f t="shared" si="35"/>
        <v>0</v>
      </c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>
        <f t="shared" si="31"/>
        <v>0</v>
      </c>
      <c r="X120" s="6"/>
      <c r="Y120" s="6" t="s">
        <v>146</v>
      </c>
      <c r="Z120" s="18"/>
      <c r="AA120" s="6" t="s">
        <v>13</v>
      </c>
      <c r="AB120" s="6"/>
      <c r="AC120" s="6"/>
      <c r="AD120" s="6"/>
      <c r="AE120" s="6"/>
      <c r="AF120" s="6"/>
      <c r="AG120" s="6"/>
      <c r="AH120" s="6"/>
      <c r="AI120" s="8">
        <f t="shared" si="24"/>
        <v>0</v>
      </c>
      <c r="AJ120" s="8"/>
      <c r="AK120" s="6"/>
      <c r="AL120" s="6"/>
      <c r="AM120" s="6"/>
      <c r="AN120" s="6"/>
      <c r="AO120" s="6"/>
      <c r="AP120" s="6"/>
      <c r="AQ120" s="6"/>
      <c r="AR120" s="6"/>
      <c r="AS120" s="8">
        <f t="shared" si="30"/>
        <v>0</v>
      </c>
      <c r="AT120" s="8"/>
      <c r="AU120" s="6">
        <v>0</v>
      </c>
      <c r="AV120" s="6"/>
      <c r="AW120" s="6">
        <v>0</v>
      </c>
      <c r="AX120" s="6"/>
      <c r="AY120" s="6">
        <f t="shared" si="25"/>
        <v>0</v>
      </c>
      <c r="AZ120" s="6"/>
      <c r="BA120" s="6" t="s">
        <v>146</v>
      </c>
      <c r="BB120" s="18"/>
      <c r="BC120" s="6" t="s">
        <v>13</v>
      </c>
      <c r="BD120" s="6"/>
      <c r="BE120" s="6"/>
      <c r="BF120" s="6"/>
      <c r="BG120" s="6"/>
      <c r="BH120" s="6"/>
      <c r="BI120" s="6"/>
      <c r="BJ120" s="6"/>
      <c r="BK120" s="6"/>
      <c r="BL120" s="6"/>
      <c r="BM120" s="6">
        <f t="shared" si="29"/>
        <v>0</v>
      </c>
      <c r="BN120" s="17" t="s">
        <v>345</v>
      </c>
    </row>
    <row r="121" spans="1:67" x14ac:dyDescent="0.2">
      <c r="A121" s="6" t="s">
        <v>147</v>
      </c>
      <c r="C121" s="6" t="s">
        <v>43</v>
      </c>
      <c r="D121" s="6"/>
      <c r="E121" s="6">
        <v>141602</v>
      </c>
      <c r="F121" s="6"/>
      <c r="G121" s="6">
        <v>45796</v>
      </c>
      <c r="H121" s="6"/>
      <c r="I121" s="6">
        <f>+E121+G121</f>
        <v>187398</v>
      </c>
      <c r="J121" s="6"/>
      <c r="K121" s="6">
        <v>19299</v>
      </c>
      <c r="L121" s="6"/>
      <c r="M121" s="6">
        <f>1470+6800</f>
        <v>8270</v>
      </c>
      <c r="N121" s="6"/>
      <c r="O121" s="6">
        <f>+K121+M121</f>
        <v>27569</v>
      </c>
      <c r="P121" s="6"/>
      <c r="Q121" s="6">
        <v>23290</v>
      </c>
      <c r="R121" s="6"/>
      <c r="S121" s="6">
        <v>0</v>
      </c>
      <c r="T121" s="6"/>
      <c r="U121" s="6">
        <v>136539</v>
      </c>
      <c r="V121" s="6"/>
      <c r="W121" s="6">
        <f t="shared" si="31"/>
        <v>159829</v>
      </c>
      <c r="X121" s="6"/>
      <c r="Y121" s="6" t="s">
        <v>147</v>
      </c>
      <c r="Z121" s="18"/>
      <c r="AA121" s="6" t="s">
        <v>43</v>
      </c>
      <c r="AB121" s="6"/>
      <c r="AC121" s="6">
        <v>1053516</v>
      </c>
      <c r="AD121" s="6"/>
      <c r="AE121" s="6">
        <f>1042298-9516</f>
        <v>1032782</v>
      </c>
      <c r="AF121" s="6"/>
      <c r="AG121" s="6">
        <v>9516</v>
      </c>
      <c r="AH121" s="6"/>
      <c r="AI121" s="8">
        <f t="shared" ref="AI121:AI185" si="36">+AC121-AE121-AG121</f>
        <v>11218</v>
      </c>
      <c r="AJ121" s="8"/>
      <c r="AK121" s="6">
        <v>41140</v>
      </c>
      <c r="AL121" s="6"/>
      <c r="AM121" s="6">
        <v>1535</v>
      </c>
      <c r="AN121" s="6"/>
      <c r="AO121" s="6">
        <v>0</v>
      </c>
      <c r="AP121" s="6"/>
      <c r="AQ121" s="6">
        <v>0</v>
      </c>
      <c r="AR121" s="6"/>
      <c r="AS121" s="8">
        <f t="shared" si="30"/>
        <v>53893</v>
      </c>
      <c r="AT121" s="8"/>
      <c r="AU121" s="6">
        <v>0</v>
      </c>
      <c r="AV121" s="6"/>
      <c r="AW121" s="6">
        <v>0</v>
      </c>
      <c r="AX121" s="6"/>
      <c r="AY121" s="6">
        <f t="shared" si="25"/>
        <v>122303</v>
      </c>
      <c r="AZ121" s="6"/>
      <c r="BA121" s="6" t="s">
        <v>147</v>
      </c>
      <c r="BB121" s="18"/>
      <c r="BC121" s="6" t="s">
        <v>43</v>
      </c>
      <c r="BD121" s="6"/>
      <c r="BE121" s="6">
        <f>6800+8500</f>
        <v>15300</v>
      </c>
      <c r="BF121" s="6"/>
      <c r="BG121" s="6">
        <v>0</v>
      </c>
      <c r="BH121" s="6"/>
      <c r="BI121" s="6">
        <v>0</v>
      </c>
      <c r="BJ121" s="6"/>
      <c r="BK121" s="6">
        <f>1470+5736</f>
        <v>7206</v>
      </c>
      <c r="BL121" s="6"/>
      <c r="BM121" s="6">
        <f t="shared" si="29"/>
        <v>22506</v>
      </c>
      <c r="BN121" s="17" t="s">
        <v>345</v>
      </c>
    </row>
    <row r="122" spans="1:67" hidden="1" x14ac:dyDescent="0.2">
      <c r="A122" s="6" t="s">
        <v>148</v>
      </c>
      <c r="C122" s="6" t="s">
        <v>25</v>
      </c>
      <c r="D122" s="6"/>
      <c r="E122" s="6">
        <f t="shared" si="34"/>
        <v>0</v>
      </c>
      <c r="F122" s="6"/>
      <c r="G122" s="6"/>
      <c r="H122" s="6"/>
      <c r="I122" s="6"/>
      <c r="J122" s="6"/>
      <c r="K122" s="6">
        <f t="shared" si="35"/>
        <v>0</v>
      </c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>
        <f t="shared" si="31"/>
        <v>0</v>
      </c>
      <c r="X122" s="6"/>
      <c r="Y122" s="6" t="s">
        <v>148</v>
      </c>
      <c r="Z122" s="18"/>
      <c r="AA122" s="6" t="s">
        <v>25</v>
      </c>
      <c r="AB122" s="6"/>
      <c r="AC122" s="6"/>
      <c r="AD122" s="6"/>
      <c r="AE122" s="6"/>
      <c r="AF122" s="6"/>
      <c r="AG122" s="6"/>
      <c r="AH122" s="6"/>
      <c r="AI122" s="8">
        <f t="shared" si="36"/>
        <v>0</v>
      </c>
      <c r="AJ122" s="8"/>
      <c r="AK122" s="6"/>
      <c r="AL122" s="6"/>
      <c r="AM122" s="6"/>
      <c r="AN122" s="6"/>
      <c r="AO122" s="6"/>
      <c r="AP122" s="6"/>
      <c r="AQ122" s="6"/>
      <c r="AR122" s="6"/>
      <c r="AS122" s="8">
        <f t="shared" si="30"/>
        <v>0</v>
      </c>
      <c r="AT122" s="8"/>
      <c r="AU122" s="6">
        <v>0</v>
      </c>
      <c r="AV122" s="6"/>
      <c r="AW122" s="6">
        <v>0</v>
      </c>
      <c r="AX122" s="6"/>
      <c r="AY122" s="6">
        <f t="shared" si="25"/>
        <v>0</v>
      </c>
      <c r="AZ122" s="6"/>
      <c r="BA122" s="6" t="s">
        <v>148</v>
      </c>
      <c r="BB122" s="18"/>
      <c r="BC122" s="6" t="s">
        <v>25</v>
      </c>
      <c r="BD122" s="6"/>
      <c r="BE122" s="6"/>
      <c r="BF122" s="6"/>
      <c r="BG122" s="6"/>
      <c r="BH122" s="6"/>
      <c r="BI122" s="6"/>
      <c r="BJ122" s="6"/>
      <c r="BK122" s="6"/>
      <c r="BL122" s="6"/>
      <c r="BM122" s="6">
        <f t="shared" si="29"/>
        <v>0</v>
      </c>
      <c r="BN122" s="17" t="s">
        <v>345</v>
      </c>
    </row>
    <row r="123" spans="1:67" hidden="1" x14ac:dyDescent="0.2">
      <c r="A123" s="6" t="s">
        <v>149</v>
      </c>
      <c r="C123" s="6" t="s">
        <v>11</v>
      </c>
      <c r="D123" s="6"/>
      <c r="E123" s="6">
        <f t="shared" si="34"/>
        <v>0</v>
      </c>
      <c r="F123" s="6"/>
      <c r="G123" s="6"/>
      <c r="H123" s="6"/>
      <c r="I123" s="6"/>
      <c r="J123" s="6"/>
      <c r="K123" s="6">
        <f t="shared" si="35"/>
        <v>0</v>
      </c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>
        <f t="shared" si="31"/>
        <v>0</v>
      </c>
      <c r="X123" s="6"/>
      <c r="Y123" s="6" t="s">
        <v>149</v>
      </c>
      <c r="Z123" s="18"/>
      <c r="AA123" s="6" t="s">
        <v>11</v>
      </c>
      <c r="AB123" s="6"/>
      <c r="AC123" s="6"/>
      <c r="AD123" s="6"/>
      <c r="AE123" s="6"/>
      <c r="AF123" s="6"/>
      <c r="AG123" s="6"/>
      <c r="AH123" s="6"/>
      <c r="AI123" s="8">
        <f t="shared" si="36"/>
        <v>0</v>
      </c>
      <c r="AJ123" s="8"/>
      <c r="AK123" s="6"/>
      <c r="AL123" s="6"/>
      <c r="AM123" s="6"/>
      <c r="AN123" s="6"/>
      <c r="AO123" s="6"/>
      <c r="AP123" s="6"/>
      <c r="AQ123" s="6"/>
      <c r="AR123" s="6"/>
      <c r="AS123" s="8">
        <f t="shared" si="30"/>
        <v>0</v>
      </c>
      <c r="AT123" s="8"/>
      <c r="AU123" s="6">
        <v>0</v>
      </c>
      <c r="AV123" s="6"/>
      <c r="AW123" s="6">
        <v>0</v>
      </c>
      <c r="AX123" s="6"/>
      <c r="AY123" s="6">
        <f t="shared" si="25"/>
        <v>0</v>
      </c>
      <c r="AZ123" s="6"/>
      <c r="BA123" s="6" t="s">
        <v>149</v>
      </c>
      <c r="BB123" s="18"/>
      <c r="BC123" s="6" t="s">
        <v>11</v>
      </c>
      <c r="BD123" s="6"/>
      <c r="BE123" s="6"/>
      <c r="BF123" s="6"/>
      <c r="BG123" s="6"/>
      <c r="BH123" s="6"/>
      <c r="BI123" s="6"/>
      <c r="BJ123" s="6"/>
      <c r="BK123" s="6"/>
      <c r="BL123" s="6"/>
      <c r="BM123" s="6">
        <f t="shared" si="29"/>
        <v>0</v>
      </c>
      <c r="BN123" s="17" t="s">
        <v>345</v>
      </c>
    </row>
    <row r="124" spans="1:67" hidden="1" x14ac:dyDescent="0.2">
      <c r="A124" s="6" t="s">
        <v>150</v>
      </c>
      <c r="C124" s="6" t="s">
        <v>151</v>
      </c>
      <c r="D124" s="6"/>
      <c r="E124" s="6">
        <f t="shared" si="34"/>
        <v>0</v>
      </c>
      <c r="F124" s="6"/>
      <c r="G124" s="6"/>
      <c r="H124" s="6"/>
      <c r="I124" s="6"/>
      <c r="J124" s="6"/>
      <c r="K124" s="6">
        <f t="shared" si="35"/>
        <v>0</v>
      </c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>
        <f t="shared" si="31"/>
        <v>0</v>
      </c>
      <c r="X124" s="6"/>
      <c r="Y124" s="6" t="s">
        <v>150</v>
      </c>
      <c r="Z124" s="18"/>
      <c r="AA124" s="6" t="s">
        <v>151</v>
      </c>
      <c r="AB124" s="6"/>
      <c r="AC124" s="6"/>
      <c r="AD124" s="6"/>
      <c r="AE124" s="6"/>
      <c r="AF124" s="6"/>
      <c r="AG124" s="6"/>
      <c r="AH124" s="6"/>
      <c r="AI124" s="8">
        <f t="shared" si="36"/>
        <v>0</v>
      </c>
      <c r="AJ124" s="8"/>
      <c r="AK124" s="6"/>
      <c r="AL124" s="6"/>
      <c r="AM124" s="6"/>
      <c r="AN124" s="6"/>
      <c r="AO124" s="6"/>
      <c r="AP124" s="6"/>
      <c r="AQ124" s="6"/>
      <c r="AR124" s="6"/>
      <c r="AS124" s="8">
        <f t="shared" si="30"/>
        <v>0</v>
      </c>
      <c r="AT124" s="8"/>
      <c r="AU124" s="6">
        <v>0</v>
      </c>
      <c r="AV124" s="6"/>
      <c r="AW124" s="6">
        <v>0</v>
      </c>
      <c r="AX124" s="6"/>
      <c r="AY124" s="6">
        <f t="shared" si="25"/>
        <v>0</v>
      </c>
      <c r="AZ124" s="6"/>
      <c r="BA124" s="6" t="s">
        <v>150</v>
      </c>
      <c r="BB124" s="18"/>
      <c r="BC124" s="6" t="s">
        <v>151</v>
      </c>
      <c r="BD124" s="6"/>
      <c r="BE124" s="6"/>
      <c r="BF124" s="6"/>
      <c r="BG124" s="6"/>
      <c r="BH124" s="6"/>
      <c r="BI124" s="6"/>
      <c r="BJ124" s="6"/>
      <c r="BK124" s="6"/>
      <c r="BL124" s="6"/>
      <c r="BM124" s="6">
        <f t="shared" si="29"/>
        <v>0</v>
      </c>
      <c r="BN124" s="17" t="s">
        <v>345</v>
      </c>
    </row>
    <row r="125" spans="1:67" x14ac:dyDescent="0.2">
      <c r="A125" s="6" t="s">
        <v>152</v>
      </c>
      <c r="C125" s="6" t="s">
        <v>25</v>
      </c>
      <c r="D125" s="6"/>
      <c r="E125" s="6">
        <v>1781209</v>
      </c>
      <c r="F125" s="6"/>
      <c r="G125" s="6">
        <v>0</v>
      </c>
      <c r="H125" s="6"/>
      <c r="I125" s="6">
        <f>+E125+G125</f>
        <v>1781209</v>
      </c>
      <c r="J125" s="6"/>
      <c r="K125" s="6">
        <v>106652</v>
      </c>
      <c r="L125" s="6"/>
      <c r="M125" s="6">
        <v>0</v>
      </c>
      <c r="N125" s="6"/>
      <c r="O125" s="6">
        <f>+K125+M125</f>
        <v>106652</v>
      </c>
      <c r="P125" s="6"/>
      <c r="Q125" s="6">
        <v>0</v>
      </c>
      <c r="R125" s="6"/>
      <c r="S125" s="6">
        <v>0</v>
      </c>
      <c r="T125" s="6"/>
      <c r="U125" s="6">
        <v>1674557</v>
      </c>
      <c r="V125" s="6"/>
      <c r="W125" s="6">
        <f t="shared" si="31"/>
        <v>1674557</v>
      </c>
      <c r="X125" s="6"/>
      <c r="Y125" s="6" t="s">
        <v>152</v>
      </c>
      <c r="Z125" s="18"/>
      <c r="AA125" s="6" t="s">
        <v>25</v>
      </c>
      <c r="AB125" s="6"/>
      <c r="AC125" s="6">
        <v>1714812</v>
      </c>
      <c r="AD125" s="6"/>
      <c r="AE125" s="6">
        <v>1349240</v>
      </c>
      <c r="AF125" s="6"/>
      <c r="AG125" s="6">
        <v>0</v>
      </c>
      <c r="AH125" s="6"/>
      <c r="AI125" s="8">
        <f t="shared" si="36"/>
        <v>365572</v>
      </c>
      <c r="AJ125" s="8"/>
      <c r="AK125" s="6">
        <v>0</v>
      </c>
      <c r="AL125" s="6"/>
      <c r="AM125" s="6">
        <v>0</v>
      </c>
      <c r="AN125" s="6"/>
      <c r="AO125" s="6">
        <v>0</v>
      </c>
      <c r="AP125" s="6"/>
      <c r="AQ125" s="6">
        <v>0</v>
      </c>
      <c r="AR125" s="6"/>
      <c r="AS125" s="8">
        <f t="shared" si="30"/>
        <v>365572</v>
      </c>
      <c r="AT125" s="8"/>
      <c r="AU125" s="6">
        <v>0</v>
      </c>
      <c r="AV125" s="6"/>
      <c r="AW125" s="6">
        <v>0</v>
      </c>
      <c r="AX125" s="6"/>
      <c r="AY125" s="6">
        <f t="shared" si="25"/>
        <v>1674557</v>
      </c>
      <c r="AZ125" s="6"/>
      <c r="BA125" s="6" t="s">
        <v>152</v>
      </c>
      <c r="BB125" s="18"/>
      <c r="BC125" s="6" t="s">
        <v>25</v>
      </c>
      <c r="BD125" s="6"/>
      <c r="BE125" s="6">
        <v>0</v>
      </c>
      <c r="BF125" s="6"/>
      <c r="BG125" s="6">
        <v>0</v>
      </c>
      <c r="BH125" s="6"/>
      <c r="BI125" s="6">
        <v>0</v>
      </c>
      <c r="BJ125" s="6"/>
      <c r="BK125" s="6">
        <v>0</v>
      </c>
      <c r="BL125" s="6"/>
      <c r="BM125" s="6">
        <f t="shared" si="29"/>
        <v>0</v>
      </c>
      <c r="BN125" s="17" t="s">
        <v>345</v>
      </c>
    </row>
    <row r="126" spans="1:67" hidden="1" x14ac:dyDescent="0.2">
      <c r="A126" s="6" t="s">
        <v>153</v>
      </c>
      <c r="C126" s="6" t="s">
        <v>38</v>
      </c>
      <c r="D126" s="6"/>
      <c r="E126" s="6">
        <f t="shared" ref="E126:E189" si="37">I126-G126</f>
        <v>0</v>
      </c>
      <c r="F126" s="6"/>
      <c r="G126" s="6"/>
      <c r="H126" s="6"/>
      <c r="I126" s="6"/>
      <c r="J126" s="6"/>
      <c r="K126" s="6">
        <f t="shared" ref="K126:K189" si="38">O126-M126</f>
        <v>0</v>
      </c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>
        <f t="shared" si="31"/>
        <v>0</v>
      </c>
      <c r="X126" s="6"/>
      <c r="Y126" s="6" t="s">
        <v>153</v>
      </c>
      <c r="Z126" s="18"/>
      <c r="AA126" s="6" t="s">
        <v>38</v>
      </c>
      <c r="AB126" s="6"/>
      <c r="AC126" s="6"/>
      <c r="AD126" s="6"/>
      <c r="AE126" s="6"/>
      <c r="AF126" s="6"/>
      <c r="AG126" s="6"/>
      <c r="AH126" s="6"/>
      <c r="AI126" s="8">
        <f t="shared" si="36"/>
        <v>0</v>
      </c>
      <c r="AJ126" s="8"/>
      <c r="AK126" s="6"/>
      <c r="AL126" s="6"/>
      <c r="AM126" s="6"/>
      <c r="AN126" s="6"/>
      <c r="AO126" s="6"/>
      <c r="AP126" s="6"/>
      <c r="AQ126" s="6"/>
      <c r="AR126" s="6"/>
      <c r="AS126" s="8">
        <f t="shared" si="30"/>
        <v>0</v>
      </c>
      <c r="AT126" s="8"/>
      <c r="AU126" s="6">
        <v>0</v>
      </c>
      <c r="AV126" s="6"/>
      <c r="AW126" s="6">
        <v>0</v>
      </c>
      <c r="AX126" s="6"/>
      <c r="AY126" s="6">
        <f t="shared" si="25"/>
        <v>0</v>
      </c>
      <c r="AZ126" s="6"/>
      <c r="BA126" s="6" t="s">
        <v>153</v>
      </c>
      <c r="BB126" s="18"/>
      <c r="BC126" s="6" t="s">
        <v>38</v>
      </c>
      <c r="BD126" s="6"/>
      <c r="BE126" s="6"/>
      <c r="BF126" s="6"/>
      <c r="BG126" s="6"/>
      <c r="BH126" s="6"/>
      <c r="BI126" s="6"/>
      <c r="BJ126" s="6"/>
      <c r="BK126" s="6"/>
      <c r="BL126" s="6"/>
      <c r="BM126" s="6">
        <f t="shared" si="29"/>
        <v>0</v>
      </c>
      <c r="BN126" s="17" t="s">
        <v>345</v>
      </c>
    </row>
    <row r="127" spans="1:67" x14ac:dyDescent="0.2">
      <c r="A127" s="6" t="s">
        <v>154</v>
      </c>
      <c r="C127" s="6" t="s">
        <v>154</v>
      </c>
      <c r="D127" s="6"/>
      <c r="E127" s="6">
        <v>3367765</v>
      </c>
      <c r="F127" s="6"/>
      <c r="G127" s="6">
        <v>378273</v>
      </c>
      <c r="H127" s="6"/>
      <c r="I127" s="6">
        <f>+E127+G127</f>
        <v>3746038</v>
      </c>
      <c r="J127" s="6"/>
      <c r="K127" s="6">
        <v>183975</v>
      </c>
      <c r="L127" s="6"/>
      <c r="M127" s="6">
        <v>54797</v>
      </c>
      <c r="N127" s="6"/>
      <c r="O127" s="6">
        <f>+K127+M127</f>
        <v>238772</v>
      </c>
      <c r="P127" s="6"/>
      <c r="Q127" s="6">
        <v>378273</v>
      </c>
      <c r="R127" s="6"/>
      <c r="S127" s="6">
        <v>0</v>
      </c>
      <c r="T127" s="6"/>
      <c r="U127" s="6">
        <v>3128993</v>
      </c>
      <c r="V127" s="6"/>
      <c r="W127" s="6">
        <f t="shared" si="31"/>
        <v>3507266</v>
      </c>
      <c r="X127" s="6"/>
      <c r="Y127" s="6" t="s">
        <v>154</v>
      </c>
      <c r="Z127" s="18"/>
      <c r="AA127" s="6" t="s">
        <v>154</v>
      </c>
      <c r="AB127" s="6"/>
      <c r="AC127" s="6">
        <v>2833718</v>
      </c>
      <c r="AD127" s="6"/>
      <c r="AE127" s="6">
        <f>2137515-48568</f>
        <v>2088947</v>
      </c>
      <c r="AF127" s="6"/>
      <c r="AG127" s="6">
        <v>48568</v>
      </c>
      <c r="AH127" s="6"/>
      <c r="AI127" s="8">
        <f t="shared" si="36"/>
        <v>696203</v>
      </c>
      <c r="AJ127" s="8"/>
      <c r="AK127" s="6">
        <v>3900</v>
      </c>
      <c r="AL127" s="6"/>
      <c r="AM127" s="6">
        <v>0</v>
      </c>
      <c r="AN127" s="6"/>
      <c r="AO127" s="6">
        <v>0</v>
      </c>
      <c r="AP127" s="6"/>
      <c r="AQ127" s="6">
        <v>0</v>
      </c>
      <c r="AR127" s="6"/>
      <c r="AS127" s="8">
        <f t="shared" si="30"/>
        <v>700103</v>
      </c>
      <c r="AT127" s="8"/>
      <c r="AU127" s="6">
        <v>0</v>
      </c>
      <c r="AV127" s="6"/>
      <c r="AW127" s="6">
        <v>0</v>
      </c>
      <c r="AX127" s="6"/>
      <c r="AY127" s="6">
        <f t="shared" si="25"/>
        <v>3183790</v>
      </c>
      <c r="AZ127" s="6"/>
      <c r="BA127" s="6" t="s">
        <v>154</v>
      </c>
      <c r="BB127" s="18"/>
      <c r="BC127" s="6" t="s">
        <v>154</v>
      </c>
      <c r="BD127" s="6"/>
      <c r="BE127" s="6">
        <v>0</v>
      </c>
      <c r="BF127" s="6"/>
      <c r="BG127" s="6">
        <v>0</v>
      </c>
      <c r="BH127" s="6"/>
      <c r="BI127" s="6">
        <v>0</v>
      </c>
      <c r="BJ127" s="6"/>
      <c r="BK127" s="6">
        <f>54797+52369</f>
        <v>107166</v>
      </c>
      <c r="BL127" s="6"/>
      <c r="BM127" s="6">
        <f t="shared" si="29"/>
        <v>107166</v>
      </c>
      <c r="BN127" s="17" t="s">
        <v>345</v>
      </c>
    </row>
    <row r="128" spans="1:67" x14ac:dyDescent="0.2">
      <c r="A128" s="6" t="s">
        <v>155</v>
      </c>
      <c r="C128" s="6" t="s">
        <v>31</v>
      </c>
      <c r="D128" s="6"/>
      <c r="E128" s="6">
        <v>187230</v>
      </c>
      <c r="F128" s="6"/>
      <c r="G128" s="6">
        <v>302023</v>
      </c>
      <c r="H128" s="6"/>
      <c r="I128" s="6">
        <f>+E128+G128</f>
        <v>489253</v>
      </c>
      <c r="J128" s="6"/>
      <c r="K128" s="6">
        <v>47127</v>
      </c>
      <c r="L128" s="6"/>
      <c r="M128" s="6">
        <v>12975</v>
      </c>
      <c r="N128" s="6"/>
      <c r="O128" s="6">
        <f>+K128+M128</f>
        <v>60102</v>
      </c>
      <c r="P128" s="6"/>
      <c r="Q128" s="6">
        <v>299875</v>
      </c>
      <c r="R128" s="6"/>
      <c r="S128" s="6">
        <v>0</v>
      </c>
      <c r="T128" s="6"/>
      <c r="U128" s="6">
        <v>129276</v>
      </c>
      <c r="V128" s="6"/>
      <c r="W128" s="6">
        <f t="shared" si="31"/>
        <v>429151</v>
      </c>
      <c r="X128" s="6"/>
      <c r="Y128" s="6" t="s">
        <v>155</v>
      </c>
      <c r="Z128" s="18"/>
      <c r="AA128" s="6" t="s">
        <v>31</v>
      </c>
      <c r="AB128" s="6"/>
      <c r="AC128" s="6">
        <v>734334</v>
      </c>
      <c r="AD128" s="6"/>
      <c r="AE128" s="6">
        <f>690400-29444</f>
        <v>660956</v>
      </c>
      <c r="AF128" s="6"/>
      <c r="AG128" s="6">
        <v>29444</v>
      </c>
      <c r="AH128" s="6"/>
      <c r="AI128" s="8">
        <f t="shared" si="36"/>
        <v>43934</v>
      </c>
      <c r="AJ128" s="8"/>
      <c r="AK128" s="6">
        <v>2348</v>
      </c>
      <c r="AL128" s="6"/>
      <c r="AM128" s="6">
        <v>0</v>
      </c>
      <c r="AN128" s="6"/>
      <c r="AO128" s="6">
        <v>0</v>
      </c>
      <c r="AP128" s="6"/>
      <c r="AQ128" s="6">
        <v>0</v>
      </c>
      <c r="AR128" s="6"/>
      <c r="AS128" s="8">
        <f t="shared" si="30"/>
        <v>46282</v>
      </c>
      <c r="AT128" s="8"/>
      <c r="AU128" s="6">
        <v>0</v>
      </c>
      <c r="AV128" s="6"/>
      <c r="AW128" s="6">
        <v>0</v>
      </c>
      <c r="AX128" s="6"/>
      <c r="AY128" s="6">
        <f t="shared" ref="AY128:AY192" si="39">+E128-K128</f>
        <v>140103</v>
      </c>
      <c r="AZ128" s="6"/>
      <c r="BA128" s="6" t="s">
        <v>155</v>
      </c>
      <c r="BB128" s="18"/>
      <c r="BC128" s="6" t="s">
        <v>31</v>
      </c>
      <c r="BD128" s="6"/>
      <c r="BE128" s="6">
        <v>0</v>
      </c>
      <c r="BF128" s="6"/>
      <c r="BG128" s="6">
        <v>0</v>
      </c>
      <c r="BH128" s="6"/>
      <c r="BI128" s="6">
        <v>0</v>
      </c>
      <c r="BJ128" s="6"/>
      <c r="BK128" s="6">
        <f>1919+8951+2148+1876</f>
        <v>14894</v>
      </c>
      <c r="BL128" s="6"/>
      <c r="BM128" s="6">
        <f t="shared" si="29"/>
        <v>14894</v>
      </c>
      <c r="BN128" s="17" t="s">
        <v>345</v>
      </c>
    </row>
    <row r="129" spans="1:66" hidden="1" x14ac:dyDescent="0.2">
      <c r="A129" s="6" t="s">
        <v>156</v>
      </c>
      <c r="C129" s="6" t="s">
        <v>157</v>
      </c>
      <c r="D129" s="6"/>
      <c r="E129" s="6">
        <f t="shared" si="37"/>
        <v>697261</v>
      </c>
      <c r="F129" s="6"/>
      <c r="G129" s="6">
        <v>210516</v>
      </c>
      <c r="H129" s="6"/>
      <c r="I129" s="6">
        <v>907777</v>
      </c>
      <c r="J129" s="6"/>
      <c r="K129" s="6">
        <f t="shared" si="38"/>
        <v>108392</v>
      </c>
      <c r="L129" s="6"/>
      <c r="M129" s="6">
        <v>3623</v>
      </c>
      <c r="N129" s="6"/>
      <c r="O129" s="6">
        <v>112015</v>
      </c>
      <c r="P129" s="6"/>
      <c r="Q129" s="6">
        <v>210516</v>
      </c>
      <c r="R129" s="6"/>
      <c r="S129" s="6">
        <v>0</v>
      </c>
      <c r="T129" s="6"/>
      <c r="U129" s="6">
        <v>585246</v>
      </c>
      <c r="V129" s="6"/>
      <c r="W129" s="6">
        <f t="shared" si="31"/>
        <v>795762</v>
      </c>
      <c r="X129" s="6"/>
      <c r="Y129" s="6" t="s">
        <v>156</v>
      </c>
      <c r="Z129" s="18"/>
      <c r="AA129" s="6" t="s">
        <v>157</v>
      </c>
      <c r="AB129" s="6"/>
      <c r="AC129" s="6">
        <v>1369491</v>
      </c>
      <c r="AD129" s="6"/>
      <c r="AE129" s="6">
        <f>1333054-28232</f>
        <v>1304822</v>
      </c>
      <c r="AF129" s="6"/>
      <c r="AG129" s="6">
        <v>28232</v>
      </c>
      <c r="AH129" s="6"/>
      <c r="AI129" s="8">
        <f t="shared" si="36"/>
        <v>36437</v>
      </c>
      <c r="AJ129" s="8"/>
      <c r="AK129" s="6">
        <v>-9244</v>
      </c>
      <c r="AL129" s="6"/>
      <c r="AM129" s="6">
        <v>0</v>
      </c>
      <c r="AN129" s="6"/>
      <c r="AO129" s="6">
        <v>0</v>
      </c>
      <c r="AP129" s="6"/>
      <c r="AQ129" s="6">
        <v>0</v>
      </c>
      <c r="AR129" s="6"/>
      <c r="AS129" s="8">
        <f t="shared" si="30"/>
        <v>27193</v>
      </c>
      <c r="AT129" s="8"/>
      <c r="AU129" s="6">
        <v>0</v>
      </c>
      <c r="AV129" s="6"/>
      <c r="AW129" s="6">
        <v>0</v>
      </c>
      <c r="AX129" s="6"/>
      <c r="AY129" s="6">
        <f t="shared" si="39"/>
        <v>588869</v>
      </c>
      <c r="AZ129" s="6"/>
      <c r="BA129" s="6" t="s">
        <v>156</v>
      </c>
      <c r="BB129" s="18"/>
      <c r="BC129" s="6" t="s">
        <v>157</v>
      </c>
      <c r="BD129" s="6"/>
      <c r="BE129" s="6">
        <v>0</v>
      </c>
      <c r="BF129" s="6"/>
      <c r="BG129" s="6">
        <v>0</v>
      </c>
      <c r="BH129" s="6"/>
      <c r="BI129" s="6">
        <v>0</v>
      </c>
      <c r="BJ129" s="6"/>
      <c r="BK129" s="6">
        <f>3623+8278</f>
        <v>11901</v>
      </c>
      <c r="BL129" s="6"/>
      <c r="BM129" s="6">
        <f t="shared" si="29"/>
        <v>11901</v>
      </c>
      <c r="BN129" s="17" t="s">
        <v>345</v>
      </c>
    </row>
    <row r="130" spans="1:66" x14ac:dyDescent="0.2">
      <c r="A130" s="6" t="s">
        <v>158</v>
      </c>
      <c r="C130" s="6" t="s">
        <v>109</v>
      </c>
      <c r="D130" s="6"/>
      <c r="E130" s="6">
        <v>393647</v>
      </c>
      <c r="F130" s="6"/>
      <c r="G130" s="6">
        <v>0</v>
      </c>
      <c r="H130" s="6"/>
      <c r="I130" s="6">
        <f>+E130+G130</f>
        <v>393647</v>
      </c>
      <c r="J130" s="6"/>
      <c r="K130" s="6">
        <v>113198</v>
      </c>
      <c r="L130" s="6"/>
      <c r="M130" s="6">
        <v>138</v>
      </c>
      <c r="N130" s="6"/>
      <c r="O130" s="6">
        <f>+K130+M130</f>
        <v>113336</v>
      </c>
      <c r="P130" s="6"/>
      <c r="Q130" s="6">
        <v>0</v>
      </c>
      <c r="R130" s="6"/>
      <c r="S130" s="6">
        <v>0</v>
      </c>
      <c r="T130" s="6"/>
      <c r="U130" s="6">
        <v>280311</v>
      </c>
      <c r="V130" s="6"/>
      <c r="W130" s="6">
        <f t="shared" si="31"/>
        <v>280311</v>
      </c>
      <c r="X130" s="6"/>
      <c r="Y130" s="6" t="s">
        <v>158</v>
      </c>
      <c r="Z130" s="18"/>
      <c r="AA130" s="6" t="s">
        <v>109</v>
      </c>
      <c r="AB130" s="6"/>
      <c r="AC130" s="6">
        <v>1580927</v>
      </c>
      <c r="AD130" s="6"/>
      <c r="AE130" s="6">
        <v>1440349</v>
      </c>
      <c r="AF130" s="6"/>
      <c r="AG130" s="6">
        <v>0</v>
      </c>
      <c r="AH130" s="6"/>
      <c r="AI130" s="8">
        <f t="shared" si="36"/>
        <v>140578</v>
      </c>
      <c r="AJ130" s="8"/>
      <c r="AK130" s="6">
        <v>892</v>
      </c>
      <c r="AL130" s="6"/>
      <c r="AM130" s="6">
        <v>0</v>
      </c>
      <c r="AN130" s="6"/>
      <c r="AO130" s="6">
        <v>0</v>
      </c>
      <c r="AP130" s="6"/>
      <c r="AQ130" s="6">
        <v>0</v>
      </c>
      <c r="AR130" s="6"/>
      <c r="AS130" s="8">
        <f t="shared" si="30"/>
        <v>141470</v>
      </c>
      <c r="AT130" s="8"/>
      <c r="AU130" s="6">
        <v>0</v>
      </c>
      <c r="AV130" s="6"/>
      <c r="AW130" s="6">
        <v>0</v>
      </c>
      <c r="AX130" s="6"/>
      <c r="AY130" s="6">
        <f t="shared" si="39"/>
        <v>280449</v>
      </c>
      <c r="AZ130" s="6"/>
      <c r="BA130" s="6" t="s">
        <v>158</v>
      </c>
      <c r="BB130" s="18"/>
      <c r="BC130" s="6" t="s">
        <v>109</v>
      </c>
      <c r="BD130" s="6"/>
      <c r="BE130" s="6">
        <v>0</v>
      </c>
      <c r="BF130" s="6"/>
      <c r="BG130" s="6">
        <v>0</v>
      </c>
      <c r="BH130" s="6"/>
      <c r="BI130" s="6">
        <v>0</v>
      </c>
      <c r="BJ130" s="6"/>
      <c r="BK130" s="6">
        <v>138</v>
      </c>
      <c r="BL130" s="6"/>
      <c r="BM130" s="6">
        <f t="shared" si="29"/>
        <v>138</v>
      </c>
      <c r="BN130" s="17" t="s">
        <v>345</v>
      </c>
    </row>
    <row r="131" spans="1:66" x14ac:dyDescent="0.2">
      <c r="A131" s="6" t="s">
        <v>159</v>
      </c>
      <c r="C131" s="6" t="s">
        <v>13</v>
      </c>
      <c r="D131" s="6"/>
      <c r="E131" s="6">
        <v>167806</v>
      </c>
      <c r="F131" s="6"/>
      <c r="G131" s="6">
        <v>241975</v>
      </c>
      <c r="H131" s="6"/>
      <c r="I131" s="6">
        <f>+E131+G131</f>
        <v>409781</v>
      </c>
      <c r="J131" s="6"/>
      <c r="K131" s="6">
        <v>46503</v>
      </c>
      <c r="L131" s="6"/>
      <c r="M131" s="6">
        <v>116545</v>
      </c>
      <c r="N131" s="6"/>
      <c r="O131" s="6">
        <f>+K131+M131</f>
        <v>163048</v>
      </c>
      <c r="P131" s="6"/>
      <c r="Q131" s="6">
        <v>241975</v>
      </c>
      <c r="R131" s="6"/>
      <c r="S131" s="6">
        <v>0</v>
      </c>
      <c r="T131" s="6"/>
      <c r="U131" s="6">
        <v>4758</v>
      </c>
      <c r="V131" s="6"/>
      <c r="W131" s="6">
        <f t="shared" si="31"/>
        <v>246733</v>
      </c>
      <c r="X131" s="6"/>
      <c r="Y131" s="6" t="s">
        <v>159</v>
      </c>
      <c r="Z131" s="18"/>
      <c r="AA131" s="6" t="s">
        <v>13</v>
      </c>
      <c r="AB131" s="6"/>
      <c r="AC131" s="6">
        <v>1086182</v>
      </c>
      <c r="AD131" s="6"/>
      <c r="AE131" s="6">
        <f>1033682-82702</f>
        <v>950980</v>
      </c>
      <c r="AF131" s="6"/>
      <c r="AG131" s="6">
        <v>82702</v>
      </c>
      <c r="AH131" s="6"/>
      <c r="AI131" s="8">
        <f t="shared" si="36"/>
        <v>52500</v>
      </c>
      <c r="AJ131" s="8"/>
      <c r="AK131" s="6">
        <v>0</v>
      </c>
      <c r="AL131" s="6"/>
      <c r="AM131" s="6">
        <v>0</v>
      </c>
      <c r="AN131" s="6"/>
      <c r="AO131" s="6">
        <v>0</v>
      </c>
      <c r="AP131" s="6"/>
      <c r="AQ131" s="6">
        <v>0</v>
      </c>
      <c r="AR131" s="6"/>
      <c r="AS131" s="8">
        <f t="shared" si="30"/>
        <v>52500</v>
      </c>
      <c r="AT131" s="8"/>
      <c r="AU131" s="6">
        <v>0</v>
      </c>
      <c r="AV131" s="6"/>
      <c r="AW131" s="6">
        <v>0</v>
      </c>
      <c r="AX131" s="6"/>
      <c r="AY131" s="6">
        <f t="shared" si="39"/>
        <v>121303</v>
      </c>
      <c r="AZ131" s="6"/>
      <c r="BA131" s="6" t="s">
        <v>159</v>
      </c>
      <c r="BB131" s="18"/>
      <c r="BC131" s="6" t="s">
        <v>13</v>
      </c>
      <c r="BD131" s="6"/>
      <c r="BE131" s="6">
        <v>0</v>
      </c>
      <c r="BF131" s="6"/>
      <c r="BG131" s="6">
        <v>0</v>
      </c>
      <c r="BH131" s="6"/>
      <c r="BI131" s="6">
        <v>0</v>
      </c>
      <c r="BJ131" s="6"/>
      <c r="BK131" s="6">
        <f>116545-629</f>
        <v>115916</v>
      </c>
      <c r="BL131" s="6"/>
      <c r="BM131" s="6">
        <f t="shared" si="29"/>
        <v>115916</v>
      </c>
      <c r="BN131" s="17" t="s">
        <v>345</v>
      </c>
    </row>
    <row r="132" spans="1:66" hidden="1" x14ac:dyDescent="0.2">
      <c r="A132" s="6" t="s">
        <v>160</v>
      </c>
      <c r="C132" s="6" t="s">
        <v>161</v>
      </c>
      <c r="D132" s="6"/>
      <c r="E132" s="6">
        <f t="shared" si="37"/>
        <v>0</v>
      </c>
      <c r="F132" s="6"/>
      <c r="G132" s="6"/>
      <c r="H132" s="6"/>
      <c r="I132" s="6"/>
      <c r="J132" s="6"/>
      <c r="K132" s="6">
        <f t="shared" si="38"/>
        <v>0</v>
      </c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>
        <f t="shared" si="31"/>
        <v>0</v>
      </c>
      <c r="X132" s="6"/>
      <c r="Y132" s="6" t="s">
        <v>160</v>
      </c>
      <c r="Z132" s="18"/>
      <c r="AA132" s="6" t="s">
        <v>161</v>
      </c>
      <c r="AB132" s="6"/>
      <c r="AC132" s="6"/>
      <c r="AD132" s="6"/>
      <c r="AE132" s="6"/>
      <c r="AF132" s="6"/>
      <c r="AG132" s="6"/>
      <c r="AH132" s="6"/>
      <c r="AI132" s="8">
        <f t="shared" si="36"/>
        <v>0</v>
      </c>
      <c r="AJ132" s="8"/>
      <c r="AK132" s="6"/>
      <c r="AL132" s="6"/>
      <c r="AM132" s="6"/>
      <c r="AN132" s="6"/>
      <c r="AO132" s="6"/>
      <c r="AP132" s="6"/>
      <c r="AQ132" s="6"/>
      <c r="AR132" s="6"/>
      <c r="AS132" s="8">
        <f t="shared" si="30"/>
        <v>0</v>
      </c>
      <c r="AT132" s="8"/>
      <c r="AU132" s="6">
        <v>0</v>
      </c>
      <c r="AV132" s="6"/>
      <c r="AW132" s="6">
        <v>0</v>
      </c>
      <c r="AX132" s="6"/>
      <c r="AY132" s="6">
        <f t="shared" si="39"/>
        <v>0</v>
      </c>
      <c r="AZ132" s="6"/>
      <c r="BA132" s="6" t="s">
        <v>160</v>
      </c>
      <c r="BB132" s="18"/>
      <c r="BC132" s="6" t="s">
        <v>161</v>
      </c>
      <c r="BD132" s="6"/>
      <c r="BE132" s="6"/>
      <c r="BF132" s="6"/>
      <c r="BG132" s="6"/>
      <c r="BH132" s="6"/>
      <c r="BI132" s="6"/>
      <c r="BJ132" s="6"/>
      <c r="BK132" s="6"/>
      <c r="BL132" s="6"/>
      <c r="BM132" s="6">
        <f t="shared" si="29"/>
        <v>0</v>
      </c>
      <c r="BN132" s="17" t="s">
        <v>345</v>
      </c>
    </row>
    <row r="133" spans="1:66" hidden="1" x14ac:dyDescent="0.2">
      <c r="A133" s="6" t="s">
        <v>162</v>
      </c>
      <c r="C133" s="6" t="s">
        <v>25</v>
      </c>
      <c r="D133" s="6"/>
      <c r="E133" s="6">
        <f t="shared" si="37"/>
        <v>0</v>
      </c>
      <c r="F133" s="6"/>
      <c r="G133" s="6"/>
      <c r="H133" s="6"/>
      <c r="I133" s="6"/>
      <c r="J133" s="6"/>
      <c r="K133" s="6">
        <f t="shared" si="38"/>
        <v>0</v>
      </c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>
        <f t="shared" si="31"/>
        <v>0</v>
      </c>
      <c r="X133" s="6"/>
      <c r="Y133" s="6" t="s">
        <v>162</v>
      </c>
      <c r="Z133" s="18"/>
      <c r="AA133" s="6" t="s">
        <v>25</v>
      </c>
      <c r="AB133" s="6"/>
      <c r="AC133" s="6"/>
      <c r="AD133" s="6"/>
      <c r="AE133" s="6"/>
      <c r="AF133" s="6"/>
      <c r="AG133" s="6"/>
      <c r="AH133" s="6"/>
      <c r="AI133" s="8">
        <f t="shared" si="36"/>
        <v>0</v>
      </c>
      <c r="AJ133" s="8"/>
      <c r="AK133" s="6"/>
      <c r="AL133" s="6"/>
      <c r="AM133" s="6"/>
      <c r="AN133" s="6"/>
      <c r="AO133" s="6"/>
      <c r="AP133" s="6"/>
      <c r="AQ133" s="6"/>
      <c r="AR133" s="6"/>
      <c r="AS133" s="8">
        <f t="shared" si="30"/>
        <v>0</v>
      </c>
      <c r="AT133" s="8"/>
      <c r="AU133" s="6">
        <v>0</v>
      </c>
      <c r="AV133" s="6"/>
      <c r="AW133" s="6">
        <v>0</v>
      </c>
      <c r="AX133" s="6"/>
      <c r="AY133" s="6">
        <f t="shared" si="39"/>
        <v>0</v>
      </c>
      <c r="AZ133" s="6"/>
      <c r="BA133" s="6" t="s">
        <v>162</v>
      </c>
      <c r="BB133" s="18"/>
      <c r="BC133" s="6" t="s">
        <v>25</v>
      </c>
      <c r="BD133" s="6"/>
      <c r="BE133" s="6"/>
      <c r="BF133" s="6"/>
      <c r="BG133" s="6"/>
      <c r="BH133" s="6"/>
      <c r="BI133" s="6"/>
      <c r="BJ133" s="6"/>
      <c r="BK133" s="6"/>
      <c r="BL133" s="6"/>
      <c r="BM133" s="6">
        <f t="shared" si="29"/>
        <v>0</v>
      </c>
      <c r="BN133" s="17" t="s">
        <v>345</v>
      </c>
    </row>
    <row r="134" spans="1:66" x14ac:dyDescent="0.2">
      <c r="A134" s="6" t="s">
        <v>51</v>
      </c>
      <c r="C134" s="6" t="s">
        <v>51</v>
      </c>
      <c r="D134" s="6"/>
      <c r="E134" s="6">
        <v>1118129</v>
      </c>
      <c r="F134" s="6"/>
      <c r="G134" s="6">
        <v>345328</v>
      </c>
      <c r="H134" s="6"/>
      <c r="I134" s="6">
        <f>+E134+G134</f>
        <v>1463457</v>
      </c>
      <c r="J134" s="6"/>
      <c r="K134" s="6">
        <v>273798</v>
      </c>
      <c r="L134" s="6"/>
      <c r="M134" s="6">
        <v>27508</v>
      </c>
      <c r="N134" s="6"/>
      <c r="O134" s="6">
        <f>+K134+M134</f>
        <v>301306</v>
      </c>
      <c r="P134" s="6"/>
      <c r="Q134" s="6">
        <v>441655</v>
      </c>
      <c r="R134" s="6"/>
      <c r="S134" s="6">
        <v>0</v>
      </c>
      <c r="T134" s="6"/>
      <c r="U134" s="6">
        <v>720496</v>
      </c>
      <c r="V134" s="6"/>
      <c r="W134" s="6">
        <f t="shared" si="31"/>
        <v>1162151</v>
      </c>
      <c r="X134" s="6"/>
      <c r="Y134" s="6" t="s">
        <v>51</v>
      </c>
      <c r="Z134" s="18"/>
      <c r="AA134" s="6" t="s">
        <v>51</v>
      </c>
      <c r="AB134" s="6"/>
      <c r="AC134" s="6">
        <v>2748880</v>
      </c>
      <c r="AD134" s="6"/>
      <c r="AE134" s="6">
        <f>3285618-96327</f>
        <v>3189291</v>
      </c>
      <c r="AF134" s="6"/>
      <c r="AG134" s="6">
        <v>96327</v>
      </c>
      <c r="AH134" s="6"/>
      <c r="AI134" s="8">
        <f t="shared" si="36"/>
        <v>-536738</v>
      </c>
      <c r="AJ134" s="8"/>
      <c r="AK134" s="6">
        <v>4360</v>
      </c>
      <c r="AL134" s="6"/>
      <c r="AM134" s="6">
        <v>0</v>
      </c>
      <c r="AN134" s="6"/>
      <c r="AO134" s="6">
        <v>0</v>
      </c>
      <c r="AP134" s="6"/>
      <c r="AQ134" s="6">
        <v>0</v>
      </c>
      <c r="AR134" s="6"/>
      <c r="AS134" s="8">
        <f t="shared" si="30"/>
        <v>-532378</v>
      </c>
      <c r="AT134" s="8"/>
      <c r="AU134" s="6">
        <v>0</v>
      </c>
      <c r="AV134" s="6"/>
      <c r="AW134" s="6">
        <v>0</v>
      </c>
      <c r="AX134" s="6"/>
      <c r="AY134" s="6">
        <f t="shared" si="39"/>
        <v>844331</v>
      </c>
      <c r="AZ134" s="6"/>
      <c r="BA134" s="6" t="s">
        <v>51</v>
      </c>
      <c r="BB134" s="18"/>
      <c r="BC134" s="6" t="s">
        <v>51</v>
      </c>
      <c r="BD134" s="6"/>
      <c r="BE134" s="6">
        <v>0</v>
      </c>
      <c r="BF134" s="6"/>
      <c r="BG134" s="6">
        <v>0</v>
      </c>
      <c r="BH134" s="6"/>
      <c r="BI134" s="6">
        <v>0</v>
      </c>
      <c r="BJ134" s="6"/>
      <c r="BK134" s="6">
        <f>27508+40181</f>
        <v>67689</v>
      </c>
      <c r="BL134" s="6"/>
      <c r="BM134" s="6">
        <f t="shared" si="29"/>
        <v>67689</v>
      </c>
      <c r="BN134" s="17" t="s">
        <v>345</v>
      </c>
    </row>
    <row r="135" spans="1:66" hidden="1" x14ac:dyDescent="0.2">
      <c r="A135" s="6" t="s">
        <v>163</v>
      </c>
      <c r="C135" s="6" t="s">
        <v>90</v>
      </c>
      <c r="D135" s="6"/>
      <c r="E135" s="6">
        <f t="shared" si="37"/>
        <v>0</v>
      </c>
      <c r="F135" s="6"/>
      <c r="G135" s="6"/>
      <c r="H135" s="6"/>
      <c r="I135" s="6"/>
      <c r="J135" s="6"/>
      <c r="K135" s="6">
        <f t="shared" si="38"/>
        <v>0</v>
      </c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>
        <f t="shared" si="31"/>
        <v>0</v>
      </c>
      <c r="X135" s="6"/>
      <c r="Y135" s="6" t="s">
        <v>163</v>
      </c>
      <c r="Z135" s="18"/>
      <c r="AA135" s="6" t="s">
        <v>90</v>
      </c>
      <c r="AB135" s="6"/>
      <c r="AC135" s="6"/>
      <c r="AD135" s="6"/>
      <c r="AE135" s="6"/>
      <c r="AF135" s="6"/>
      <c r="AG135" s="6"/>
      <c r="AH135" s="6"/>
      <c r="AI135" s="8">
        <f t="shared" si="36"/>
        <v>0</v>
      </c>
      <c r="AJ135" s="8"/>
      <c r="AK135" s="6"/>
      <c r="AL135" s="6"/>
      <c r="AM135" s="6"/>
      <c r="AN135" s="6"/>
      <c r="AO135" s="6"/>
      <c r="AP135" s="6"/>
      <c r="AQ135" s="6"/>
      <c r="AR135" s="6"/>
      <c r="AS135" s="8">
        <f t="shared" si="30"/>
        <v>0</v>
      </c>
      <c r="AT135" s="8"/>
      <c r="AU135" s="6">
        <v>0</v>
      </c>
      <c r="AV135" s="6"/>
      <c r="AW135" s="6">
        <v>0</v>
      </c>
      <c r="AX135" s="6"/>
      <c r="AY135" s="6">
        <f t="shared" si="39"/>
        <v>0</v>
      </c>
      <c r="AZ135" s="6"/>
      <c r="BA135" s="6" t="s">
        <v>163</v>
      </c>
      <c r="BB135" s="18"/>
      <c r="BC135" s="6" t="s">
        <v>90</v>
      </c>
      <c r="BD135" s="6"/>
      <c r="BE135" s="6"/>
      <c r="BF135" s="6"/>
      <c r="BG135" s="6"/>
      <c r="BH135" s="6"/>
      <c r="BI135" s="6"/>
      <c r="BJ135" s="6"/>
      <c r="BK135" s="6"/>
      <c r="BL135" s="6"/>
      <c r="BM135" s="6">
        <f t="shared" si="29"/>
        <v>0</v>
      </c>
      <c r="BN135" s="17" t="s">
        <v>345</v>
      </c>
    </row>
    <row r="136" spans="1:66" hidden="1" x14ac:dyDescent="0.2">
      <c r="A136" s="6" t="s">
        <v>164</v>
      </c>
      <c r="C136" s="6" t="s">
        <v>90</v>
      </c>
      <c r="D136" s="6"/>
      <c r="E136" s="6">
        <f t="shared" si="37"/>
        <v>0</v>
      </c>
      <c r="F136" s="6"/>
      <c r="G136" s="6"/>
      <c r="H136" s="6"/>
      <c r="I136" s="6"/>
      <c r="J136" s="6"/>
      <c r="K136" s="6">
        <f t="shared" si="38"/>
        <v>0</v>
      </c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>
        <f t="shared" si="31"/>
        <v>0</v>
      </c>
      <c r="X136" s="6"/>
      <c r="Y136" s="6" t="s">
        <v>164</v>
      </c>
      <c r="Z136" s="18"/>
      <c r="AA136" s="6" t="s">
        <v>90</v>
      </c>
      <c r="AB136" s="6"/>
      <c r="AC136" s="6"/>
      <c r="AD136" s="6"/>
      <c r="AE136" s="6"/>
      <c r="AF136" s="6"/>
      <c r="AG136" s="6"/>
      <c r="AH136" s="6"/>
      <c r="AI136" s="8">
        <f t="shared" si="36"/>
        <v>0</v>
      </c>
      <c r="AJ136" s="8"/>
      <c r="AK136" s="6"/>
      <c r="AL136" s="6"/>
      <c r="AM136" s="6"/>
      <c r="AN136" s="6"/>
      <c r="AO136" s="6"/>
      <c r="AP136" s="6"/>
      <c r="AQ136" s="6"/>
      <c r="AR136" s="6"/>
      <c r="AS136" s="8">
        <f t="shared" si="30"/>
        <v>0</v>
      </c>
      <c r="AT136" s="8"/>
      <c r="AU136" s="6">
        <v>0</v>
      </c>
      <c r="AV136" s="6"/>
      <c r="AW136" s="6">
        <v>0</v>
      </c>
      <c r="AX136" s="6"/>
      <c r="AY136" s="6">
        <f t="shared" si="39"/>
        <v>0</v>
      </c>
      <c r="AZ136" s="6"/>
      <c r="BA136" s="6" t="s">
        <v>164</v>
      </c>
      <c r="BB136" s="18"/>
      <c r="BC136" s="6" t="s">
        <v>90</v>
      </c>
      <c r="BD136" s="6"/>
      <c r="BE136" s="6"/>
      <c r="BF136" s="6"/>
      <c r="BG136" s="6"/>
      <c r="BH136" s="6"/>
      <c r="BI136" s="6"/>
      <c r="BJ136" s="6"/>
      <c r="BK136" s="6"/>
      <c r="BL136" s="6"/>
      <c r="BM136" s="6">
        <f t="shared" si="29"/>
        <v>0</v>
      </c>
      <c r="BN136" s="17" t="s">
        <v>345</v>
      </c>
    </row>
    <row r="137" spans="1:66" hidden="1" x14ac:dyDescent="0.2">
      <c r="A137" s="6" t="s">
        <v>165</v>
      </c>
      <c r="C137" s="6" t="s">
        <v>64</v>
      </c>
      <c r="D137" s="6"/>
      <c r="E137" s="6">
        <f t="shared" si="37"/>
        <v>0</v>
      </c>
      <c r="F137" s="6"/>
      <c r="G137" s="6"/>
      <c r="H137" s="6"/>
      <c r="I137" s="6"/>
      <c r="J137" s="6"/>
      <c r="K137" s="6">
        <f t="shared" si="38"/>
        <v>0</v>
      </c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>
        <f t="shared" si="31"/>
        <v>0</v>
      </c>
      <c r="X137" s="6"/>
      <c r="Y137" s="6" t="s">
        <v>165</v>
      </c>
      <c r="Z137" s="18"/>
      <c r="AA137" s="6" t="s">
        <v>64</v>
      </c>
      <c r="AB137" s="6"/>
      <c r="AC137" s="6"/>
      <c r="AD137" s="6"/>
      <c r="AE137" s="6"/>
      <c r="AF137" s="6"/>
      <c r="AG137" s="6"/>
      <c r="AH137" s="6"/>
      <c r="AI137" s="8">
        <f t="shared" si="36"/>
        <v>0</v>
      </c>
      <c r="AJ137" s="8"/>
      <c r="AK137" s="6"/>
      <c r="AL137" s="6"/>
      <c r="AM137" s="6"/>
      <c r="AN137" s="6"/>
      <c r="AO137" s="6"/>
      <c r="AP137" s="6"/>
      <c r="AQ137" s="6"/>
      <c r="AR137" s="6"/>
      <c r="AS137" s="8">
        <f t="shared" si="30"/>
        <v>0</v>
      </c>
      <c r="AT137" s="8"/>
      <c r="AU137" s="6">
        <v>0</v>
      </c>
      <c r="AV137" s="6"/>
      <c r="AW137" s="6">
        <v>0</v>
      </c>
      <c r="AX137" s="6"/>
      <c r="AY137" s="6">
        <f t="shared" si="39"/>
        <v>0</v>
      </c>
      <c r="AZ137" s="6"/>
      <c r="BA137" s="6" t="s">
        <v>165</v>
      </c>
      <c r="BB137" s="18"/>
      <c r="BC137" s="6" t="s">
        <v>64</v>
      </c>
      <c r="BD137" s="6"/>
      <c r="BE137" s="6"/>
      <c r="BF137" s="6"/>
      <c r="BG137" s="6"/>
      <c r="BH137" s="6"/>
      <c r="BI137" s="6"/>
      <c r="BJ137" s="6"/>
      <c r="BK137" s="6"/>
      <c r="BL137" s="6"/>
      <c r="BM137" s="6">
        <f t="shared" si="29"/>
        <v>0</v>
      </c>
      <c r="BN137" s="17" t="s">
        <v>345</v>
      </c>
    </row>
    <row r="138" spans="1:66" hidden="1" x14ac:dyDescent="0.2">
      <c r="A138" s="7" t="s">
        <v>166</v>
      </c>
      <c r="C138" s="7" t="s">
        <v>25</v>
      </c>
      <c r="D138" s="7"/>
      <c r="E138" s="6">
        <f t="shared" si="37"/>
        <v>0</v>
      </c>
      <c r="F138" s="6"/>
      <c r="G138" s="6"/>
      <c r="H138" s="6"/>
      <c r="I138" s="6"/>
      <c r="J138" s="6"/>
      <c r="K138" s="6">
        <f t="shared" si="38"/>
        <v>0</v>
      </c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>
        <f t="shared" si="31"/>
        <v>0</v>
      </c>
      <c r="X138" s="6"/>
      <c r="Y138" s="7" t="s">
        <v>166</v>
      </c>
      <c r="Z138" s="18"/>
      <c r="AA138" s="7" t="s">
        <v>25</v>
      </c>
      <c r="AB138" s="7"/>
      <c r="AC138" s="6"/>
      <c r="AD138" s="6"/>
      <c r="AE138" s="6"/>
      <c r="AF138" s="6"/>
      <c r="AG138" s="6"/>
      <c r="AH138" s="6"/>
      <c r="AI138" s="8">
        <f t="shared" si="36"/>
        <v>0</v>
      </c>
      <c r="AJ138" s="8"/>
      <c r="AK138" s="6"/>
      <c r="AL138" s="6"/>
      <c r="AM138" s="6"/>
      <c r="AN138" s="6"/>
      <c r="AO138" s="6"/>
      <c r="AP138" s="6"/>
      <c r="AQ138" s="6"/>
      <c r="AR138" s="6"/>
      <c r="AS138" s="8">
        <f t="shared" si="30"/>
        <v>0</v>
      </c>
      <c r="AT138" s="8"/>
      <c r="AU138" s="6">
        <v>0</v>
      </c>
      <c r="AV138" s="6"/>
      <c r="AW138" s="6">
        <v>0</v>
      </c>
      <c r="AX138" s="6"/>
      <c r="AY138" s="6">
        <f t="shared" si="39"/>
        <v>0</v>
      </c>
      <c r="AZ138" s="6"/>
      <c r="BA138" s="7" t="s">
        <v>166</v>
      </c>
      <c r="BB138" s="18"/>
      <c r="BC138" s="7" t="s">
        <v>25</v>
      </c>
      <c r="BD138" s="7"/>
      <c r="BE138" s="6"/>
      <c r="BF138" s="6"/>
      <c r="BG138" s="6"/>
      <c r="BH138" s="6"/>
      <c r="BI138" s="6"/>
      <c r="BJ138" s="6"/>
      <c r="BK138" s="6"/>
      <c r="BL138" s="6"/>
      <c r="BM138" s="6">
        <f t="shared" si="29"/>
        <v>0</v>
      </c>
      <c r="BN138" s="17" t="s">
        <v>345</v>
      </c>
    </row>
    <row r="139" spans="1:66" x14ac:dyDescent="0.2">
      <c r="A139" s="6" t="s">
        <v>167</v>
      </c>
      <c r="C139" s="6" t="s">
        <v>101</v>
      </c>
      <c r="D139" s="6"/>
      <c r="E139" s="6">
        <v>668778</v>
      </c>
      <c r="F139" s="6"/>
      <c r="G139" s="6">
        <v>423160</v>
      </c>
      <c r="H139" s="6"/>
      <c r="I139" s="6">
        <f>+E139+G139</f>
        <v>1091938</v>
      </c>
      <c r="J139" s="6"/>
      <c r="K139" s="6">
        <v>476256</v>
      </c>
      <c r="L139" s="6"/>
      <c r="M139" s="6">
        <v>2459</v>
      </c>
      <c r="N139" s="6"/>
      <c r="O139" s="6">
        <f>+K139+M139</f>
        <v>478715</v>
      </c>
      <c r="P139" s="6"/>
      <c r="Q139" s="6">
        <v>161751</v>
      </c>
      <c r="R139" s="6"/>
      <c r="S139" s="6">
        <v>0</v>
      </c>
      <c r="T139" s="6"/>
      <c r="U139" s="6">
        <v>451472</v>
      </c>
      <c r="V139" s="6"/>
      <c r="W139" s="6">
        <f t="shared" si="31"/>
        <v>613223</v>
      </c>
      <c r="X139" s="6"/>
      <c r="Y139" s="6" t="s">
        <v>167</v>
      </c>
      <c r="Z139" s="18"/>
      <c r="AA139" s="6" t="s">
        <v>101</v>
      </c>
      <c r="AB139" s="6"/>
      <c r="AC139" s="6">
        <v>3018178</v>
      </c>
      <c r="AD139" s="6"/>
      <c r="AE139" s="6">
        <f>2668215-2084</f>
        <v>2666131</v>
      </c>
      <c r="AF139" s="6"/>
      <c r="AG139" s="6">
        <v>2084</v>
      </c>
      <c r="AH139" s="6"/>
      <c r="AI139" s="8">
        <f t="shared" si="36"/>
        <v>349963</v>
      </c>
      <c r="AJ139" s="8"/>
      <c r="AK139" s="6">
        <v>-22020</v>
      </c>
      <c r="AL139" s="6"/>
      <c r="AM139" s="6">
        <v>0</v>
      </c>
      <c r="AN139" s="6"/>
      <c r="AO139" s="6">
        <v>0</v>
      </c>
      <c r="AP139" s="6"/>
      <c r="AQ139" s="6">
        <v>0</v>
      </c>
      <c r="AR139" s="6"/>
      <c r="AS139" s="8">
        <f t="shared" si="30"/>
        <v>327943</v>
      </c>
      <c r="AT139" s="8"/>
      <c r="AU139" s="6">
        <v>0</v>
      </c>
      <c r="AV139" s="6"/>
      <c r="AW139" s="6">
        <v>0</v>
      </c>
      <c r="AX139" s="6"/>
      <c r="AY139" s="6">
        <f t="shared" si="39"/>
        <v>192522</v>
      </c>
      <c r="AZ139" s="6"/>
      <c r="BA139" s="6" t="s">
        <v>167</v>
      </c>
      <c r="BB139" s="18"/>
      <c r="BC139" s="6" t="s">
        <v>101</v>
      </c>
      <c r="BD139" s="6"/>
      <c r="BE139" s="6">
        <v>0</v>
      </c>
      <c r="BF139" s="6"/>
      <c r="BG139" s="6">
        <v>0</v>
      </c>
      <c r="BH139" s="6"/>
      <c r="BI139" s="6">
        <v>0</v>
      </c>
      <c r="BJ139" s="6"/>
      <c r="BK139" s="6">
        <v>2459</v>
      </c>
      <c r="BL139" s="6"/>
      <c r="BM139" s="6">
        <f t="shared" si="29"/>
        <v>2459</v>
      </c>
      <c r="BN139" s="17" t="s">
        <v>345</v>
      </c>
    </row>
    <row r="140" spans="1:66" hidden="1" x14ac:dyDescent="0.2">
      <c r="A140" s="6" t="s">
        <v>168</v>
      </c>
      <c r="C140" s="6" t="s">
        <v>169</v>
      </c>
      <c r="D140" s="6"/>
      <c r="E140" s="6">
        <f t="shared" si="37"/>
        <v>0</v>
      </c>
      <c r="F140" s="6"/>
      <c r="G140" s="6"/>
      <c r="H140" s="6"/>
      <c r="I140" s="6"/>
      <c r="J140" s="6"/>
      <c r="K140" s="6">
        <f t="shared" si="38"/>
        <v>0</v>
      </c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>
        <f t="shared" si="31"/>
        <v>0</v>
      </c>
      <c r="X140" s="6"/>
      <c r="Y140" s="6" t="s">
        <v>168</v>
      </c>
      <c r="Z140" s="18"/>
      <c r="AA140" s="6" t="s">
        <v>169</v>
      </c>
      <c r="AB140" s="6"/>
      <c r="AC140" s="6"/>
      <c r="AD140" s="6"/>
      <c r="AE140" s="6"/>
      <c r="AF140" s="6"/>
      <c r="AG140" s="6"/>
      <c r="AH140" s="6"/>
      <c r="AI140" s="8">
        <f t="shared" si="36"/>
        <v>0</v>
      </c>
      <c r="AJ140" s="8"/>
      <c r="AK140" s="6"/>
      <c r="AL140" s="6"/>
      <c r="AM140" s="6"/>
      <c r="AN140" s="6"/>
      <c r="AO140" s="6"/>
      <c r="AP140" s="6"/>
      <c r="AQ140" s="6"/>
      <c r="AR140" s="6"/>
      <c r="AS140" s="8">
        <f t="shared" si="30"/>
        <v>0</v>
      </c>
      <c r="AT140" s="8"/>
      <c r="AU140" s="6">
        <v>0</v>
      </c>
      <c r="AV140" s="6"/>
      <c r="AW140" s="6">
        <v>0</v>
      </c>
      <c r="AX140" s="6"/>
      <c r="AY140" s="6">
        <f t="shared" si="39"/>
        <v>0</v>
      </c>
      <c r="AZ140" s="6"/>
      <c r="BA140" s="6" t="s">
        <v>168</v>
      </c>
      <c r="BB140" s="18"/>
      <c r="BC140" s="6" t="s">
        <v>169</v>
      </c>
      <c r="BD140" s="6"/>
      <c r="BE140" s="6"/>
      <c r="BF140" s="6"/>
      <c r="BG140" s="6"/>
      <c r="BH140" s="6"/>
      <c r="BI140" s="6"/>
      <c r="BJ140" s="6"/>
      <c r="BK140" s="6"/>
      <c r="BL140" s="6"/>
      <c r="BM140" s="6">
        <f t="shared" si="29"/>
        <v>0</v>
      </c>
      <c r="BN140" s="17" t="s">
        <v>345</v>
      </c>
    </row>
    <row r="141" spans="1:66" hidden="1" x14ac:dyDescent="0.2">
      <c r="A141" s="6" t="s">
        <v>170</v>
      </c>
      <c r="C141" s="6" t="s">
        <v>101</v>
      </c>
      <c r="D141" s="6"/>
      <c r="E141" s="6">
        <f t="shared" si="37"/>
        <v>0</v>
      </c>
      <c r="F141" s="6"/>
      <c r="G141" s="6"/>
      <c r="H141" s="6"/>
      <c r="I141" s="6"/>
      <c r="J141" s="6"/>
      <c r="K141" s="6">
        <f t="shared" si="38"/>
        <v>0</v>
      </c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>
        <f t="shared" si="31"/>
        <v>0</v>
      </c>
      <c r="X141" s="6"/>
      <c r="Y141" s="6" t="s">
        <v>170</v>
      </c>
      <c r="Z141" s="18"/>
      <c r="AA141" s="6" t="s">
        <v>101</v>
      </c>
      <c r="AB141" s="6"/>
      <c r="AC141" s="6"/>
      <c r="AD141" s="6"/>
      <c r="AE141" s="6"/>
      <c r="AF141" s="6"/>
      <c r="AG141" s="6"/>
      <c r="AH141" s="6"/>
      <c r="AI141" s="8">
        <f t="shared" si="36"/>
        <v>0</v>
      </c>
      <c r="AJ141" s="8"/>
      <c r="AK141" s="6"/>
      <c r="AL141" s="6"/>
      <c r="AM141" s="6"/>
      <c r="AN141" s="6"/>
      <c r="AO141" s="6"/>
      <c r="AP141" s="6"/>
      <c r="AQ141" s="6"/>
      <c r="AR141" s="6"/>
      <c r="AS141" s="8">
        <f t="shared" si="30"/>
        <v>0</v>
      </c>
      <c r="AT141" s="8"/>
      <c r="AU141" s="6">
        <v>0</v>
      </c>
      <c r="AV141" s="6"/>
      <c r="AW141" s="6">
        <v>0</v>
      </c>
      <c r="AX141" s="6"/>
      <c r="AY141" s="6">
        <f t="shared" si="39"/>
        <v>0</v>
      </c>
      <c r="AZ141" s="6"/>
      <c r="BA141" s="6" t="s">
        <v>170</v>
      </c>
      <c r="BB141" s="18"/>
      <c r="BC141" s="6" t="s">
        <v>101</v>
      </c>
      <c r="BD141" s="6"/>
      <c r="BE141" s="6"/>
      <c r="BF141" s="6"/>
      <c r="BG141" s="6"/>
      <c r="BH141" s="6"/>
      <c r="BI141" s="6"/>
      <c r="BJ141" s="6"/>
      <c r="BK141" s="6"/>
      <c r="BL141" s="6"/>
      <c r="BM141" s="6">
        <f t="shared" si="29"/>
        <v>0</v>
      </c>
      <c r="BN141" s="17" t="s">
        <v>345</v>
      </c>
    </row>
    <row r="142" spans="1:66" hidden="1" x14ac:dyDescent="0.2">
      <c r="A142" s="6" t="s">
        <v>64</v>
      </c>
      <c r="C142" s="6" t="s">
        <v>43</v>
      </c>
      <c r="D142" s="6"/>
      <c r="E142" s="6">
        <f t="shared" si="37"/>
        <v>0</v>
      </c>
      <c r="F142" s="6"/>
      <c r="G142" s="6"/>
      <c r="H142" s="6"/>
      <c r="I142" s="6"/>
      <c r="J142" s="6"/>
      <c r="K142" s="6">
        <f t="shared" si="38"/>
        <v>0</v>
      </c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>
        <f t="shared" ref="W142:W206" si="40">SUM(Q142:U142)</f>
        <v>0</v>
      </c>
      <c r="X142" s="6"/>
      <c r="Y142" s="6" t="s">
        <v>64</v>
      </c>
      <c r="Z142" s="18"/>
      <c r="AA142" s="6" t="s">
        <v>43</v>
      </c>
      <c r="AB142" s="6"/>
      <c r="AC142" s="6"/>
      <c r="AD142" s="6"/>
      <c r="AE142" s="6"/>
      <c r="AF142" s="6"/>
      <c r="AG142" s="6"/>
      <c r="AH142" s="6"/>
      <c r="AI142" s="8">
        <f t="shared" si="36"/>
        <v>0</v>
      </c>
      <c r="AJ142" s="8"/>
      <c r="AK142" s="6"/>
      <c r="AL142" s="6"/>
      <c r="AM142" s="6"/>
      <c r="AN142" s="6"/>
      <c r="AO142" s="6"/>
      <c r="AP142" s="6"/>
      <c r="AQ142" s="6"/>
      <c r="AR142" s="6"/>
      <c r="AS142" s="8">
        <f t="shared" si="30"/>
        <v>0</v>
      </c>
      <c r="AT142" s="8"/>
      <c r="AU142" s="6">
        <v>0</v>
      </c>
      <c r="AV142" s="6"/>
      <c r="AW142" s="6">
        <v>0</v>
      </c>
      <c r="AX142" s="6"/>
      <c r="AY142" s="6">
        <f t="shared" si="39"/>
        <v>0</v>
      </c>
      <c r="AZ142" s="6"/>
      <c r="BA142" s="6" t="s">
        <v>64</v>
      </c>
      <c r="BB142" s="18"/>
      <c r="BC142" s="6" t="s">
        <v>43</v>
      </c>
      <c r="BD142" s="6"/>
      <c r="BE142" s="6"/>
      <c r="BF142" s="6"/>
      <c r="BG142" s="6"/>
      <c r="BH142" s="6"/>
      <c r="BI142" s="6"/>
      <c r="BJ142" s="6"/>
      <c r="BK142" s="6"/>
      <c r="BL142" s="6"/>
      <c r="BM142" s="6">
        <f t="shared" si="29"/>
        <v>0</v>
      </c>
      <c r="BN142" s="17" t="s">
        <v>345</v>
      </c>
    </row>
    <row r="143" spans="1:66" hidden="1" x14ac:dyDescent="0.2">
      <c r="A143" s="6" t="s">
        <v>171</v>
      </c>
      <c r="C143" s="6" t="s">
        <v>64</v>
      </c>
      <c r="D143" s="6"/>
      <c r="E143" s="6">
        <f t="shared" si="37"/>
        <v>0</v>
      </c>
      <c r="F143" s="6"/>
      <c r="G143" s="6"/>
      <c r="H143" s="6"/>
      <c r="I143" s="6"/>
      <c r="J143" s="6"/>
      <c r="K143" s="6">
        <f t="shared" si="38"/>
        <v>0</v>
      </c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>
        <f t="shared" si="40"/>
        <v>0</v>
      </c>
      <c r="X143" s="6"/>
      <c r="Y143" s="6" t="s">
        <v>171</v>
      </c>
      <c r="Z143" s="18"/>
      <c r="AA143" s="6" t="s">
        <v>64</v>
      </c>
      <c r="AB143" s="6"/>
      <c r="AC143" s="6"/>
      <c r="AD143" s="6"/>
      <c r="AE143" s="6"/>
      <c r="AF143" s="6"/>
      <c r="AG143" s="6"/>
      <c r="AH143" s="6"/>
      <c r="AI143" s="8">
        <f t="shared" si="36"/>
        <v>0</v>
      </c>
      <c r="AJ143" s="8"/>
      <c r="AK143" s="6"/>
      <c r="AL143" s="6"/>
      <c r="AM143" s="6"/>
      <c r="AN143" s="6"/>
      <c r="AO143" s="6"/>
      <c r="AP143" s="6"/>
      <c r="AQ143" s="6"/>
      <c r="AR143" s="6"/>
      <c r="AS143" s="8">
        <f t="shared" si="30"/>
        <v>0</v>
      </c>
      <c r="AT143" s="8"/>
      <c r="AU143" s="6">
        <v>0</v>
      </c>
      <c r="AV143" s="6"/>
      <c r="AW143" s="6">
        <v>0</v>
      </c>
      <c r="AX143" s="6"/>
      <c r="AY143" s="6">
        <f t="shared" si="39"/>
        <v>0</v>
      </c>
      <c r="AZ143" s="6"/>
      <c r="BA143" s="6" t="s">
        <v>171</v>
      </c>
      <c r="BB143" s="18"/>
      <c r="BC143" s="6" t="s">
        <v>64</v>
      </c>
      <c r="BD143" s="6"/>
      <c r="BE143" s="6"/>
      <c r="BF143" s="6"/>
      <c r="BG143" s="6"/>
      <c r="BH143" s="6"/>
      <c r="BI143" s="6"/>
      <c r="BJ143" s="6"/>
      <c r="BK143" s="6"/>
      <c r="BL143" s="6"/>
      <c r="BM143" s="6">
        <f t="shared" si="29"/>
        <v>0</v>
      </c>
      <c r="BN143" s="17" t="s">
        <v>345</v>
      </c>
    </row>
    <row r="144" spans="1:66" hidden="1" x14ac:dyDescent="0.2">
      <c r="A144" s="6" t="s">
        <v>172</v>
      </c>
      <c r="C144" s="6" t="s">
        <v>43</v>
      </c>
      <c r="D144" s="6"/>
      <c r="E144" s="6">
        <f t="shared" si="37"/>
        <v>0</v>
      </c>
      <c r="F144" s="6"/>
      <c r="G144" s="6"/>
      <c r="H144" s="6"/>
      <c r="I144" s="6"/>
      <c r="J144" s="6"/>
      <c r="K144" s="6">
        <f t="shared" si="38"/>
        <v>0</v>
      </c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>
        <f t="shared" si="40"/>
        <v>0</v>
      </c>
      <c r="X144" s="6"/>
      <c r="Y144" s="6" t="s">
        <v>172</v>
      </c>
      <c r="Z144" s="18"/>
      <c r="AA144" s="6" t="s">
        <v>43</v>
      </c>
      <c r="AB144" s="6"/>
      <c r="AC144" s="6"/>
      <c r="AD144" s="6"/>
      <c r="AE144" s="6"/>
      <c r="AF144" s="6"/>
      <c r="AG144" s="6"/>
      <c r="AH144" s="6"/>
      <c r="AI144" s="8">
        <f t="shared" si="36"/>
        <v>0</v>
      </c>
      <c r="AJ144" s="8"/>
      <c r="AK144" s="6"/>
      <c r="AL144" s="6"/>
      <c r="AM144" s="6"/>
      <c r="AN144" s="6"/>
      <c r="AO144" s="6"/>
      <c r="AP144" s="6"/>
      <c r="AQ144" s="6"/>
      <c r="AR144" s="6"/>
      <c r="AS144" s="8">
        <f t="shared" si="30"/>
        <v>0</v>
      </c>
      <c r="AT144" s="8"/>
      <c r="AU144" s="6">
        <v>0</v>
      </c>
      <c r="AV144" s="6"/>
      <c r="AW144" s="6">
        <v>0</v>
      </c>
      <c r="AX144" s="6"/>
      <c r="AY144" s="6">
        <f t="shared" si="39"/>
        <v>0</v>
      </c>
      <c r="AZ144" s="6"/>
      <c r="BA144" s="6" t="s">
        <v>172</v>
      </c>
      <c r="BB144" s="18"/>
      <c r="BC144" s="6" t="s">
        <v>43</v>
      </c>
      <c r="BD144" s="6"/>
      <c r="BE144" s="6"/>
      <c r="BF144" s="6"/>
      <c r="BG144" s="6"/>
      <c r="BH144" s="6"/>
      <c r="BI144" s="6"/>
      <c r="BJ144" s="6"/>
      <c r="BK144" s="6"/>
      <c r="BL144" s="6"/>
      <c r="BM144" s="6">
        <f t="shared" si="29"/>
        <v>0</v>
      </c>
      <c r="BN144" s="17" t="s">
        <v>345</v>
      </c>
    </row>
    <row r="145" spans="1:66" hidden="1" x14ac:dyDescent="0.2">
      <c r="A145" s="6" t="s">
        <v>173</v>
      </c>
      <c r="C145" s="6" t="s">
        <v>174</v>
      </c>
      <c r="D145" s="6"/>
      <c r="E145" s="6">
        <f t="shared" si="37"/>
        <v>0</v>
      </c>
      <c r="F145" s="6"/>
      <c r="G145" s="6"/>
      <c r="H145" s="6"/>
      <c r="I145" s="6"/>
      <c r="J145" s="6"/>
      <c r="K145" s="6">
        <f t="shared" si="38"/>
        <v>0</v>
      </c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>
        <f t="shared" si="40"/>
        <v>0</v>
      </c>
      <c r="X145" s="6"/>
      <c r="Y145" s="6" t="s">
        <v>173</v>
      </c>
      <c r="Z145" s="18"/>
      <c r="AA145" s="6" t="s">
        <v>174</v>
      </c>
      <c r="AB145" s="6"/>
      <c r="AC145" s="6"/>
      <c r="AD145" s="6"/>
      <c r="AE145" s="6"/>
      <c r="AF145" s="6"/>
      <c r="AG145" s="6"/>
      <c r="AH145" s="6"/>
      <c r="AI145" s="8">
        <f t="shared" si="36"/>
        <v>0</v>
      </c>
      <c r="AJ145" s="8"/>
      <c r="AK145" s="6"/>
      <c r="AL145" s="6"/>
      <c r="AM145" s="6"/>
      <c r="AN145" s="6"/>
      <c r="AO145" s="6"/>
      <c r="AP145" s="6"/>
      <c r="AQ145" s="6"/>
      <c r="AR145" s="6"/>
      <c r="AS145" s="8">
        <f t="shared" si="30"/>
        <v>0</v>
      </c>
      <c r="AT145" s="8"/>
      <c r="AU145" s="6">
        <v>0</v>
      </c>
      <c r="AV145" s="6"/>
      <c r="AW145" s="6">
        <v>0</v>
      </c>
      <c r="AX145" s="6"/>
      <c r="AY145" s="6">
        <f t="shared" si="39"/>
        <v>0</v>
      </c>
      <c r="AZ145" s="6"/>
      <c r="BA145" s="6" t="s">
        <v>173</v>
      </c>
      <c r="BB145" s="18"/>
      <c r="BC145" s="6" t="s">
        <v>174</v>
      </c>
      <c r="BD145" s="6"/>
      <c r="BE145" s="6"/>
      <c r="BF145" s="6"/>
      <c r="BG145" s="6"/>
      <c r="BH145" s="6"/>
      <c r="BI145" s="6"/>
      <c r="BJ145" s="6"/>
      <c r="BK145" s="6"/>
      <c r="BL145" s="6"/>
      <c r="BM145" s="6">
        <v>0</v>
      </c>
      <c r="BN145" s="17" t="s">
        <v>345</v>
      </c>
    </row>
    <row r="146" spans="1:66" hidden="1" x14ac:dyDescent="0.2">
      <c r="A146" s="6" t="s">
        <v>175</v>
      </c>
      <c r="C146" s="6" t="s">
        <v>11</v>
      </c>
      <c r="D146" s="6"/>
      <c r="E146" s="6">
        <f t="shared" si="37"/>
        <v>0</v>
      </c>
      <c r="F146" s="6"/>
      <c r="G146" s="6"/>
      <c r="H146" s="6"/>
      <c r="I146" s="6"/>
      <c r="J146" s="6"/>
      <c r="K146" s="6">
        <f t="shared" si="38"/>
        <v>0</v>
      </c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>
        <f t="shared" si="40"/>
        <v>0</v>
      </c>
      <c r="X146" s="6"/>
      <c r="Y146" s="6" t="s">
        <v>175</v>
      </c>
      <c r="Z146" s="18"/>
      <c r="AA146" s="6" t="s">
        <v>11</v>
      </c>
      <c r="AB146" s="6"/>
      <c r="AC146" s="6"/>
      <c r="AD146" s="6"/>
      <c r="AE146" s="6"/>
      <c r="AF146" s="6"/>
      <c r="AG146" s="6"/>
      <c r="AH146" s="6"/>
      <c r="AI146" s="8">
        <f t="shared" si="36"/>
        <v>0</v>
      </c>
      <c r="AJ146" s="8"/>
      <c r="AK146" s="6"/>
      <c r="AL146" s="6"/>
      <c r="AM146" s="6"/>
      <c r="AN146" s="6"/>
      <c r="AO146" s="6"/>
      <c r="AP146" s="6"/>
      <c r="AQ146" s="6"/>
      <c r="AR146" s="6"/>
      <c r="AS146" s="8">
        <f t="shared" si="30"/>
        <v>0</v>
      </c>
      <c r="AT146" s="8"/>
      <c r="AU146" s="6">
        <v>0</v>
      </c>
      <c r="AV146" s="6"/>
      <c r="AW146" s="6">
        <v>0</v>
      </c>
      <c r="AX146" s="6"/>
      <c r="AY146" s="6">
        <f t="shared" si="39"/>
        <v>0</v>
      </c>
      <c r="AZ146" s="6"/>
      <c r="BA146" s="6" t="s">
        <v>175</v>
      </c>
      <c r="BB146" s="18"/>
      <c r="BC146" s="6" t="s">
        <v>11</v>
      </c>
      <c r="BD146" s="6"/>
      <c r="BE146" s="6"/>
      <c r="BF146" s="6"/>
      <c r="BG146" s="6"/>
      <c r="BH146" s="6"/>
      <c r="BI146" s="6"/>
      <c r="BJ146" s="6"/>
      <c r="BK146" s="6"/>
      <c r="BL146" s="6"/>
      <c r="BM146" s="6">
        <f t="shared" ref="BM146:BM192" si="41">SUM(BE146:BK146)</f>
        <v>0</v>
      </c>
      <c r="BN146" s="17" t="s">
        <v>345</v>
      </c>
    </row>
    <row r="147" spans="1:66" x14ac:dyDescent="0.2">
      <c r="A147" s="6" t="s">
        <v>176</v>
      </c>
      <c r="C147" s="6" t="s">
        <v>177</v>
      </c>
      <c r="D147" s="6"/>
      <c r="E147" s="6">
        <v>708251</v>
      </c>
      <c r="F147" s="6"/>
      <c r="G147" s="6">
        <v>602175</v>
      </c>
      <c r="H147" s="6"/>
      <c r="I147" s="6">
        <f>+E147+G147</f>
        <v>1310426</v>
      </c>
      <c r="J147" s="6"/>
      <c r="K147" s="6">
        <v>38985</v>
      </c>
      <c r="L147" s="6"/>
      <c r="M147" s="6">
        <v>8219</v>
      </c>
      <c r="N147" s="6"/>
      <c r="O147" s="6">
        <f>+K147+M147</f>
        <v>47204</v>
      </c>
      <c r="P147" s="6"/>
      <c r="Q147" s="6">
        <v>602175</v>
      </c>
      <c r="R147" s="6"/>
      <c r="S147" s="6">
        <v>0</v>
      </c>
      <c r="T147" s="6"/>
      <c r="U147" s="6">
        <v>661047</v>
      </c>
      <c r="V147" s="6"/>
      <c r="W147" s="6">
        <f t="shared" si="40"/>
        <v>1263222</v>
      </c>
      <c r="X147" s="6"/>
      <c r="Y147" s="6" t="s">
        <v>176</v>
      </c>
      <c r="Z147" s="18"/>
      <c r="AA147" s="6" t="s">
        <v>177</v>
      </c>
      <c r="AB147" s="6"/>
      <c r="AC147" s="6">
        <v>858402</v>
      </c>
      <c r="AD147" s="6"/>
      <c r="AE147" s="6">
        <f>792987-65657</f>
        <v>727330</v>
      </c>
      <c r="AF147" s="6"/>
      <c r="AG147" s="6">
        <v>65657</v>
      </c>
      <c r="AH147" s="6"/>
      <c r="AI147" s="8">
        <f t="shared" si="36"/>
        <v>65415</v>
      </c>
      <c r="AJ147" s="8"/>
      <c r="AK147" s="6">
        <v>7761</v>
      </c>
      <c r="AL147" s="6"/>
      <c r="AM147" s="6">
        <v>0</v>
      </c>
      <c r="AN147" s="6"/>
      <c r="AO147" s="6">
        <v>0</v>
      </c>
      <c r="AP147" s="6"/>
      <c r="AQ147" s="6">
        <v>0</v>
      </c>
      <c r="AR147" s="6"/>
      <c r="AS147" s="8">
        <f t="shared" si="30"/>
        <v>73176</v>
      </c>
      <c r="AT147" s="8"/>
      <c r="AU147" s="6">
        <v>0</v>
      </c>
      <c r="AV147" s="6"/>
      <c r="AW147" s="6">
        <v>0</v>
      </c>
      <c r="AX147" s="6"/>
      <c r="AY147" s="6">
        <f t="shared" si="39"/>
        <v>669266</v>
      </c>
      <c r="AZ147" s="6"/>
      <c r="BA147" s="6" t="s">
        <v>176</v>
      </c>
      <c r="BB147" s="18"/>
      <c r="BC147" s="6" t="s">
        <v>177</v>
      </c>
      <c r="BD147" s="6"/>
      <c r="BE147" s="6">
        <v>0</v>
      </c>
      <c r="BF147" s="6"/>
      <c r="BG147" s="6">
        <v>0</v>
      </c>
      <c r="BH147" s="6"/>
      <c r="BI147" s="6">
        <v>0</v>
      </c>
      <c r="BJ147" s="6"/>
      <c r="BK147" s="6">
        <f>8219+4120</f>
        <v>12339</v>
      </c>
      <c r="BL147" s="6"/>
      <c r="BM147" s="6">
        <f t="shared" si="41"/>
        <v>12339</v>
      </c>
      <c r="BN147" s="17" t="s">
        <v>345</v>
      </c>
    </row>
    <row r="148" spans="1:66" hidden="1" x14ac:dyDescent="0.2">
      <c r="A148" s="6" t="s">
        <v>178</v>
      </c>
      <c r="C148" s="6" t="s">
        <v>18</v>
      </c>
      <c r="D148" s="6"/>
      <c r="E148" s="6">
        <f t="shared" si="37"/>
        <v>0</v>
      </c>
      <c r="F148" s="6"/>
      <c r="G148" s="6"/>
      <c r="H148" s="6"/>
      <c r="I148" s="6"/>
      <c r="J148" s="6"/>
      <c r="K148" s="6">
        <f t="shared" si="38"/>
        <v>0</v>
      </c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>
        <f t="shared" si="40"/>
        <v>0</v>
      </c>
      <c r="X148" s="6"/>
      <c r="Y148" s="6" t="s">
        <v>178</v>
      </c>
      <c r="Z148" s="18"/>
      <c r="AA148" s="6" t="s">
        <v>18</v>
      </c>
      <c r="AB148" s="6"/>
      <c r="AC148" s="6"/>
      <c r="AD148" s="6"/>
      <c r="AE148" s="6"/>
      <c r="AF148" s="6"/>
      <c r="AG148" s="6"/>
      <c r="AH148" s="6"/>
      <c r="AI148" s="8">
        <f t="shared" si="36"/>
        <v>0</v>
      </c>
      <c r="AJ148" s="8"/>
      <c r="AK148" s="6"/>
      <c r="AL148" s="6"/>
      <c r="AM148" s="6"/>
      <c r="AN148" s="6"/>
      <c r="AO148" s="6"/>
      <c r="AP148" s="6"/>
      <c r="AQ148" s="6"/>
      <c r="AR148" s="6"/>
      <c r="AS148" s="8">
        <f t="shared" si="30"/>
        <v>0</v>
      </c>
      <c r="AT148" s="8"/>
      <c r="AU148" s="6">
        <v>0</v>
      </c>
      <c r="AV148" s="6"/>
      <c r="AW148" s="6">
        <v>0</v>
      </c>
      <c r="AX148" s="6"/>
      <c r="AY148" s="6">
        <f t="shared" si="39"/>
        <v>0</v>
      </c>
      <c r="AZ148" s="6"/>
      <c r="BA148" s="6" t="s">
        <v>178</v>
      </c>
      <c r="BB148" s="18"/>
      <c r="BC148" s="6" t="s">
        <v>18</v>
      </c>
      <c r="BD148" s="6"/>
      <c r="BE148" s="6"/>
      <c r="BF148" s="6"/>
      <c r="BG148" s="6"/>
      <c r="BH148" s="6"/>
      <c r="BI148" s="6"/>
      <c r="BJ148" s="6"/>
      <c r="BK148" s="6"/>
      <c r="BL148" s="6"/>
      <c r="BM148" s="6">
        <f t="shared" si="41"/>
        <v>0</v>
      </c>
      <c r="BN148" s="17" t="s">
        <v>345</v>
      </c>
    </row>
    <row r="149" spans="1:66" ht="12" hidden="1" x14ac:dyDescent="0.2">
      <c r="A149" s="7" t="s">
        <v>495</v>
      </c>
      <c r="B149" s="10"/>
      <c r="C149" s="7" t="s">
        <v>41</v>
      </c>
      <c r="D149" s="6"/>
      <c r="E149" s="6">
        <f t="shared" si="37"/>
        <v>0</v>
      </c>
      <c r="F149" s="6"/>
      <c r="G149" s="6"/>
      <c r="H149" s="6"/>
      <c r="I149" s="6"/>
      <c r="J149" s="6"/>
      <c r="K149" s="6">
        <f t="shared" si="38"/>
        <v>0</v>
      </c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>
        <f t="shared" si="40"/>
        <v>0</v>
      </c>
      <c r="X149" s="6"/>
      <c r="Y149" s="7" t="s">
        <v>495</v>
      </c>
      <c r="AA149" s="7" t="s">
        <v>41</v>
      </c>
      <c r="AB149" s="6"/>
      <c r="AC149" s="6"/>
      <c r="AD149" s="6"/>
      <c r="AE149" s="6"/>
      <c r="AF149" s="6"/>
      <c r="AG149" s="6"/>
      <c r="AH149" s="6"/>
      <c r="AI149" s="8">
        <f t="shared" si="36"/>
        <v>0</v>
      </c>
      <c r="AJ149" s="8"/>
      <c r="AK149" s="6"/>
      <c r="AL149" s="6"/>
      <c r="AM149" s="6"/>
      <c r="AN149" s="6"/>
      <c r="AO149" s="6"/>
      <c r="AP149" s="6"/>
      <c r="AQ149" s="6"/>
      <c r="AR149" s="6"/>
      <c r="AS149" s="8">
        <f t="shared" si="30"/>
        <v>0</v>
      </c>
      <c r="AT149" s="8"/>
      <c r="AU149" s="6"/>
      <c r="AV149" s="6"/>
      <c r="AW149" s="6"/>
      <c r="AX149" s="6"/>
      <c r="AY149" s="6">
        <f t="shared" si="39"/>
        <v>0</v>
      </c>
      <c r="AZ149" s="6"/>
      <c r="BA149" s="7" t="s">
        <v>495</v>
      </c>
      <c r="BC149" s="7" t="s">
        <v>41</v>
      </c>
      <c r="BD149" s="6"/>
      <c r="BE149" s="6"/>
      <c r="BF149" s="6"/>
      <c r="BG149" s="6"/>
      <c r="BH149" s="6"/>
      <c r="BI149" s="6"/>
      <c r="BJ149" s="6"/>
      <c r="BK149" s="6"/>
      <c r="BL149" s="6"/>
      <c r="BM149" s="6">
        <f t="shared" si="41"/>
        <v>0</v>
      </c>
      <c r="BN149" s="17"/>
    </row>
    <row r="150" spans="1:66" hidden="1" x14ac:dyDescent="0.2">
      <c r="A150" s="6" t="s">
        <v>180</v>
      </c>
      <c r="C150" s="6" t="s">
        <v>181</v>
      </c>
      <c r="D150" s="6"/>
      <c r="E150" s="6">
        <f t="shared" si="37"/>
        <v>0</v>
      </c>
      <c r="F150" s="6"/>
      <c r="G150" s="6"/>
      <c r="H150" s="6"/>
      <c r="I150" s="6"/>
      <c r="J150" s="6"/>
      <c r="K150" s="6">
        <f t="shared" si="38"/>
        <v>0</v>
      </c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>
        <f t="shared" si="40"/>
        <v>0</v>
      </c>
      <c r="X150" s="6"/>
      <c r="Y150" s="6" t="s">
        <v>180</v>
      </c>
      <c r="Z150" s="18"/>
      <c r="AA150" s="6" t="s">
        <v>181</v>
      </c>
      <c r="AB150" s="6"/>
      <c r="AC150" s="6"/>
      <c r="AD150" s="6"/>
      <c r="AE150" s="6"/>
      <c r="AF150" s="6"/>
      <c r="AG150" s="6"/>
      <c r="AH150" s="6"/>
      <c r="AI150" s="8">
        <f t="shared" si="36"/>
        <v>0</v>
      </c>
      <c r="AJ150" s="8"/>
      <c r="AK150" s="6"/>
      <c r="AL150" s="6"/>
      <c r="AM150" s="6"/>
      <c r="AN150" s="6"/>
      <c r="AO150" s="6"/>
      <c r="AP150" s="6"/>
      <c r="AQ150" s="6"/>
      <c r="AR150" s="6"/>
      <c r="AS150" s="8">
        <f t="shared" si="30"/>
        <v>0</v>
      </c>
      <c r="AT150" s="8"/>
      <c r="AU150" s="6">
        <v>0</v>
      </c>
      <c r="AV150" s="6"/>
      <c r="AW150" s="6">
        <v>0</v>
      </c>
      <c r="AX150" s="6"/>
      <c r="AY150" s="6">
        <f t="shared" si="39"/>
        <v>0</v>
      </c>
      <c r="AZ150" s="6"/>
      <c r="BA150" s="6" t="s">
        <v>180</v>
      </c>
      <c r="BB150" s="18"/>
      <c r="BC150" s="6" t="s">
        <v>181</v>
      </c>
      <c r="BD150" s="6"/>
      <c r="BE150" s="6"/>
      <c r="BF150" s="6"/>
      <c r="BG150" s="6"/>
      <c r="BH150" s="6"/>
      <c r="BI150" s="6"/>
      <c r="BJ150" s="6"/>
      <c r="BK150" s="6"/>
      <c r="BL150" s="6"/>
      <c r="BM150" s="6">
        <f t="shared" si="41"/>
        <v>0</v>
      </c>
      <c r="BN150" s="17" t="s">
        <v>345</v>
      </c>
    </row>
    <row r="151" spans="1:66" x14ac:dyDescent="0.2">
      <c r="A151" s="6" t="s">
        <v>182</v>
      </c>
      <c r="C151" s="6" t="s">
        <v>87</v>
      </c>
      <c r="D151" s="6"/>
      <c r="E151" s="6">
        <v>4495425</v>
      </c>
      <c r="F151" s="6"/>
      <c r="G151" s="6">
        <v>21646998</v>
      </c>
      <c r="H151" s="6"/>
      <c r="I151" s="6">
        <f>+E151+G151</f>
        <v>26142423</v>
      </c>
      <c r="J151" s="6"/>
      <c r="K151" s="6">
        <v>959742</v>
      </c>
      <c r="L151" s="6"/>
      <c r="M151" s="6">
        <v>6086421</v>
      </c>
      <c r="N151" s="6"/>
      <c r="O151" s="6">
        <f>+K151+M151</f>
        <v>7046163</v>
      </c>
      <c r="P151" s="6"/>
      <c r="Q151" s="6">
        <v>16059053</v>
      </c>
      <c r="R151" s="6"/>
      <c r="S151" s="6">
        <v>0</v>
      </c>
      <c r="T151" s="6"/>
      <c r="U151" s="6">
        <v>3037207</v>
      </c>
      <c r="V151" s="6"/>
      <c r="W151" s="6">
        <f t="shared" si="40"/>
        <v>19096260</v>
      </c>
      <c r="X151" s="6"/>
      <c r="Y151" s="6" t="s">
        <v>182</v>
      </c>
      <c r="Z151" s="18"/>
      <c r="AA151" s="6" t="s">
        <v>87</v>
      </c>
      <c r="AB151" s="6"/>
      <c r="AC151" s="6">
        <v>1439733</v>
      </c>
      <c r="AD151" s="6"/>
      <c r="AE151" s="6">
        <f>1491184-51706</f>
        <v>1439478</v>
      </c>
      <c r="AF151" s="6"/>
      <c r="AG151" s="6">
        <v>51706</v>
      </c>
      <c r="AH151" s="6"/>
      <c r="AI151" s="8">
        <f t="shared" si="36"/>
        <v>-51451</v>
      </c>
      <c r="AJ151" s="8"/>
      <c r="AK151" s="6">
        <v>8800</v>
      </c>
      <c r="AL151" s="6"/>
      <c r="AM151" s="6">
        <v>0</v>
      </c>
      <c r="AN151" s="6"/>
      <c r="AO151" s="6">
        <v>0</v>
      </c>
      <c r="AP151" s="6"/>
      <c r="AQ151" s="6">
        <v>0</v>
      </c>
      <c r="AR151" s="6"/>
      <c r="AS151" s="8">
        <f t="shared" si="30"/>
        <v>-42651</v>
      </c>
      <c r="AT151" s="8"/>
      <c r="AU151" s="6">
        <v>0</v>
      </c>
      <c r="AV151" s="6"/>
      <c r="AW151" s="6">
        <v>0</v>
      </c>
      <c r="AX151" s="6"/>
      <c r="AY151" s="6">
        <f t="shared" si="39"/>
        <v>3535683</v>
      </c>
      <c r="AZ151" s="6"/>
      <c r="BA151" s="6" t="s">
        <v>182</v>
      </c>
      <c r="BB151" s="18"/>
      <c r="BC151" s="6" t="s">
        <v>87</v>
      </c>
      <c r="BD151" s="6"/>
      <c r="BE151" s="6">
        <v>0</v>
      </c>
      <c r="BF151" s="6"/>
      <c r="BG151" s="6">
        <v>0</v>
      </c>
      <c r="BH151" s="6"/>
      <c r="BI151" s="6">
        <v>0</v>
      </c>
      <c r="BJ151" s="6"/>
      <c r="BK151" s="6">
        <f>23121+9512</f>
        <v>32633</v>
      </c>
      <c r="BL151" s="6"/>
      <c r="BM151" s="6">
        <f t="shared" si="41"/>
        <v>32633</v>
      </c>
      <c r="BN151" s="17" t="s">
        <v>345</v>
      </c>
    </row>
    <row r="152" spans="1:66" hidden="1" x14ac:dyDescent="0.2">
      <c r="A152" s="6" t="s">
        <v>179</v>
      </c>
      <c r="C152" s="6" t="s">
        <v>123</v>
      </c>
      <c r="D152" s="6"/>
      <c r="E152" s="6">
        <f t="shared" si="37"/>
        <v>0</v>
      </c>
      <c r="F152" s="6"/>
      <c r="G152" s="6"/>
      <c r="H152" s="6"/>
      <c r="I152" s="6"/>
      <c r="J152" s="6"/>
      <c r="K152" s="6">
        <f t="shared" si="38"/>
        <v>0</v>
      </c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>
        <f t="shared" si="40"/>
        <v>0</v>
      </c>
      <c r="X152" s="6"/>
      <c r="Y152" s="6" t="s">
        <v>179</v>
      </c>
      <c r="Z152" s="18"/>
      <c r="AA152" s="6" t="s">
        <v>123</v>
      </c>
      <c r="AB152" s="6"/>
      <c r="AC152" s="6"/>
      <c r="AD152" s="6"/>
      <c r="AE152" s="6"/>
      <c r="AF152" s="6"/>
      <c r="AG152" s="6"/>
      <c r="AH152" s="6"/>
      <c r="AI152" s="8">
        <f t="shared" si="36"/>
        <v>0</v>
      </c>
      <c r="AJ152" s="8"/>
      <c r="AK152" s="6"/>
      <c r="AL152" s="6"/>
      <c r="AM152" s="6"/>
      <c r="AN152" s="6"/>
      <c r="AO152" s="6"/>
      <c r="AP152" s="6"/>
      <c r="AQ152" s="6"/>
      <c r="AR152" s="6"/>
      <c r="AS152" s="8">
        <f t="shared" si="30"/>
        <v>0</v>
      </c>
      <c r="AT152" s="8"/>
      <c r="AU152" s="6">
        <v>0</v>
      </c>
      <c r="AV152" s="6"/>
      <c r="AW152" s="6">
        <v>0</v>
      </c>
      <c r="AX152" s="6"/>
      <c r="AY152" s="6">
        <f t="shared" si="39"/>
        <v>0</v>
      </c>
      <c r="AZ152" s="6"/>
      <c r="BA152" s="6" t="s">
        <v>179</v>
      </c>
      <c r="BB152" s="18"/>
      <c r="BC152" s="6" t="s">
        <v>123</v>
      </c>
      <c r="BD152" s="6"/>
      <c r="BE152" s="6"/>
      <c r="BF152" s="6"/>
      <c r="BG152" s="6"/>
      <c r="BH152" s="6"/>
      <c r="BI152" s="6"/>
      <c r="BJ152" s="6"/>
      <c r="BK152" s="6"/>
      <c r="BL152" s="6"/>
      <c r="BM152" s="6">
        <f t="shared" si="41"/>
        <v>0</v>
      </c>
      <c r="BN152" s="17" t="s">
        <v>345</v>
      </c>
    </row>
    <row r="153" spans="1:66" hidden="1" x14ac:dyDescent="0.2">
      <c r="A153" s="6" t="s">
        <v>183</v>
      </c>
      <c r="C153" s="6" t="s">
        <v>78</v>
      </c>
      <c r="D153" s="6"/>
      <c r="E153" s="6">
        <f t="shared" si="37"/>
        <v>0</v>
      </c>
      <c r="F153" s="6"/>
      <c r="G153" s="6"/>
      <c r="H153" s="6"/>
      <c r="I153" s="6"/>
      <c r="J153" s="6"/>
      <c r="K153" s="6">
        <f t="shared" si="38"/>
        <v>0</v>
      </c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>
        <f t="shared" si="40"/>
        <v>0</v>
      </c>
      <c r="X153" s="6"/>
      <c r="Y153" s="6" t="s">
        <v>183</v>
      </c>
      <c r="Z153" s="18"/>
      <c r="AA153" s="6" t="s">
        <v>78</v>
      </c>
      <c r="AB153" s="6"/>
      <c r="AC153" s="6"/>
      <c r="AD153" s="6"/>
      <c r="AE153" s="6"/>
      <c r="AF153" s="6"/>
      <c r="AG153" s="6"/>
      <c r="AH153" s="6"/>
      <c r="AI153" s="8">
        <f t="shared" si="36"/>
        <v>0</v>
      </c>
      <c r="AJ153" s="8"/>
      <c r="AK153" s="6"/>
      <c r="AL153" s="6"/>
      <c r="AM153" s="6"/>
      <c r="AN153" s="6"/>
      <c r="AO153" s="6"/>
      <c r="AP153" s="6"/>
      <c r="AQ153" s="6"/>
      <c r="AR153" s="6"/>
      <c r="AS153" s="8">
        <f t="shared" si="30"/>
        <v>0</v>
      </c>
      <c r="AT153" s="8"/>
      <c r="AU153" s="6">
        <v>0</v>
      </c>
      <c r="AV153" s="6"/>
      <c r="AW153" s="6">
        <v>0</v>
      </c>
      <c r="AX153" s="6"/>
      <c r="AY153" s="6">
        <f t="shared" si="39"/>
        <v>0</v>
      </c>
      <c r="AZ153" s="6"/>
      <c r="BA153" s="6" t="s">
        <v>183</v>
      </c>
      <c r="BB153" s="18"/>
      <c r="BC153" s="6" t="s">
        <v>78</v>
      </c>
      <c r="BD153" s="6"/>
      <c r="BE153" s="6"/>
      <c r="BF153" s="6"/>
      <c r="BG153" s="6"/>
      <c r="BH153" s="6"/>
      <c r="BI153" s="6"/>
      <c r="BJ153" s="6"/>
      <c r="BK153" s="6"/>
      <c r="BL153" s="6"/>
      <c r="BM153" s="6">
        <f t="shared" si="41"/>
        <v>0</v>
      </c>
      <c r="BN153" s="17" t="s">
        <v>345</v>
      </c>
    </row>
    <row r="154" spans="1:66" x14ac:dyDescent="0.2">
      <c r="A154" s="6" t="s">
        <v>184</v>
      </c>
      <c r="C154" s="6" t="s">
        <v>13</v>
      </c>
      <c r="D154" s="6"/>
      <c r="E154" s="6">
        <v>268481</v>
      </c>
      <c r="F154" s="6"/>
      <c r="G154" s="6">
        <v>0</v>
      </c>
      <c r="H154" s="6"/>
      <c r="I154" s="6">
        <f>+E154+G154</f>
        <v>268481</v>
      </c>
      <c r="J154" s="6"/>
      <c r="K154" s="6">
        <v>9512</v>
      </c>
      <c r="L154" s="6"/>
      <c r="M154" s="6">
        <v>0</v>
      </c>
      <c r="N154" s="6"/>
      <c r="O154" s="6">
        <f>+K154+M154</f>
        <v>9512</v>
      </c>
      <c r="P154" s="6"/>
      <c r="Q154" s="6">
        <v>0</v>
      </c>
      <c r="R154" s="6"/>
      <c r="S154" s="6">
        <v>0</v>
      </c>
      <c r="T154" s="6"/>
      <c r="U154" s="6">
        <v>258969</v>
      </c>
      <c r="V154" s="6"/>
      <c r="W154" s="6">
        <f t="shared" ref="W154:W168" si="42">SUM(Q154:U154)</f>
        <v>258969</v>
      </c>
      <c r="X154" s="6"/>
      <c r="Y154" s="6" t="s">
        <v>184</v>
      </c>
      <c r="Z154" s="18"/>
      <c r="AA154" s="6" t="s">
        <v>13</v>
      </c>
      <c r="AB154" s="6"/>
      <c r="AC154" s="6">
        <v>881780</v>
      </c>
      <c r="AD154" s="6"/>
      <c r="AE154" s="6">
        <v>861985</v>
      </c>
      <c r="AF154" s="6"/>
      <c r="AG154" s="6">
        <v>0</v>
      </c>
      <c r="AH154" s="6"/>
      <c r="AI154" s="8">
        <f t="shared" si="36"/>
        <v>19795</v>
      </c>
      <c r="AJ154" s="8"/>
      <c r="AK154" s="6">
        <v>39998</v>
      </c>
      <c r="AL154" s="6"/>
      <c r="AM154" s="6">
        <v>0</v>
      </c>
      <c r="AN154" s="6"/>
      <c r="AO154" s="6">
        <v>0</v>
      </c>
      <c r="AP154" s="6"/>
      <c r="AQ154" s="6">
        <v>0</v>
      </c>
      <c r="AR154" s="6"/>
      <c r="AS154" s="8">
        <f t="shared" si="30"/>
        <v>59793</v>
      </c>
      <c r="AT154" s="8"/>
      <c r="AU154" s="6">
        <v>0</v>
      </c>
      <c r="AV154" s="6"/>
      <c r="AW154" s="6">
        <v>0</v>
      </c>
      <c r="AX154" s="6"/>
      <c r="AY154" s="6">
        <f t="shared" si="39"/>
        <v>258969</v>
      </c>
      <c r="AZ154" s="6"/>
      <c r="BA154" s="6" t="s">
        <v>184</v>
      </c>
      <c r="BB154" s="18"/>
      <c r="BC154" s="6" t="s">
        <v>13</v>
      </c>
      <c r="BD154" s="6"/>
      <c r="BE154" s="6">
        <v>0</v>
      </c>
      <c r="BF154" s="6"/>
      <c r="BG154" s="6">
        <v>0</v>
      </c>
      <c r="BH154" s="6"/>
      <c r="BI154" s="6">
        <v>0</v>
      </c>
      <c r="BJ154" s="6"/>
      <c r="BK154" s="6">
        <v>0</v>
      </c>
      <c r="BL154" s="6"/>
      <c r="BM154" s="6">
        <f t="shared" ref="BM154:BM168" si="43">SUM(BE154:BK154)</f>
        <v>0</v>
      </c>
      <c r="BN154" s="17" t="s">
        <v>345</v>
      </c>
    </row>
    <row r="155" spans="1:66" hidden="1" x14ac:dyDescent="0.2">
      <c r="A155" s="6" t="s">
        <v>185</v>
      </c>
      <c r="C155" s="6" t="s">
        <v>25</v>
      </c>
      <c r="D155" s="6"/>
      <c r="E155" s="6">
        <f t="shared" si="37"/>
        <v>0</v>
      </c>
      <c r="F155" s="6"/>
      <c r="G155" s="6"/>
      <c r="H155" s="6"/>
      <c r="I155" s="6"/>
      <c r="J155" s="6"/>
      <c r="K155" s="6">
        <f t="shared" si="38"/>
        <v>0</v>
      </c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>
        <f t="shared" si="42"/>
        <v>0</v>
      </c>
      <c r="X155" s="6"/>
      <c r="Y155" s="6" t="s">
        <v>185</v>
      </c>
      <c r="Z155" s="18"/>
      <c r="AA155" s="6" t="s">
        <v>25</v>
      </c>
      <c r="AB155" s="6"/>
      <c r="AC155" s="6"/>
      <c r="AD155" s="6"/>
      <c r="AE155" s="6"/>
      <c r="AF155" s="6"/>
      <c r="AG155" s="6"/>
      <c r="AH155" s="6"/>
      <c r="AI155" s="8">
        <f t="shared" si="36"/>
        <v>0</v>
      </c>
      <c r="AJ155" s="8"/>
      <c r="AK155" s="6"/>
      <c r="AL155" s="6"/>
      <c r="AM155" s="6"/>
      <c r="AN155" s="6"/>
      <c r="AO155" s="6"/>
      <c r="AP155" s="6"/>
      <c r="AQ155" s="6"/>
      <c r="AR155" s="6"/>
      <c r="AS155" s="8">
        <f t="shared" si="30"/>
        <v>0</v>
      </c>
      <c r="AT155" s="8"/>
      <c r="AU155" s="6">
        <v>0</v>
      </c>
      <c r="AV155" s="6"/>
      <c r="AW155" s="6">
        <v>0</v>
      </c>
      <c r="AX155" s="6"/>
      <c r="AY155" s="6">
        <f t="shared" si="39"/>
        <v>0</v>
      </c>
      <c r="AZ155" s="6"/>
      <c r="BA155" s="6" t="s">
        <v>185</v>
      </c>
      <c r="BB155" s="18"/>
      <c r="BC155" s="6" t="s">
        <v>25</v>
      </c>
      <c r="BD155" s="6"/>
      <c r="BE155" s="6"/>
      <c r="BF155" s="6"/>
      <c r="BG155" s="6"/>
      <c r="BH155" s="6"/>
      <c r="BI155" s="6"/>
      <c r="BJ155" s="6"/>
      <c r="BK155" s="6"/>
      <c r="BL155" s="6"/>
      <c r="BM155" s="6">
        <f t="shared" si="43"/>
        <v>0</v>
      </c>
      <c r="BN155" s="17" t="s">
        <v>345</v>
      </c>
    </row>
    <row r="156" spans="1:66" hidden="1" x14ac:dyDescent="0.2">
      <c r="A156" s="6" t="s">
        <v>187</v>
      </c>
      <c r="C156" s="6" t="s">
        <v>15</v>
      </c>
      <c r="D156" s="6"/>
      <c r="E156" s="6">
        <f t="shared" si="37"/>
        <v>0</v>
      </c>
      <c r="F156" s="6"/>
      <c r="G156" s="6"/>
      <c r="H156" s="6"/>
      <c r="I156" s="6"/>
      <c r="J156" s="6"/>
      <c r="K156" s="6">
        <f t="shared" si="38"/>
        <v>0</v>
      </c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>
        <f t="shared" si="42"/>
        <v>0</v>
      </c>
      <c r="X156" s="6"/>
      <c r="Y156" s="6" t="s">
        <v>187</v>
      </c>
      <c r="Z156" s="18"/>
      <c r="AA156" s="6" t="s">
        <v>15</v>
      </c>
      <c r="AB156" s="6"/>
      <c r="AC156" s="6"/>
      <c r="AD156" s="6"/>
      <c r="AE156" s="6"/>
      <c r="AF156" s="6"/>
      <c r="AG156" s="6"/>
      <c r="AH156" s="6"/>
      <c r="AI156" s="8">
        <f t="shared" si="36"/>
        <v>0</v>
      </c>
      <c r="AJ156" s="8"/>
      <c r="AK156" s="6"/>
      <c r="AL156" s="6"/>
      <c r="AM156" s="6"/>
      <c r="AN156" s="6"/>
      <c r="AO156" s="6"/>
      <c r="AP156" s="6"/>
      <c r="AQ156" s="6"/>
      <c r="AR156" s="6"/>
      <c r="AS156" s="8">
        <f t="shared" si="30"/>
        <v>0</v>
      </c>
      <c r="AT156" s="8"/>
      <c r="AU156" s="6">
        <v>0</v>
      </c>
      <c r="AV156" s="6"/>
      <c r="AW156" s="6">
        <v>0</v>
      </c>
      <c r="AX156" s="6"/>
      <c r="AY156" s="6">
        <f t="shared" si="39"/>
        <v>0</v>
      </c>
      <c r="AZ156" s="6"/>
      <c r="BA156" s="6" t="s">
        <v>187</v>
      </c>
      <c r="BB156" s="18"/>
      <c r="BC156" s="6" t="s">
        <v>15</v>
      </c>
      <c r="BD156" s="6"/>
      <c r="BE156" s="6"/>
      <c r="BF156" s="6"/>
      <c r="BG156" s="6"/>
      <c r="BH156" s="6"/>
      <c r="BI156" s="6"/>
      <c r="BJ156" s="6"/>
      <c r="BK156" s="6"/>
      <c r="BL156" s="6"/>
      <c r="BM156" s="6">
        <f t="shared" si="43"/>
        <v>0</v>
      </c>
      <c r="BN156" s="17" t="s">
        <v>345</v>
      </c>
    </row>
    <row r="157" spans="1:66" hidden="1" x14ac:dyDescent="0.2">
      <c r="A157" s="6" t="s">
        <v>186</v>
      </c>
      <c r="C157" s="6" t="s">
        <v>25</v>
      </c>
      <c r="D157" s="6"/>
      <c r="E157" s="6">
        <f t="shared" si="37"/>
        <v>0</v>
      </c>
      <c r="F157" s="6"/>
      <c r="G157" s="6"/>
      <c r="H157" s="6"/>
      <c r="I157" s="6"/>
      <c r="J157" s="6"/>
      <c r="K157" s="6">
        <f t="shared" si="38"/>
        <v>0</v>
      </c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>
        <f t="shared" si="42"/>
        <v>0</v>
      </c>
      <c r="X157" s="6"/>
      <c r="Y157" s="6" t="s">
        <v>186</v>
      </c>
      <c r="Z157" s="18"/>
      <c r="AA157" s="6" t="s">
        <v>25</v>
      </c>
      <c r="AB157" s="6"/>
      <c r="AC157" s="6"/>
      <c r="AD157" s="6"/>
      <c r="AE157" s="6"/>
      <c r="AF157" s="6"/>
      <c r="AG157" s="6"/>
      <c r="AH157" s="6"/>
      <c r="AI157" s="8">
        <f t="shared" si="36"/>
        <v>0</v>
      </c>
      <c r="AJ157" s="8"/>
      <c r="AK157" s="6"/>
      <c r="AL157" s="6"/>
      <c r="AM157" s="6"/>
      <c r="AN157" s="6"/>
      <c r="AO157" s="6"/>
      <c r="AP157" s="6"/>
      <c r="AQ157" s="6"/>
      <c r="AR157" s="6"/>
      <c r="AS157" s="8">
        <f t="shared" si="30"/>
        <v>0</v>
      </c>
      <c r="AT157" s="8"/>
      <c r="AU157" s="6">
        <v>0</v>
      </c>
      <c r="AV157" s="6"/>
      <c r="AW157" s="6">
        <v>0</v>
      </c>
      <c r="AX157" s="6"/>
      <c r="AY157" s="6">
        <f t="shared" si="39"/>
        <v>0</v>
      </c>
      <c r="AZ157" s="6"/>
      <c r="BA157" s="6" t="s">
        <v>186</v>
      </c>
      <c r="BB157" s="18"/>
      <c r="BC157" s="6" t="s">
        <v>25</v>
      </c>
      <c r="BD157" s="6"/>
      <c r="BE157" s="6"/>
      <c r="BF157" s="6"/>
      <c r="BG157" s="6"/>
      <c r="BH157" s="6"/>
      <c r="BI157" s="6"/>
      <c r="BJ157" s="6"/>
      <c r="BK157" s="6"/>
      <c r="BL157" s="6"/>
      <c r="BM157" s="6">
        <f t="shared" si="43"/>
        <v>0</v>
      </c>
      <c r="BN157" s="17" t="s">
        <v>345</v>
      </c>
    </row>
    <row r="158" spans="1:66" hidden="1" x14ac:dyDescent="0.2">
      <c r="A158" s="6" t="s">
        <v>188</v>
      </c>
      <c r="C158" s="6" t="s">
        <v>45</v>
      </c>
      <c r="D158" s="6"/>
      <c r="E158" s="6">
        <f t="shared" si="37"/>
        <v>0</v>
      </c>
      <c r="F158" s="6"/>
      <c r="G158" s="6"/>
      <c r="H158" s="6"/>
      <c r="I158" s="6"/>
      <c r="J158" s="6"/>
      <c r="K158" s="6">
        <f t="shared" si="38"/>
        <v>0</v>
      </c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>
        <f t="shared" si="42"/>
        <v>0</v>
      </c>
      <c r="X158" s="6"/>
      <c r="Y158" s="6" t="s">
        <v>188</v>
      </c>
      <c r="Z158" s="18"/>
      <c r="AA158" s="6" t="s">
        <v>45</v>
      </c>
      <c r="AB158" s="6"/>
      <c r="AC158" s="6"/>
      <c r="AD158" s="6"/>
      <c r="AE158" s="6"/>
      <c r="AF158" s="6"/>
      <c r="AG158" s="6"/>
      <c r="AH158" s="6"/>
      <c r="AI158" s="8">
        <f t="shared" si="36"/>
        <v>0</v>
      </c>
      <c r="AJ158" s="8"/>
      <c r="AK158" s="6"/>
      <c r="AL158" s="6"/>
      <c r="AM158" s="6"/>
      <c r="AN158" s="6"/>
      <c r="AO158" s="6"/>
      <c r="AP158" s="6"/>
      <c r="AQ158" s="6"/>
      <c r="AR158" s="6"/>
      <c r="AS158" s="8">
        <f t="shared" si="30"/>
        <v>0</v>
      </c>
      <c r="AT158" s="8"/>
      <c r="AU158" s="6">
        <v>0</v>
      </c>
      <c r="AV158" s="6"/>
      <c r="AW158" s="6">
        <v>0</v>
      </c>
      <c r="AX158" s="6"/>
      <c r="AY158" s="6">
        <f t="shared" si="39"/>
        <v>0</v>
      </c>
      <c r="AZ158" s="6"/>
      <c r="BA158" s="6" t="s">
        <v>188</v>
      </c>
      <c r="BB158" s="18"/>
      <c r="BC158" s="6" t="s">
        <v>45</v>
      </c>
      <c r="BD158" s="6"/>
      <c r="BE158" s="6"/>
      <c r="BF158" s="6"/>
      <c r="BG158" s="6"/>
      <c r="BH158" s="6"/>
      <c r="BI158" s="6"/>
      <c r="BJ158" s="6"/>
      <c r="BK158" s="6"/>
      <c r="BL158" s="6"/>
      <c r="BM158" s="6">
        <f t="shared" si="43"/>
        <v>0</v>
      </c>
      <c r="BN158" s="17" t="s">
        <v>345</v>
      </c>
    </row>
    <row r="159" spans="1:66" hidden="1" x14ac:dyDescent="0.2">
      <c r="A159" s="6" t="s">
        <v>189</v>
      </c>
      <c r="C159" s="6" t="s">
        <v>11</v>
      </c>
      <c r="D159" s="6"/>
      <c r="E159" s="6">
        <f t="shared" si="37"/>
        <v>0</v>
      </c>
      <c r="F159" s="6"/>
      <c r="G159" s="6"/>
      <c r="H159" s="6"/>
      <c r="I159" s="6"/>
      <c r="J159" s="6"/>
      <c r="K159" s="6">
        <f t="shared" si="38"/>
        <v>0</v>
      </c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>
        <f t="shared" si="42"/>
        <v>0</v>
      </c>
      <c r="X159" s="6"/>
      <c r="Y159" s="6" t="s">
        <v>189</v>
      </c>
      <c r="Z159" s="18"/>
      <c r="AA159" s="6" t="s">
        <v>11</v>
      </c>
      <c r="AB159" s="6"/>
      <c r="AC159" s="6"/>
      <c r="AD159" s="6"/>
      <c r="AE159" s="6"/>
      <c r="AF159" s="6"/>
      <c r="AG159" s="6"/>
      <c r="AH159" s="6"/>
      <c r="AI159" s="8">
        <f t="shared" si="36"/>
        <v>0</v>
      </c>
      <c r="AJ159" s="8"/>
      <c r="AK159" s="6"/>
      <c r="AL159" s="6"/>
      <c r="AM159" s="6"/>
      <c r="AN159" s="6"/>
      <c r="AO159" s="6"/>
      <c r="AP159" s="6"/>
      <c r="AQ159" s="6"/>
      <c r="AR159" s="6"/>
      <c r="AS159" s="8">
        <f t="shared" si="30"/>
        <v>0</v>
      </c>
      <c r="AT159" s="8"/>
      <c r="AU159" s="6">
        <v>0</v>
      </c>
      <c r="AV159" s="6"/>
      <c r="AW159" s="6">
        <v>0</v>
      </c>
      <c r="AX159" s="6"/>
      <c r="AY159" s="6">
        <f t="shared" si="39"/>
        <v>0</v>
      </c>
      <c r="AZ159" s="6"/>
      <c r="BA159" s="6" t="s">
        <v>189</v>
      </c>
      <c r="BB159" s="18"/>
      <c r="BC159" s="6" t="s">
        <v>11</v>
      </c>
      <c r="BD159" s="6"/>
      <c r="BE159" s="6"/>
      <c r="BF159" s="6"/>
      <c r="BG159" s="6"/>
      <c r="BH159" s="6"/>
      <c r="BI159" s="6"/>
      <c r="BJ159" s="6"/>
      <c r="BK159" s="6"/>
      <c r="BL159" s="6"/>
      <c r="BM159" s="6">
        <f t="shared" si="43"/>
        <v>0</v>
      </c>
      <c r="BN159" s="17" t="s">
        <v>345</v>
      </c>
    </row>
    <row r="160" spans="1:66" x14ac:dyDescent="0.2">
      <c r="A160" s="6" t="s">
        <v>190</v>
      </c>
      <c r="C160" s="6" t="s">
        <v>36</v>
      </c>
      <c r="D160" s="6"/>
      <c r="E160" s="6">
        <v>1033613</v>
      </c>
      <c r="F160" s="6"/>
      <c r="G160" s="6">
        <v>646937</v>
      </c>
      <c r="H160" s="6"/>
      <c r="I160" s="6">
        <f>+E160+G160</f>
        <v>1680550</v>
      </c>
      <c r="J160" s="6"/>
      <c r="K160" s="6">
        <v>72564</v>
      </c>
      <c r="L160" s="6"/>
      <c r="M160" s="6">
        <v>70157</v>
      </c>
      <c r="N160" s="6"/>
      <c r="O160" s="6">
        <f>+K160+M160</f>
        <v>142721</v>
      </c>
      <c r="P160" s="6"/>
      <c r="Q160" s="6">
        <v>646937</v>
      </c>
      <c r="R160" s="6"/>
      <c r="S160" s="6">
        <v>0</v>
      </c>
      <c r="T160" s="6"/>
      <c r="U160" s="6">
        <v>890892</v>
      </c>
      <c r="V160" s="6"/>
      <c r="W160" s="6">
        <f t="shared" si="42"/>
        <v>1537829</v>
      </c>
      <c r="X160" s="6"/>
      <c r="Y160" s="6" t="s">
        <v>190</v>
      </c>
      <c r="Z160" s="18"/>
      <c r="AA160" s="6" t="s">
        <v>36</v>
      </c>
      <c r="AB160" s="6"/>
      <c r="AC160" s="6">
        <v>40528</v>
      </c>
      <c r="AD160" s="6"/>
      <c r="AE160" s="6">
        <f>1060733-76076</f>
        <v>984657</v>
      </c>
      <c r="AF160" s="6"/>
      <c r="AG160" s="6">
        <v>76076</v>
      </c>
      <c r="AH160" s="6"/>
      <c r="AI160" s="8">
        <f t="shared" si="36"/>
        <v>-1020205</v>
      </c>
      <c r="AJ160" s="8"/>
      <c r="AK160" s="6">
        <v>1053188</v>
      </c>
      <c r="AL160" s="6"/>
      <c r="AM160" s="6">
        <v>0</v>
      </c>
      <c r="AN160" s="6"/>
      <c r="AO160" s="6">
        <v>0</v>
      </c>
      <c r="AP160" s="6"/>
      <c r="AQ160" s="6">
        <v>0</v>
      </c>
      <c r="AR160" s="6"/>
      <c r="AS160" s="8">
        <f t="shared" si="30"/>
        <v>32983</v>
      </c>
      <c r="AT160" s="8"/>
      <c r="AU160" s="6">
        <v>0</v>
      </c>
      <c r="AV160" s="6"/>
      <c r="AW160" s="6">
        <v>0</v>
      </c>
      <c r="AX160" s="6"/>
      <c r="AY160" s="6">
        <f t="shared" si="39"/>
        <v>961049</v>
      </c>
      <c r="AZ160" s="6"/>
      <c r="BA160" s="6" t="s">
        <v>190</v>
      </c>
      <c r="BB160" s="18"/>
      <c r="BC160" s="6" t="s">
        <v>36</v>
      </c>
      <c r="BD160" s="6"/>
      <c r="BE160" s="6">
        <v>0</v>
      </c>
      <c r="BF160" s="6"/>
      <c r="BG160" s="6">
        <v>0</v>
      </c>
      <c r="BH160" s="6"/>
      <c r="BI160" s="6">
        <v>0</v>
      </c>
      <c r="BJ160" s="6"/>
      <c r="BK160" s="6">
        <f>70157+28275</f>
        <v>98432</v>
      </c>
      <c r="BL160" s="6"/>
      <c r="BM160" s="6">
        <f t="shared" si="43"/>
        <v>98432</v>
      </c>
      <c r="BN160" s="17" t="s">
        <v>345</v>
      </c>
    </row>
    <row r="161" spans="1:67" x14ac:dyDescent="0.2">
      <c r="A161" s="6" t="s">
        <v>191</v>
      </c>
      <c r="C161" s="6" t="s">
        <v>43</v>
      </c>
      <c r="D161" s="6"/>
      <c r="E161" s="6">
        <v>483934</v>
      </c>
      <c r="F161" s="6"/>
      <c r="G161" s="6">
        <v>0</v>
      </c>
      <c r="H161" s="6"/>
      <c r="I161" s="6">
        <f>+E161+G161</f>
        <v>483934</v>
      </c>
      <c r="J161" s="6"/>
      <c r="K161" s="6">
        <v>121920</v>
      </c>
      <c r="L161" s="6"/>
      <c r="M161" s="6">
        <v>0</v>
      </c>
      <c r="N161" s="6"/>
      <c r="O161" s="6">
        <f>+K161+M161</f>
        <v>121920</v>
      </c>
      <c r="P161" s="6"/>
      <c r="Q161" s="6">
        <v>0</v>
      </c>
      <c r="R161" s="6"/>
      <c r="S161" s="6">
        <v>0</v>
      </c>
      <c r="T161" s="6"/>
      <c r="U161" s="6">
        <v>362014</v>
      </c>
      <c r="V161" s="6"/>
      <c r="W161" s="6">
        <f t="shared" si="42"/>
        <v>362014</v>
      </c>
      <c r="X161" s="6"/>
      <c r="Y161" s="6" t="s">
        <v>191</v>
      </c>
      <c r="Z161" s="18"/>
      <c r="AA161" s="6" t="s">
        <v>43</v>
      </c>
      <c r="AB161" s="6"/>
      <c r="AC161" s="6">
        <v>1314042</v>
      </c>
      <c r="AD161" s="6"/>
      <c r="AE161" s="6">
        <v>859953</v>
      </c>
      <c r="AF161" s="6"/>
      <c r="AG161" s="6">
        <v>0</v>
      </c>
      <c r="AH161" s="6"/>
      <c r="AI161" s="8">
        <f t="shared" si="36"/>
        <v>454089</v>
      </c>
      <c r="AJ161" s="8"/>
      <c r="AK161" s="6">
        <v>0</v>
      </c>
      <c r="AL161" s="6"/>
      <c r="AM161" s="6">
        <v>0</v>
      </c>
      <c r="AN161" s="6"/>
      <c r="AO161" s="6">
        <v>0</v>
      </c>
      <c r="AP161" s="6"/>
      <c r="AQ161" s="6">
        <v>0</v>
      </c>
      <c r="AR161" s="6"/>
      <c r="AS161" s="8">
        <f t="shared" si="30"/>
        <v>454089</v>
      </c>
      <c r="AT161" s="8"/>
      <c r="AU161" s="6">
        <v>0</v>
      </c>
      <c r="AV161" s="6"/>
      <c r="AW161" s="6">
        <v>0</v>
      </c>
      <c r="AX161" s="6"/>
      <c r="AY161" s="6">
        <f t="shared" si="39"/>
        <v>362014</v>
      </c>
      <c r="AZ161" s="6"/>
      <c r="BA161" s="6" t="s">
        <v>191</v>
      </c>
      <c r="BB161" s="18"/>
      <c r="BC161" s="6" t="s">
        <v>43</v>
      </c>
      <c r="BD161" s="6"/>
      <c r="BE161" s="6">
        <v>0</v>
      </c>
      <c r="BF161" s="6"/>
      <c r="BG161" s="6">
        <v>0</v>
      </c>
      <c r="BH161" s="6"/>
      <c r="BI161" s="6">
        <v>0</v>
      </c>
      <c r="BJ161" s="6"/>
      <c r="BK161" s="6">
        <v>0</v>
      </c>
      <c r="BL161" s="6"/>
      <c r="BM161" s="6">
        <f t="shared" si="43"/>
        <v>0</v>
      </c>
      <c r="BN161" s="17" t="s">
        <v>345</v>
      </c>
    </row>
    <row r="162" spans="1:67" hidden="1" x14ac:dyDescent="0.2">
      <c r="A162" s="6" t="s">
        <v>192</v>
      </c>
      <c r="C162" s="6" t="s">
        <v>64</v>
      </c>
      <c r="D162" s="6"/>
      <c r="E162" s="6">
        <f t="shared" si="37"/>
        <v>0</v>
      </c>
      <c r="F162" s="6"/>
      <c r="G162" s="6"/>
      <c r="H162" s="6"/>
      <c r="I162" s="6"/>
      <c r="J162" s="6"/>
      <c r="K162" s="6">
        <f t="shared" si="38"/>
        <v>0</v>
      </c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>
        <f t="shared" si="42"/>
        <v>0</v>
      </c>
      <c r="X162" s="6"/>
      <c r="Y162" s="6" t="s">
        <v>192</v>
      </c>
      <c r="Z162" s="18"/>
      <c r="AA162" s="6" t="s">
        <v>64</v>
      </c>
      <c r="AB162" s="6"/>
      <c r="AC162" s="6"/>
      <c r="AD162" s="6"/>
      <c r="AE162" s="6"/>
      <c r="AF162" s="6"/>
      <c r="AG162" s="6"/>
      <c r="AH162" s="6"/>
      <c r="AI162" s="8">
        <f t="shared" si="36"/>
        <v>0</v>
      </c>
      <c r="AJ162" s="8"/>
      <c r="AK162" s="6"/>
      <c r="AL162" s="6"/>
      <c r="AM162" s="6"/>
      <c r="AN162" s="6"/>
      <c r="AO162" s="6"/>
      <c r="AP162" s="6"/>
      <c r="AQ162" s="6"/>
      <c r="AR162" s="6"/>
      <c r="AS162" s="8">
        <f t="shared" si="30"/>
        <v>0</v>
      </c>
      <c r="AT162" s="8"/>
      <c r="AU162" s="6">
        <v>0</v>
      </c>
      <c r="AV162" s="6"/>
      <c r="AW162" s="6">
        <v>0</v>
      </c>
      <c r="AX162" s="6"/>
      <c r="AY162" s="6">
        <f t="shared" si="39"/>
        <v>0</v>
      </c>
      <c r="AZ162" s="6"/>
      <c r="BA162" s="6" t="s">
        <v>192</v>
      </c>
      <c r="BB162" s="18"/>
      <c r="BC162" s="6" t="s">
        <v>64</v>
      </c>
      <c r="BD162" s="6"/>
      <c r="BE162" s="6"/>
      <c r="BF162" s="6"/>
      <c r="BG162" s="6"/>
      <c r="BH162" s="6"/>
      <c r="BI162" s="6"/>
      <c r="BJ162" s="6"/>
      <c r="BK162" s="6"/>
      <c r="BL162" s="6"/>
      <c r="BM162" s="6">
        <f t="shared" si="43"/>
        <v>0</v>
      </c>
      <c r="BN162" s="17" t="s">
        <v>345</v>
      </c>
    </row>
    <row r="163" spans="1:67" x14ac:dyDescent="0.2">
      <c r="A163" s="6" t="s">
        <v>193</v>
      </c>
      <c r="C163" s="6" t="s">
        <v>15</v>
      </c>
      <c r="D163" s="6"/>
      <c r="E163" s="6">
        <v>1393103</v>
      </c>
      <c r="F163" s="6"/>
      <c r="G163" s="6">
        <v>179605</v>
      </c>
      <c r="H163" s="6"/>
      <c r="I163" s="6">
        <f>+E163+G163</f>
        <v>1572708</v>
      </c>
      <c r="J163" s="6"/>
      <c r="K163" s="6">
        <v>29009</v>
      </c>
      <c r="L163" s="6"/>
      <c r="M163" s="6">
        <v>16635</v>
      </c>
      <c r="N163" s="6"/>
      <c r="O163" s="6">
        <f>+K163+M163</f>
        <v>45644</v>
      </c>
      <c r="P163" s="6"/>
      <c r="Q163" s="6">
        <v>179605</v>
      </c>
      <c r="R163" s="6"/>
      <c r="S163" s="6">
        <v>0</v>
      </c>
      <c r="T163" s="6"/>
      <c r="U163" s="6">
        <v>1025306</v>
      </c>
      <c r="V163" s="6"/>
      <c r="W163" s="6">
        <f t="shared" si="42"/>
        <v>1204911</v>
      </c>
      <c r="X163" s="6"/>
      <c r="Y163" s="6" t="s">
        <v>193</v>
      </c>
      <c r="Z163" s="18"/>
      <c r="AA163" s="6" t="s">
        <v>15</v>
      </c>
      <c r="AB163" s="6"/>
      <c r="AC163" s="6">
        <v>545270</v>
      </c>
      <c r="AD163" s="6"/>
      <c r="AE163" s="6">
        <f>597146-40298</f>
        <v>556848</v>
      </c>
      <c r="AF163" s="6"/>
      <c r="AG163" s="6">
        <v>40298</v>
      </c>
      <c r="AH163" s="6"/>
      <c r="AI163" s="8">
        <f t="shared" si="36"/>
        <v>-51876</v>
      </c>
      <c r="AJ163" s="8"/>
      <c r="AK163" s="6">
        <v>360397</v>
      </c>
      <c r="AL163" s="6"/>
      <c r="AM163" s="6">
        <v>0</v>
      </c>
      <c r="AN163" s="6"/>
      <c r="AO163" s="6">
        <v>272378</v>
      </c>
      <c r="AP163" s="6"/>
      <c r="AQ163" s="6">
        <v>0</v>
      </c>
      <c r="AR163" s="6"/>
      <c r="AS163" s="8">
        <f t="shared" si="30"/>
        <v>36143</v>
      </c>
      <c r="AT163" s="8"/>
      <c r="AU163" s="6">
        <v>0</v>
      </c>
      <c r="AV163" s="6"/>
      <c r="AW163" s="6">
        <v>0</v>
      </c>
      <c r="AX163" s="6"/>
      <c r="AY163" s="6">
        <f t="shared" si="39"/>
        <v>1364094</v>
      </c>
      <c r="AZ163" s="6"/>
      <c r="BA163" s="6" t="s">
        <v>193</v>
      </c>
      <c r="BB163" s="18"/>
      <c r="BC163" s="6" t="s">
        <v>15</v>
      </c>
      <c r="BD163" s="6"/>
      <c r="BE163" s="6">
        <v>0</v>
      </c>
      <c r="BF163" s="6"/>
      <c r="BG163" s="6">
        <v>0</v>
      </c>
      <c r="BH163" s="6"/>
      <c r="BI163" s="6">
        <v>0</v>
      </c>
      <c r="BJ163" s="6"/>
      <c r="BK163" s="6">
        <f>16635+11695</f>
        <v>28330</v>
      </c>
      <c r="BL163" s="6"/>
      <c r="BM163" s="6">
        <f t="shared" si="43"/>
        <v>28330</v>
      </c>
      <c r="BN163" s="17" t="s">
        <v>345</v>
      </c>
    </row>
    <row r="164" spans="1:67" hidden="1" x14ac:dyDescent="0.2">
      <c r="A164" s="6" t="s">
        <v>194</v>
      </c>
      <c r="C164" s="6" t="s">
        <v>25</v>
      </c>
      <c r="D164" s="6"/>
      <c r="E164" s="6">
        <f t="shared" si="37"/>
        <v>0</v>
      </c>
      <c r="F164" s="6"/>
      <c r="G164" s="6"/>
      <c r="H164" s="6"/>
      <c r="I164" s="6"/>
      <c r="J164" s="6"/>
      <c r="K164" s="6">
        <f t="shared" si="38"/>
        <v>0</v>
      </c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>
        <f t="shared" si="42"/>
        <v>0</v>
      </c>
      <c r="X164" s="6"/>
      <c r="Y164" s="6" t="s">
        <v>194</v>
      </c>
      <c r="Z164" s="18"/>
      <c r="AA164" s="6" t="s">
        <v>25</v>
      </c>
      <c r="AB164" s="6"/>
      <c r="AC164" s="6"/>
      <c r="AD164" s="6"/>
      <c r="AE164" s="6"/>
      <c r="AF164" s="6"/>
      <c r="AG164" s="6"/>
      <c r="AH164" s="6"/>
      <c r="AI164" s="8">
        <f t="shared" si="36"/>
        <v>0</v>
      </c>
      <c r="AJ164" s="8"/>
      <c r="AK164" s="6"/>
      <c r="AL164" s="6"/>
      <c r="AM164" s="6"/>
      <c r="AN164" s="6"/>
      <c r="AO164" s="6"/>
      <c r="AP164" s="6"/>
      <c r="AQ164" s="6"/>
      <c r="AR164" s="6"/>
      <c r="AS164" s="8">
        <f t="shared" si="30"/>
        <v>0</v>
      </c>
      <c r="AT164" s="8"/>
      <c r="AU164" s="6">
        <v>0</v>
      </c>
      <c r="AV164" s="6"/>
      <c r="AW164" s="6">
        <v>0</v>
      </c>
      <c r="AX164" s="6"/>
      <c r="AY164" s="6">
        <f t="shared" si="39"/>
        <v>0</v>
      </c>
      <c r="AZ164" s="6"/>
      <c r="BA164" s="6" t="s">
        <v>194</v>
      </c>
      <c r="BB164" s="18"/>
      <c r="BC164" s="6" t="s">
        <v>25</v>
      </c>
      <c r="BD164" s="6"/>
      <c r="BE164" s="6"/>
      <c r="BF164" s="6"/>
      <c r="BG164" s="6"/>
      <c r="BH164" s="6"/>
      <c r="BI164" s="6"/>
      <c r="BJ164" s="6"/>
      <c r="BK164" s="6"/>
      <c r="BL164" s="6"/>
      <c r="BM164" s="6">
        <f t="shared" si="43"/>
        <v>0</v>
      </c>
      <c r="BN164" s="17" t="s">
        <v>345</v>
      </c>
    </row>
    <row r="165" spans="1:67" hidden="1" x14ac:dyDescent="0.2">
      <c r="A165" s="6" t="s">
        <v>400</v>
      </c>
      <c r="C165" s="6" t="s">
        <v>151</v>
      </c>
      <c r="D165" s="6"/>
      <c r="E165" s="6">
        <f t="shared" si="37"/>
        <v>0</v>
      </c>
      <c r="F165" s="6"/>
      <c r="G165" s="6"/>
      <c r="H165" s="6"/>
      <c r="I165" s="6"/>
      <c r="J165" s="6"/>
      <c r="K165" s="6">
        <f t="shared" si="38"/>
        <v>0</v>
      </c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>
        <f t="shared" si="42"/>
        <v>0</v>
      </c>
      <c r="X165" s="6"/>
      <c r="Y165" s="6" t="s">
        <v>400</v>
      </c>
      <c r="Z165" s="18"/>
      <c r="AA165" s="6" t="s">
        <v>151</v>
      </c>
      <c r="AB165" s="6"/>
      <c r="AC165" s="6"/>
      <c r="AD165" s="6"/>
      <c r="AE165" s="6"/>
      <c r="AF165" s="6"/>
      <c r="AG165" s="6"/>
      <c r="AH165" s="6"/>
      <c r="AI165" s="8">
        <f t="shared" si="36"/>
        <v>0</v>
      </c>
      <c r="AJ165" s="8"/>
      <c r="AK165" s="6"/>
      <c r="AL165" s="6"/>
      <c r="AM165" s="6"/>
      <c r="AN165" s="6"/>
      <c r="AO165" s="6"/>
      <c r="AP165" s="6"/>
      <c r="AQ165" s="6"/>
      <c r="AR165" s="6"/>
      <c r="AS165" s="8">
        <f t="shared" si="30"/>
        <v>0</v>
      </c>
      <c r="AT165" s="8"/>
      <c r="AU165" s="6">
        <v>0</v>
      </c>
      <c r="AV165" s="6"/>
      <c r="AW165" s="6">
        <v>0</v>
      </c>
      <c r="AX165" s="6"/>
      <c r="AY165" s="6">
        <f t="shared" si="39"/>
        <v>0</v>
      </c>
      <c r="AZ165" s="6"/>
      <c r="BA165" s="6" t="s">
        <v>400</v>
      </c>
      <c r="BB165" s="18"/>
      <c r="BC165" s="6" t="s">
        <v>151</v>
      </c>
      <c r="BD165" s="6"/>
      <c r="BE165" s="6"/>
      <c r="BF165" s="6"/>
      <c r="BG165" s="6"/>
      <c r="BH165" s="6"/>
      <c r="BI165" s="6"/>
      <c r="BJ165" s="6"/>
      <c r="BK165" s="6"/>
      <c r="BL165" s="6"/>
      <c r="BM165" s="6">
        <f t="shared" si="43"/>
        <v>0</v>
      </c>
      <c r="BN165" s="17" t="s">
        <v>345</v>
      </c>
    </row>
    <row r="166" spans="1:67" hidden="1" x14ac:dyDescent="0.2">
      <c r="A166" s="6" t="s">
        <v>195</v>
      </c>
      <c r="C166" s="6" t="s">
        <v>161</v>
      </c>
      <c r="D166" s="6"/>
      <c r="E166" s="6">
        <f t="shared" si="37"/>
        <v>0</v>
      </c>
      <c r="F166" s="6"/>
      <c r="G166" s="6"/>
      <c r="H166" s="6"/>
      <c r="I166" s="6"/>
      <c r="J166" s="6"/>
      <c r="K166" s="6">
        <f t="shared" si="38"/>
        <v>0</v>
      </c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>
        <f t="shared" si="42"/>
        <v>0</v>
      </c>
      <c r="X166" s="6"/>
      <c r="Y166" s="6" t="s">
        <v>195</v>
      </c>
      <c r="Z166" s="18"/>
      <c r="AA166" s="6" t="s">
        <v>161</v>
      </c>
      <c r="AB166" s="6"/>
      <c r="AC166" s="6"/>
      <c r="AD166" s="6"/>
      <c r="AE166" s="6"/>
      <c r="AF166" s="6"/>
      <c r="AG166" s="6"/>
      <c r="AH166" s="6"/>
      <c r="AI166" s="8">
        <f t="shared" si="36"/>
        <v>0</v>
      </c>
      <c r="AJ166" s="8"/>
      <c r="AK166" s="6"/>
      <c r="AL166" s="6"/>
      <c r="AM166" s="6"/>
      <c r="AN166" s="6"/>
      <c r="AO166" s="6"/>
      <c r="AP166" s="6"/>
      <c r="AQ166" s="6"/>
      <c r="AR166" s="6"/>
      <c r="AS166" s="8">
        <f t="shared" si="30"/>
        <v>0</v>
      </c>
      <c r="AT166" s="8"/>
      <c r="AU166" s="6">
        <v>0</v>
      </c>
      <c r="AV166" s="6"/>
      <c r="AW166" s="6">
        <v>0</v>
      </c>
      <c r="AX166" s="6"/>
      <c r="AY166" s="6">
        <f t="shared" si="39"/>
        <v>0</v>
      </c>
      <c r="AZ166" s="6"/>
      <c r="BA166" s="6" t="s">
        <v>195</v>
      </c>
      <c r="BB166" s="18"/>
      <c r="BC166" s="6" t="s">
        <v>161</v>
      </c>
      <c r="BD166" s="6"/>
      <c r="BE166" s="6"/>
      <c r="BF166" s="6"/>
      <c r="BG166" s="6"/>
      <c r="BH166" s="6"/>
      <c r="BI166" s="6"/>
      <c r="BJ166" s="6"/>
      <c r="BK166" s="6"/>
      <c r="BL166" s="6"/>
      <c r="BM166" s="6">
        <f t="shared" si="43"/>
        <v>0</v>
      </c>
      <c r="BN166" s="17" t="s">
        <v>345</v>
      </c>
    </row>
    <row r="167" spans="1:67" hidden="1" x14ac:dyDescent="0.2">
      <c r="A167" s="6" t="s">
        <v>196</v>
      </c>
      <c r="C167" s="6" t="s">
        <v>197</v>
      </c>
      <c r="D167" s="6"/>
      <c r="E167" s="6">
        <f t="shared" si="37"/>
        <v>0</v>
      </c>
      <c r="F167" s="6"/>
      <c r="G167" s="6"/>
      <c r="H167" s="6"/>
      <c r="I167" s="6"/>
      <c r="J167" s="6"/>
      <c r="K167" s="6">
        <f t="shared" si="38"/>
        <v>0</v>
      </c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>
        <f t="shared" si="42"/>
        <v>0</v>
      </c>
      <c r="X167" s="6"/>
      <c r="Y167" s="6" t="s">
        <v>196</v>
      </c>
      <c r="Z167" s="18"/>
      <c r="AA167" s="6" t="s">
        <v>197</v>
      </c>
      <c r="AB167" s="6"/>
      <c r="AC167" s="6"/>
      <c r="AD167" s="6"/>
      <c r="AE167" s="6"/>
      <c r="AF167" s="6"/>
      <c r="AG167" s="6"/>
      <c r="AH167" s="6"/>
      <c r="AI167" s="8">
        <f t="shared" si="36"/>
        <v>0</v>
      </c>
      <c r="AJ167" s="8"/>
      <c r="AK167" s="6"/>
      <c r="AL167" s="6"/>
      <c r="AM167" s="6"/>
      <c r="AN167" s="6"/>
      <c r="AO167" s="6"/>
      <c r="AP167" s="6"/>
      <c r="AQ167" s="6"/>
      <c r="AR167" s="6"/>
      <c r="AS167" s="8">
        <f t="shared" si="30"/>
        <v>0</v>
      </c>
      <c r="AT167" s="8"/>
      <c r="AU167" s="6">
        <v>0</v>
      </c>
      <c r="AV167" s="6"/>
      <c r="AW167" s="6">
        <v>0</v>
      </c>
      <c r="AX167" s="6"/>
      <c r="AY167" s="6">
        <f t="shared" si="39"/>
        <v>0</v>
      </c>
      <c r="AZ167" s="6"/>
      <c r="BA167" s="6" t="s">
        <v>196</v>
      </c>
      <c r="BB167" s="18"/>
      <c r="BC167" s="6" t="s">
        <v>197</v>
      </c>
      <c r="BD167" s="6"/>
      <c r="BE167" s="6"/>
      <c r="BF167" s="6"/>
      <c r="BG167" s="6"/>
      <c r="BH167" s="6"/>
      <c r="BI167" s="6"/>
      <c r="BJ167" s="6"/>
      <c r="BK167" s="6"/>
      <c r="BL167" s="6"/>
      <c r="BM167" s="6">
        <f t="shared" si="43"/>
        <v>0</v>
      </c>
      <c r="BN167" s="17" t="s">
        <v>345</v>
      </c>
      <c r="BO167" s="18" t="s">
        <v>369</v>
      </c>
    </row>
    <row r="168" spans="1:67" x14ac:dyDescent="0.2">
      <c r="A168" s="6" t="s">
        <v>198</v>
      </c>
      <c r="C168" s="6" t="s">
        <v>101</v>
      </c>
      <c r="D168" s="6"/>
      <c r="E168" s="6">
        <v>2861157</v>
      </c>
      <c r="F168" s="6"/>
      <c r="G168" s="6">
        <v>34137</v>
      </c>
      <c r="H168" s="6"/>
      <c r="I168" s="6">
        <f>+E168+G168</f>
        <v>2895294</v>
      </c>
      <c r="J168" s="6"/>
      <c r="K168" s="6">
        <v>390945</v>
      </c>
      <c r="L168" s="6"/>
      <c r="M168" s="6">
        <v>1473920</v>
      </c>
      <c r="N168" s="6"/>
      <c r="O168" s="6">
        <f>+K168+M168</f>
        <v>1864865</v>
      </c>
      <c r="P168" s="6"/>
      <c r="Q168" s="6">
        <v>34137</v>
      </c>
      <c r="R168" s="6"/>
      <c r="S168" s="6">
        <v>0</v>
      </c>
      <c r="T168" s="6"/>
      <c r="U168" s="6">
        <v>996292</v>
      </c>
      <c r="V168" s="6"/>
      <c r="W168" s="6">
        <f t="shared" si="42"/>
        <v>1030429</v>
      </c>
      <c r="X168" s="6"/>
      <c r="Y168" s="6" t="s">
        <v>198</v>
      </c>
      <c r="Z168" s="18"/>
      <c r="AA168" s="6" t="s">
        <v>101</v>
      </c>
      <c r="AB168" s="6"/>
      <c r="AC168" s="6">
        <v>1711142</v>
      </c>
      <c r="AD168" s="6"/>
      <c r="AE168" s="6">
        <f>1445453-1959</f>
        <v>1443494</v>
      </c>
      <c r="AF168" s="6"/>
      <c r="AG168" s="6">
        <v>1959</v>
      </c>
      <c r="AH168" s="6"/>
      <c r="AI168" s="8">
        <f t="shared" si="36"/>
        <v>265689</v>
      </c>
      <c r="AJ168" s="8"/>
      <c r="AK168" s="6">
        <v>-11800</v>
      </c>
      <c r="AL168" s="6"/>
      <c r="AM168" s="6">
        <v>0</v>
      </c>
      <c r="AN168" s="6"/>
      <c r="AO168" s="6">
        <v>0</v>
      </c>
      <c r="AP168" s="6"/>
      <c r="AQ168" s="6">
        <v>0</v>
      </c>
      <c r="AR168" s="6"/>
      <c r="AS168" s="8">
        <f t="shared" si="30"/>
        <v>253889</v>
      </c>
      <c r="AT168" s="8"/>
      <c r="AU168" s="6">
        <v>0</v>
      </c>
      <c r="AV168" s="6"/>
      <c r="AW168" s="6">
        <v>0</v>
      </c>
      <c r="AX168" s="6"/>
      <c r="AY168" s="6">
        <f t="shared" si="39"/>
        <v>2470212</v>
      </c>
      <c r="AZ168" s="6"/>
      <c r="BA168" s="6" t="s">
        <v>198</v>
      </c>
      <c r="BB168" s="18"/>
      <c r="BC168" s="6" t="s">
        <v>101</v>
      </c>
      <c r="BD168" s="6"/>
      <c r="BE168" s="6">
        <v>0</v>
      </c>
      <c r="BF168" s="6"/>
      <c r="BG168" s="6">
        <v>0</v>
      </c>
      <c r="BH168" s="6"/>
      <c r="BI168" s="6">
        <f>1022649+272188</f>
        <v>1294837</v>
      </c>
      <c r="BJ168" s="6"/>
      <c r="BK168" s="6">
        <f>430886+20385+7028</f>
        <v>458299</v>
      </c>
      <c r="BL168" s="6"/>
      <c r="BM168" s="6">
        <f t="shared" si="43"/>
        <v>1753136</v>
      </c>
      <c r="BN168" s="17" t="s">
        <v>345</v>
      </c>
    </row>
    <row r="169" spans="1:67" hidden="1" x14ac:dyDescent="0.2">
      <c r="A169" s="6" t="s">
        <v>199</v>
      </c>
      <c r="C169" s="6" t="s">
        <v>90</v>
      </c>
      <c r="D169" s="6"/>
      <c r="E169" s="6">
        <f t="shared" si="37"/>
        <v>0</v>
      </c>
      <c r="F169" s="6"/>
      <c r="G169" s="6"/>
      <c r="H169" s="6"/>
      <c r="I169" s="6"/>
      <c r="J169" s="6"/>
      <c r="K169" s="6">
        <f t="shared" si="38"/>
        <v>0</v>
      </c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>
        <f t="shared" si="40"/>
        <v>0</v>
      </c>
      <c r="X169" s="6"/>
      <c r="Y169" s="6" t="s">
        <v>199</v>
      </c>
      <c r="Z169" s="18"/>
      <c r="AA169" s="6" t="s">
        <v>90</v>
      </c>
      <c r="AB169" s="6"/>
      <c r="AC169" s="6"/>
      <c r="AD169" s="6"/>
      <c r="AE169" s="6"/>
      <c r="AF169" s="6"/>
      <c r="AG169" s="6"/>
      <c r="AH169" s="6"/>
      <c r="AI169" s="8">
        <f t="shared" si="36"/>
        <v>0</v>
      </c>
      <c r="AJ169" s="8"/>
      <c r="AK169" s="6"/>
      <c r="AL169" s="6"/>
      <c r="AM169" s="6"/>
      <c r="AN169" s="6"/>
      <c r="AO169" s="6"/>
      <c r="AP169" s="6"/>
      <c r="AQ169" s="6"/>
      <c r="AR169" s="6"/>
      <c r="AS169" s="8">
        <f t="shared" si="30"/>
        <v>0</v>
      </c>
      <c r="AT169" s="8"/>
      <c r="AU169" s="6">
        <v>0</v>
      </c>
      <c r="AV169" s="6"/>
      <c r="AW169" s="6">
        <v>0</v>
      </c>
      <c r="AX169" s="6"/>
      <c r="AY169" s="6">
        <f t="shared" si="39"/>
        <v>0</v>
      </c>
      <c r="AZ169" s="6"/>
      <c r="BA169" s="6" t="s">
        <v>199</v>
      </c>
      <c r="BB169" s="18"/>
      <c r="BC169" s="6" t="s">
        <v>90</v>
      </c>
      <c r="BD169" s="6"/>
      <c r="BE169" s="6"/>
      <c r="BF169" s="6"/>
      <c r="BG169" s="6"/>
      <c r="BH169" s="6"/>
      <c r="BI169" s="6"/>
      <c r="BJ169" s="6"/>
      <c r="BK169" s="6"/>
      <c r="BL169" s="6"/>
      <c r="BM169" s="6">
        <f t="shared" si="41"/>
        <v>0</v>
      </c>
      <c r="BN169" s="17" t="s">
        <v>345</v>
      </c>
    </row>
    <row r="170" spans="1:67" hidden="1" x14ac:dyDescent="0.2">
      <c r="A170" s="6" t="s">
        <v>200</v>
      </c>
      <c r="C170" s="6" t="s">
        <v>25</v>
      </c>
      <c r="D170" s="6"/>
      <c r="E170" s="6">
        <f t="shared" si="37"/>
        <v>0</v>
      </c>
      <c r="F170" s="6"/>
      <c r="G170" s="6"/>
      <c r="H170" s="6"/>
      <c r="I170" s="6"/>
      <c r="J170" s="6"/>
      <c r="K170" s="6">
        <f t="shared" si="38"/>
        <v>0</v>
      </c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>
        <f t="shared" si="40"/>
        <v>0</v>
      </c>
      <c r="X170" s="6"/>
      <c r="Y170" s="6" t="s">
        <v>200</v>
      </c>
      <c r="Z170" s="18"/>
      <c r="AA170" s="6" t="s">
        <v>25</v>
      </c>
      <c r="AB170" s="6"/>
      <c r="AC170" s="6"/>
      <c r="AD170" s="6"/>
      <c r="AE170" s="6"/>
      <c r="AF170" s="6"/>
      <c r="AG170" s="6"/>
      <c r="AH170" s="6"/>
      <c r="AI170" s="8">
        <f t="shared" si="36"/>
        <v>0</v>
      </c>
      <c r="AJ170" s="8"/>
      <c r="AK170" s="6"/>
      <c r="AL170" s="6"/>
      <c r="AM170" s="6"/>
      <c r="AN170" s="6"/>
      <c r="AO170" s="6"/>
      <c r="AP170" s="6"/>
      <c r="AQ170" s="6"/>
      <c r="AR170" s="6"/>
      <c r="AS170" s="8">
        <f t="shared" si="30"/>
        <v>0</v>
      </c>
      <c r="AT170" s="8"/>
      <c r="AU170" s="6">
        <v>0</v>
      </c>
      <c r="AV170" s="6"/>
      <c r="AW170" s="6">
        <v>0</v>
      </c>
      <c r="AX170" s="6"/>
      <c r="AY170" s="6">
        <f t="shared" si="39"/>
        <v>0</v>
      </c>
      <c r="AZ170" s="6"/>
      <c r="BA170" s="6" t="s">
        <v>200</v>
      </c>
      <c r="BB170" s="18"/>
      <c r="BC170" s="6" t="s">
        <v>25</v>
      </c>
      <c r="BD170" s="6"/>
      <c r="BE170" s="6"/>
      <c r="BF170" s="6"/>
      <c r="BG170" s="6"/>
      <c r="BH170" s="6"/>
      <c r="BI170" s="6"/>
      <c r="BJ170" s="6"/>
      <c r="BK170" s="6"/>
      <c r="BL170" s="6"/>
      <c r="BM170" s="6">
        <f t="shared" si="41"/>
        <v>0</v>
      </c>
      <c r="BN170" s="17" t="s">
        <v>345</v>
      </c>
    </row>
    <row r="171" spans="1:67" hidden="1" x14ac:dyDescent="0.2">
      <c r="A171" s="6" t="s">
        <v>201</v>
      </c>
      <c r="C171" s="6" t="s">
        <v>25</v>
      </c>
      <c r="D171" s="6"/>
      <c r="E171" s="6">
        <f t="shared" si="37"/>
        <v>0</v>
      </c>
      <c r="F171" s="6"/>
      <c r="G171" s="6"/>
      <c r="H171" s="6"/>
      <c r="I171" s="6"/>
      <c r="J171" s="6"/>
      <c r="K171" s="6">
        <f t="shared" si="38"/>
        <v>0</v>
      </c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>
        <f t="shared" si="40"/>
        <v>0</v>
      </c>
      <c r="X171" s="6"/>
      <c r="Y171" s="6" t="s">
        <v>201</v>
      </c>
      <c r="Z171" s="18"/>
      <c r="AA171" s="6" t="s">
        <v>25</v>
      </c>
      <c r="AB171" s="6"/>
      <c r="AC171" s="6"/>
      <c r="AD171" s="6"/>
      <c r="AE171" s="6"/>
      <c r="AF171" s="6"/>
      <c r="AG171" s="6"/>
      <c r="AH171" s="6"/>
      <c r="AI171" s="8">
        <f t="shared" si="36"/>
        <v>0</v>
      </c>
      <c r="AJ171" s="8"/>
      <c r="AK171" s="6"/>
      <c r="AL171" s="6"/>
      <c r="AM171" s="6"/>
      <c r="AN171" s="6"/>
      <c r="AO171" s="6"/>
      <c r="AP171" s="6"/>
      <c r="AQ171" s="6"/>
      <c r="AR171" s="6"/>
      <c r="AS171" s="8">
        <f t="shared" ref="AS171:AS222" si="44">+AI171+AK171+AM171-AO171+AQ171</f>
        <v>0</v>
      </c>
      <c r="AT171" s="8"/>
      <c r="AU171" s="6">
        <v>0</v>
      </c>
      <c r="AV171" s="6"/>
      <c r="AW171" s="6">
        <v>0</v>
      </c>
      <c r="AX171" s="6"/>
      <c r="AY171" s="6">
        <f t="shared" si="39"/>
        <v>0</v>
      </c>
      <c r="AZ171" s="6"/>
      <c r="BA171" s="6" t="s">
        <v>201</v>
      </c>
      <c r="BB171" s="18"/>
      <c r="BC171" s="6" t="s">
        <v>25</v>
      </c>
      <c r="BD171" s="6"/>
      <c r="BE171" s="6"/>
      <c r="BF171" s="6"/>
      <c r="BG171" s="6"/>
      <c r="BH171" s="6"/>
      <c r="BI171" s="6"/>
      <c r="BJ171" s="6"/>
      <c r="BK171" s="6"/>
      <c r="BL171" s="6"/>
      <c r="BM171" s="6">
        <f t="shared" si="41"/>
        <v>0</v>
      </c>
      <c r="BN171" s="17" t="s">
        <v>345</v>
      </c>
    </row>
    <row r="172" spans="1:67" hidden="1" x14ac:dyDescent="0.2">
      <c r="A172" s="6" t="s">
        <v>202</v>
      </c>
      <c r="C172" s="6" t="s">
        <v>123</v>
      </c>
      <c r="D172" s="6"/>
      <c r="E172" s="6">
        <f t="shared" si="37"/>
        <v>0</v>
      </c>
      <c r="F172" s="6"/>
      <c r="G172" s="6"/>
      <c r="H172" s="6"/>
      <c r="I172" s="6"/>
      <c r="J172" s="6"/>
      <c r="K172" s="6">
        <f t="shared" si="38"/>
        <v>0</v>
      </c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>
        <f t="shared" si="40"/>
        <v>0</v>
      </c>
      <c r="X172" s="6"/>
      <c r="Y172" s="6" t="s">
        <v>202</v>
      </c>
      <c r="Z172" s="18"/>
      <c r="AA172" s="6" t="s">
        <v>123</v>
      </c>
      <c r="AB172" s="6"/>
      <c r="AC172" s="6"/>
      <c r="AD172" s="6"/>
      <c r="AE172" s="6"/>
      <c r="AF172" s="6"/>
      <c r="AG172" s="6"/>
      <c r="AH172" s="6"/>
      <c r="AI172" s="8">
        <f t="shared" si="36"/>
        <v>0</v>
      </c>
      <c r="AJ172" s="8"/>
      <c r="AK172" s="6"/>
      <c r="AL172" s="6"/>
      <c r="AM172" s="6"/>
      <c r="AN172" s="6"/>
      <c r="AO172" s="6"/>
      <c r="AP172" s="6"/>
      <c r="AQ172" s="6"/>
      <c r="AR172" s="6"/>
      <c r="AS172" s="8">
        <f t="shared" si="44"/>
        <v>0</v>
      </c>
      <c r="AT172" s="8"/>
      <c r="AU172" s="6">
        <v>0</v>
      </c>
      <c r="AV172" s="6"/>
      <c r="AW172" s="6">
        <v>0</v>
      </c>
      <c r="AX172" s="6"/>
      <c r="AY172" s="6">
        <f t="shared" si="39"/>
        <v>0</v>
      </c>
      <c r="AZ172" s="6"/>
      <c r="BA172" s="6" t="s">
        <v>202</v>
      </c>
      <c r="BB172" s="18"/>
      <c r="BC172" s="6" t="s">
        <v>123</v>
      </c>
      <c r="BD172" s="6"/>
      <c r="BE172" s="6"/>
      <c r="BF172" s="6"/>
      <c r="BG172" s="6"/>
      <c r="BH172" s="6"/>
      <c r="BI172" s="6"/>
      <c r="BJ172" s="6"/>
      <c r="BK172" s="6"/>
      <c r="BL172" s="6"/>
      <c r="BM172" s="6">
        <f t="shared" si="41"/>
        <v>0</v>
      </c>
      <c r="BN172" s="17" t="s">
        <v>345</v>
      </c>
    </row>
    <row r="173" spans="1:67" hidden="1" x14ac:dyDescent="0.2">
      <c r="A173" s="6" t="s">
        <v>203</v>
      </c>
      <c r="C173" s="6" t="s">
        <v>25</v>
      </c>
      <c r="D173" s="6"/>
      <c r="E173" s="6">
        <f t="shared" si="37"/>
        <v>0</v>
      </c>
      <c r="F173" s="6"/>
      <c r="G173" s="6"/>
      <c r="H173" s="6"/>
      <c r="I173" s="6"/>
      <c r="J173" s="6"/>
      <c r="K173" s="6">
        <f t="shared" si="38"/>
        <v>0</v>
      </c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>
        <f t="shared" si="40"/>
        <v>0</v>
      </c>
      <c r="X173" s="6"/>
      <c r="Y173" s="6" t="s">
        <v>203</v>
      </c>
      <c r="Z173" s="18"/>
      <c r="AA173" s="6" t="s">
        <v>25</v>
      </c>
      <c r="AB173" s="6"/>
      <c r="AC173" s="6"/>
      <c r="AD173" s="6"/>
      <c r="AE173" s="6"/>
      <c r="AF173" s="6"/>
      <c r="AG173" s="6"/>
      <c r="AH173" s="6"/>
      <c r="AI173" s="8">
        <f t="shared" si="36"/>
        <v>0</v>
      </c>
      <c r="AJ173" s="8"/>
      <c r="AK173" s="6"/>
      <c r="AL173" s="6"/>
      <c r="AM173" s="6"/>
      <c r="AN173" s="6"/>
      <c r="AO173" s="6"/>
      <c r="AP173" s="6"/>
      <c r="AQ173" s="6"/>
      <c r="AR173" s="6"/>
      <c r="AS173" s="8">
        <f t="shared" si="44"/>
        <v>0</v>
      </c>
      <c r="AT173" s="8"/>
      <c r="AU173" s="6">
        <v>0</v>
      </c>
      <c r="AV173" s="6"/>
      <c r="AW173" s="6">
        <v>0</v>
      </c>
      <c r="AX173" s="6"/>
      <c r="AY173" s="6">
        <f t="shared" si="39"/>
        <v>0</v>
      </c>
      <c r="AZ173" s="6"/>
      <c r="BA173" s="6" t="s">
        <v>203</v>
      </c>
      <c r="BB173" s="18"/>
      <c r="BC173" s="6" t="s">
        <v>25</v>
      </c>
      <c r="BD173" s="6"/>
      <c r="BE173" s="6"/>
      <c r="BF173" s="6"/>
      <c r="BG173" s="6"/>
      <c r="BH173" s="6"/>
      <c r="BI173" s="6"/>
      <c r="BJ173" s="6"/>
      <c r="BK173" s="6"/>
      <c r="BL173" s="6"/>
      <c r="BM173" s="6">
        <f t="shared" si="41"/>
        <v>0</v>
      </c>
      <c r="BN173" s="17" t="s">
        <v>345</v>
      </c>
    </row>
    <row r="174" spans="1:67" hidden="1" x14ac:dyDescent="0.2">
      <c r="A174" s="6" t="s">
        <v>204</v>
      </c>
      <c r="C174" s="6" t="s">
        <v>45</v>
      </c>
      <c r="D174" s="6"/>
      <c r="E174" s="6">
        <f t="shared" si="37"/>
        <v>0</v>
      </c>
      <c r="F174" s="6"/>
      <c r="G174" s="6"/>
      <c r="H174" s="6"/>
      <c r="I174" s="6"/>
      <c r="J174" s="6"/>
      <c r="K174" s="6">
        <f t="shared" si="38"/>
        <v>0</v>
      </c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>
        <f t="shared" si="40"/>
        <v>0</v>
      </c>
      <c r="X174" s="6"/>
      <c r="Y174" s="6" t="s">
        <v>204</v>
      </c>
      <c r="Z174" s="18"/>
      <c r="AA174" s="6" t="s">
        <v>45</v>
      </c>
      <c r="AB174" s="6"/>
      <c r="AC174" s="6"/>
      <c r="AD174" s="6"/>
      <c r="AE174" s="6"/>
      <c r="AF174" s="6"/>
      <c r="AG174" s="6"/>
      <c r="AH174" s="6"/>
      <c r="AI174" s="8">
        <f t="shared" si="36"/>
        <v>0</v>
      </c>
      <c r="AJ174" s="8"/>
      <c r="AK174" s="6"/>
      <c r="AL174" s="6"/>
      <c r="AM174" s="6"/>
      <c r="AN174" s="6"/>
      <c r="AO174" s="6"/>
      <c r="AP174" s="6"/>
      <c r="AQ174" s="6"/>
      <c r="AR174" s="6"/>
      <c r="AS174" s="8">
        <f t="shared" si="44"/>
        <v>0</v>
      </c>
      <c r="AT174" s="8"/>
      <c r="AU174" s="6">
        <v>0</v>
      </c>
      <c r="AV174" s="6"/>
      <c r="AW174" s="6">
        <v>0</v>
      </c>
      <c r="AX174" s="6"/>
      <c r="AY174" s="6">
        <f t="shared" si="39"/>
        <v>0</v>
      </c>
      <c r="AZ174" s="6"/>
      <c r="BA174" s="6" t="s">
        <v>204</v>
      </c>
      <c r="BB174" s="18"/>
      <c r="BC174" s="6" t="s">
        <v>45</v>
      </c>
      <c r="BD174" s="6"/>
      <c r="BE174" s="6"/>
      <c r="BF174" s="6"/>
      <c r="BG174" s="6"/>
      <c r="BH174" s="6"/>
      <c r="BI174" s="6"/>
      <c r="BJ174" s="6"/>
      <c r="BK174" s="6"/>
      <c r="BL174" s="6"/>
      <c r="BM174" s="6">
        <f t="shared" si="41"/>
        <v>0</v>
      </c>
      <c r="BN174" s="17" t="s">
        <v>345</v>
      </c>
    </row>
    <row r="175" spans="1:67" hidden="1" x14ac:dyDescent="0.2">
      <c r="A175" s="6" t="s">
        <v>205</v>
      </c>
      <c r="C175" s="6" t="s">
        <v>100</v>
      </c>
      <c r="D175" s="6"/>
      <c r="E175" s="6">
        <f t="shared" si="37"/>
        <v>0</v>
      </c>
      <c r="F175" s="6"/>
      <c r="G175" s="6"/>
      <c r="H175" s="6"/>
      <c r="I175" s="6"/>
      <c r="J175" s="6"/>
      <c r="K175" s="6">
        <f t="shared" si="38"/>
        <v>0</v>
      </c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>
        <f t="shared" si="40"/>
        <v>0</v>
      </c>
      <c r="X175" s="6"/>
      <c r="Y175" s="6" t="s">
        <v>205</v>
      </c>
      <c r="Z175" s="18"/>
      <c r="AA175" s="6" t="s">
        <v>100</v>
      </c>
      <c r="AB175" s="6"/>
      <c r="AC175" s="6"/>
      <c r="AD175" s="6"/>
      <c r="AE175" s="6"/>
      <c r="AF175" s="6"/>
      <c r="AG175" s="6"/>
      <c r="AH175" s="6"/>
      <c r="AI175" s="8">
        <f t="shared" si="36"/>
        <v>0</v>
      </c>
      <c r="AJ175" s="8"/>
      <c r="AK175" s="6"/>
      <c r="AL175" s="6"/>
      <c r="AM175" s="6"/>
      <c r="AN175" s="6"/>
      <c r="AO175" s="6"/>
      <c r="AP175" s="6"/>
      <c r="AQ175" s="6"/>
      <c r="AR175" s="6"/>
      <c r="AS175" s="8">
        <f t="shared" si="44"/>
        <v>0</v>
      </c>
      <c r="AT175" s="8"/>
      <c r="AU175" s="6">
        <v>0</v>
      </c>
      <c r="AV175" s="6"/>
      <c r="AW175" s="6">
        <v>0</v>
      </c>
      <c r="AX175" s="6"/>
      <c r="AY175" s="6">
        <f t="shared" si="39"/>
        <v>0</v>
      </c>
      <c r="AZ175" s="6"/>
      <c r="BA175" s="6" t="s">
        <v>205</v>
      </c>
      <c r="BB175" s="18"/>
      <c r="BC175" s="6" t="s">
        <v>100</v>
      </c>
      <c r="BD175" s="6"/>
      <c r="BE175" s="6"/>
      <c r="BF175" s="6"/>
      <c r="BG175" s="6"/>
      <c r="BH175" s="6"/>
      <c r="BI175" s="6"/>
      <c r="BJ175" s="6"/>
      <c r="BK175" s="6"/>
      <c r="BL175" s="6"/>
      <c r="BM175" s="6">
        <f t="shared" si="41"/>
        <v>0</v>
      </c>
      <c r="BN175" s="17" t="s">
        <v>345</v>
      </c>
    </row>
    <row r="176" spans="1:67" x14ac:dyDescent="0.2">
      <c r="A176" s="6" t="s">
        <v>206</v>
      </c>
      <c r="C176" s="6" t="s">
        <v>207</v>
      </c>
      <c r="D176" s="6"/>
      <c r="E176" s="6">
        <v>1412319</v>
      </c>
      <c r="F176" s="6"/>
      <c r="G176" s="6">
        <v>415237</v>
      </c>
      <c r="H176" s="6"/>
      <c r="I176" s="6">
        <f>+E176+G176</f>
        <v>1827556</v>
      </c>
      <c r="J176" s="6"/>
      <c r="K176" s="6">
        <v>125370</v>
      </c>
      <c r="L176" s="6"/>
      <c r="M176" s="6">
        <v>77950</v>
      </c>
      <c r="N176" s="6"/>
      <c r="O176" s="6">
        <f>+K176+M176</f>
        <v>203320</v>
      </c>
      <c r="P176" s="6"/>
      <c r="Q176" s="6">
        <v>415237</v>
      </c>
      <c r="R176" s="6"/>
      <c r="S176" s="6">
        <v>0</v>
      </c>
      <c r="T176" s="6"/>
      <c r="U176" s="6">
        <v>1208999</v>
      </c>
      <c r="V176" s="6"/>
      <c r="W176" s="6">
        <f t="shared" si="40"/>
        <v>1624236</v>
      </c>
      <c r="X176" s="6"/>
      <c r="Y176" s="6" t="s">
        <v>206</v>
      </c>
      <c r="Z176" s="18"/>
      <c r="AA176" s="6" t="s">
        <v>207</v>
      </c>
      <c r="AB176" s="6"/>
      <c r="AC176" s="6">
        <v>1761520</v>
      </c>
      <c r="AD176" s="6"/>
      <c r="AE176" s="6">
        <f>1594962-34842</f>
        <v>1560120</v>
      </c>
      <c r="AF176" s="6"/>
      <c r="AG176" s="6">
        <v>34842</v>
      </c>
      <c r="AH176" s="6"/>
      <c r="AI176" s="8">
        <f t="shared" si="36"/>
        <v>166558</v>
      </c>
      <c r="AJ176" s="8"/>
      <c r="AK176" s="6">
        <v>15611</v>
      </c>
      <c r="AL176" s="6"/>
      <c r="AM176" s="6">
        <v>0</v>
      </c>
      <c r="AN176" s="6"/>
      <c r="AO176" s="6">
        <v>0</v>
      </c>
      <c r="AP176" s="6"/>
      <c r="AQ176" s="6">
        <v>0</v>
      </c>
      <c r="AR176" s="6"/>
      <c r="AS176" s="8">
        <f t="shared" si="44"/>
        <v>182169</v>
      </c>
      <c r="AT176" s="8"/>
      <c r="AU176" s="6">
        <v>0</v>
      </c>
      <c r="AV176" s="6"/>
      <c r="AW176" s="6">
        <v>0</v>
      </c>
      <c r="AX176" s="6"/>
      <c r="AY176" s="6">
        <f t="shared" si="39"/>
        <v>1286949</v>
      </c>
      <c r="AZ176" s="6"/>
      <c r="BA176" s="6" t="s">
        <v>206</v>
      </c>
      <c r="BB176" s="18"/>
      <c r="BC176" s="6" t="s">
        <v>207</v>
      </c>
      <c r="BD176" s="6"/>
      <c r="BE176" s="6">
        <v>0</v>
      </c>
      <c r="BF176" s="6"/>
      <c r="BG176" s="6">
        <v>0</v>
      </c>
      <c r="BH176" s="6"/>
      <c r="BI176" s="6">
        <v>0</v>
      </c>
      <c r="BJ176" s="6"/>
      <c r="BK176" s="6">
        <f>77950+48150</f>
        <v>126100</v>
      </c>
      <c r="BL176" s="6"/>
      <c r="BM176" s="6">
        <f t="shared" si="41"/>
        <v>126100</v>
      </c>
      <c r="BN176" s="17" t="s">
        <v>345</v>
      </c>
    </row>
    <row r="177" spans="1:68" hidden="1" x14ac:dyDescent="0.2">
      <c r="A177" s="7" t="s">
        <v>208</v>
      </c>
      <c r="C177" s="7" t="s">
        <v>209</v>
      </c>
      <c r="D177" s="7"/>
      <c r="E177" s="6">
        <f t="shared" si="37"/>
        <v>0</v>
      </c>
      <c r="F177" s="6"/>
      <c r="G177" s="6"/>
      <c r="H177" s="6"/>
      <c r="I177" s="6"/>
      <c r="J177" s="6"/>
      <c r="K177" s="6">
        <f t="shared" si="38"/>
        <v>0</v>
      </c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>
        <f t="shared" si="40"/>
        <v>0</v>
      </c>
      <c r="X177" s="6"/>
      <c r="Y177" s="7" t="s">
        <v>208</v>
      </c>
      <c r="Z177" s="18"/>
      <c r="AA177" s="7" t="s">
        <v>209</v>
      </c>
      <c r="AB177" s="7"/>
      <c r="AC177" s="6"/>
      <c r="AD177" s="6"/>
      <c r="AE177" s="6"/>
      <c r="AF177" s="6"/>
      <c r="AG177" s="6"/>
      <c r="AH177" s="6"/>
      <c r="AI177" s="8">
        <f t="shared" si="36"/>
        <v>0</v>
      </c>
      <c r="AJ177" s="8"/>
      <c r="AK177" s="6"/>
      <c r="AL177" s="6"/>
      <c r="AM177" s="6"/>
      <c r="AN177" s="6"/>
      <c r="AO177" s="6"/>
      <c r="AP177" s="6"/>
      <c r="AQ177" s="6"/>
      <c r="AR177" s="6"/>
      <c r="AS177" s="8">
        <f t="shared" si="44"/>
        <v>0</v>
      </c>
      <c r="AT177" s="8"/>
      <c r="AU177" s="6">
        <v>0</v>
      </c>
      <c r="AV177" s="6"/>
      <c r="AW177" s="6">
        <v>0</v>
      </c>
      <c r="AX177" s="6"/>
      <c r="AY177" s="6">
        <f t="shared" si="39"/>
        <v>0</v>
      </c>
      <c r="AZ177" s="6"/>
      <c r="BA177" s="7" t="s">
        <v>208</v>
      </c>
      <c r="BB177" s="18"/>
      <c r="BC177" s="7" t="s">
        <v>209</v>
      </c>
      <c r="BD177" s="7"/>
      <c r="BE177" s="6"/>
      <c r="BF177" s="6"/>
      <c r="BG177" s="6"/>
      <c r="BH177" s="6"/>
      <c r="BI177" s="6"/>
      <c r="BJ177" s="6"/>
      <c r="BK177" s="6"/>
      <c r="BL177" s="6"/>
      <c r="BM177" s="6">
        <f t="shared" si="41"/>
        <v>0</v>
      </c>
      <c r="BN177" s="17" t="s">
        <v>345</v>
      </c>
    </row>
    <row r="178" spans="1:68" x14ac:dyDescent="0.2">
      <c r="A178" s="7" t="s">
        <v>210</v>
      </c>
      <c r="C178" s="7" t="s">
        <v>211</v>
      </c>
      <c r="D178" s="7"/>
      <c r="E178" s="6">
        <v>387361</v>
      </c>
      <c r="F178" s="6"/>
      <c r="G178" s="6">
        <v>656633</v>
      </c>
      <c r="H178" s="6"/>
      <c r="I178" s="6">
        <f>+E178+G178</f>
        <v>1043994</v>
      </c>
      <c r="J178" s="6"/>
      <c r="K178" s="6">
        <v>96289</v>
      </c>
      <c r="L178" s="6"/>
      <c r="M178" s="6">
        <v>202</v>
      </c>
      <c r="N178" s="6"/>
      <c r="O178" s="6">
        <f>+K178+M178</f>
        <v>96491</v>
      </c>
      <c r="P178" s="6"/>
      <c r="Q178" s="6">
        <v>656633</v>
      </c>
      <c r="R178" s="6"/>
      <c r="S178" s="6">
        <v>0</v>
      </c>
      <c r="T178" s="6"/>
      <c r="U178" s="6">
        <v>290870</v>
      </c>
      <c r="V178" s="6"/>
      <c r="W178" s="6">
        <f t="shared" si="40"/>
        <v>947503</v>
      </c>
      <c r="X178" s="6"/>
      <c r="Y178" s="7" t="s">
        <v>210</v>
      </c>
      <c r="Z178" s="18"/>
      <c r="AA178" s="7" t="s">
        <v>211</v>
      </c>
      <c r="AB178" s="7"/>
      <c r="AC178" s="6">
        <v>1341395</v>
      </c>
      <c r="AD178" s="6"/>
      <c r="AE178" s="6">
        <f>1405577-80993</f>
        <v>1324584</v>
      </c>
      <c r="AF178" s="6"/>
      <c r="AG178" s="6">
        <v>80993</v>
      </c>
      <c r="AH178" s="6"/>
      <c r="AI178" s="8">
        <f t="shared" si="36"/>
        <v>-64182</v>
      </c>
      <c r="AJ178" s="8"/>
      <c r="AK178" s="6">
        <v>-44771</v>
      </c>
      <c r="AL178" s="6"/>
      <c r="AM178" s="6">
        <v>0</v>
      </c>
      <c r="AN178" s="6"/>
      <c r="AO178" s="6">
        <v>0</v>
      </c>
      <c r="AP178" s="6"/>
      <c r="AQ178" s="6">
        <v>0</v>
      </c>
      <c r="AR178" s="6"/>
      <c r="AS178" s="8">
        <f t="shared" si="44"/>
        <v>-108953</v>
      </c>
      <c r="AT178" s="8"/>
      <c r="AU178" s="6">
        <v>0</v>
      </c>
      <c r="AV178" s="6"/>
      <c r="AW178" s="6">
        <v>0</v>
      </c>
      <c r="AX178" s="6"/>
      <c r="AY178" s="6">
        <f t="shared" si="39"/>
        <v>291072</v>
      </c>
      <c r="AZ178" s="6"/>
      <c r="BA178" s="7" t="s">
        <v>210</v>
      </c>
      <c r="BB178" s="18"/>
      <c r="BC178" s="7" t="s">
        <v>211</v>
      </c>
      <c r="BD178" s="7"/>
      <c r="BE178" s="6">
        <v>0</v>
      </c>
      <c r="BF178" s="6"/>
      <c r="BG178" s="6">
        <v>0</v>
      </c>
      <c r="BH178" s="6"/>
      <c r="BI178" s="6">
        <v>0</v>
      </c>
      <c r="BJ178" s="6"/>
      <c r="BK178" s="6">
        <f>202+238</f>
        <v>440</v>
      </c>
      <c r="BL178" s="6"/>
      <c r="BM178" s="6">
        <f t="shared" si="41"/>
        <v>440</v>
      </c>
      <c r="BN178" s="17" t="s">
        <v>345</v>
      </c>
    </row>
    <row r="179" spans="1:68" ht="12.75" hidden="1" customHeight="1" x14ac:dyDescent="0.2">
      <c r="A179" s="7" t="s">
        <v>212</v>
      </c>
      <c r="C179" s="7" t="s">
        <v>84</v>
      </c>
      <c r="D179" s="7"/>
      <c r="E179" s="6">
        <f t="shared" si="37"/>
        <v>0</v>
      </c>
      <c r="F179" s="6"/>
      <c r="G179" s="6"/>
      <c r="H179" s="6"/>
      <c r="I179" s="6"/>
      <c r="J179" s="6"/>
      <c r="K179" s="6">
        <f t="shared" si="38"/>
        <v>0</v>
      </c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>
        <f t="shared" si="40"/>
        <v>0</v>
      </c>
      <c r="X179" s="6"/>
      <c r="Y179" s="7" t="s">
        <v>212</v>
      </c>
      <c r="Z179" s="18"/>
      <c r="AA179" s="7" t="s">
        <v>84</v>
      </c>
      <c r="AB179" s="7"/>
      <c r="AC179" s="6"/>
      <c r="AD179" s="6"/>
      <c r="AE179" s="6"/>
      <c r="AF179" s="6"/>
      <c r="AG179" s="6"/>
      <c r="AH179" s="6"/>
      <c r="AI179" s="8">
        <f t="shared" si="36"/>
        <v>0</v>
      </c>
      <c r="AJ179" s="8"/>
      <c r="AK179" s="6"/>
      <c r="AL179" s="6"/>
      <c r="AM179" s="6"/>
      <c r="AN179" s="6"/>
      <c r="AO179" s="6"/>
      <c r="AP179" s="6"/>
      <c r="AQ179" s="6"/>
      <c r="AR179" s="6"/>
      <c r="AS179" s="8">
        <f t="shared" si="44"/>
        <v>0</v>
      </c>
      <c r="AT179" s="8"/>
      <c r="AU179" s="6">
        <v>0</v>
      </c>
      <c r="AV179" s="6"/>
      <c r="AW179" s="6">
        <v>0</v>
      </c>
      <c r="AX179" s="6"/>
      <c r="AY179" s="6">
        <f t="shared" si="39"/>
        <v>0</v>
      </c>
      <c r="AZ179" s="6"/>
      <c r="BA179" s="7" t="s">
        <v>212</v>
      </c>
      <c r="BB179" s="18"/>
      <c r="BC179" s="7" t="s">
        <v>84</v>
      </c>
      <c r="BD179" s="7"/>
      <c r="BE179" s="6"/>
      <c r="BF179" s="6"/>
      <c r="BG179" s="6"/>
      <c r="BH179" s="6"/>
      <c r="BI179" s="6"/>
      <c r="BJ179" s="6"/>
      <c r="BK179" s="6"/>
      <c r="BL179" s="6"/>
      <c r="BM179" s="6">
        <f t="shared" si="41"/>
        <v>0</v>
      </c>
      <c r="BN179" s="17" t="s">
        <v>345</v>
      </c>
    </row>
    <row r="180" spans="1:68" hidden="1" x14ac:dyDescent="0.2">
      <c r="A180" s="6" t="s">
        <v>213</v>
      </c>
      <c r="C180" s="6" t="s">
        <v>20</v>
      </c>
      <c r="D180" s="6"/>
      <c r="E180" s="6">
        <f t="shared" si="37"/>
        <v>0</v>
      </c>
      <c r="F180" s="6"/>
      <c r="G180" s="6"/>
      <c r="H180" s="6"/>
      <c r="I180" s="6"/>
      <c r="J180" s="6"/>
      <c r="K180" s="6">
        <f t="shared" si="38"/>
        <v>0</v>
      </c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>
        <f t="shared" si="40"/>
        <v>0</v>
      </c>
      <c r="X180" s="6"/>
      <c r="Y180" s="6" t="s">
        <v>213</v>
      </c>
      <c r="Z180" s="18"/>
      <c r="AA180" s="6" t="s">
        <v>20</v>
      </c>
      <c r="AB180" s="6"/>
      <c r="AC180" s="6"/>
      <c r="AD180" s="6"/>
      <c r="AE180" s="6"/>
      <c r="AF180" s="6"/>
      <c r="AG180" s="6"/>
      <c r="AH180" s="6"/>
      <c r="AI180" s="8">
        <f t="shared" si="36"/>
        <v>0</v>
      </c>
      <c r="AJ180" s="8"/>
      <c r="AK180" s="6"/>
      <c r="AL180" s="6"/>
      <c r="AM180" s="6"/>
      <c r="AN180" s="6"/>
      <c r="AO180" s="6"/>
      <c r="AP180" s="6"/>
      <c r="AQ180" s="6"/>
      <c r="AR180" s="6"/>
      <c r="AS180" s="8">
        <f t="shared" si="44"/>
        <v>0</v>
      </c>
      <c r="AT180" s="8"/>
      <c r="AU180" s="6">
        <v>0</v>
      </c>
      <c r="AV180" s="6"/>
      <c r="AW180" s="6">
        <v>0</v>
      </c>
      <c r="AX180" s="6"/>
      <c r="AY180" s="6">
        <f t="shared" si="39"/>
        <v>0</v>
      </c>
      <c r="AZ180" s="6"/>
      <c r="BA180" s="6" t="s">
        <v>213</v>
      </c>
      <c r="BB180" s="18"/>
      <c r="BC180" s="6" t="s">
        <v>20</v>
      </c>
      <c r="BD180" s="6"/>
      <c r="BE180" s="6"/>
      <c r="BF180" s="6"/>
      <c r="BG180" s="6"/>
      <c r="BH180" s="6"/>
      <c r="BI180" s="6"/>
      <c r="BJ180" s="6"/>
      <c r="BK180" s="6"/>
      <c r="BL180" s="6"/>
      <c r="BM180" s="6">
        <f t="shared" si="41"/>
        <v>0</v>
      </c>
      <c r="BN180" s="17" t="s">
        <v>345</v>
      </c>
    </row>
    <row r="181" spans="1:68" hidden="1" x14ac:dyDescent="0.2">
      <c r="A181" s="6" t="s">
        <v>214</v>
      </c>
      <c r="C181" s="6" t="s">
        <v>43</v>
      </c>
      <c r="D181" s="6"/>
      <c r="E181" s="6">
        <f t="shared" si="37"/>
        <v>0</v>
      </c>
      <c r="F181" s="6"/>
      <c r="G181" s="6"/>
      <c r="H181" s="6"/>
      <c r="I181" s="6"/>
      <c r="J181" s="6"/>
      <c r="K181" s="6">
        <f t="shared" si="38"/>
        <v>0</v>
      </c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>
        <f t="shared" si="40"/>
        <v>0</v>
      </c>
      <c r="X181" s="6"/>
      <c r="Y181" s="6" t="s">
        <v>214</v>
      </c>
      <c r="Z181" s="18"/>
      <c r="AA181" s="6" t="s">
        <v>43</v>
      </c>
      <c r="AB181" s="6"/>
      <c r="AC181" s="6"/>
      <c r="AD181" s="6"/>
      <c r="AE181" s="6"/>
      <c r="AF181" s="6"/>
      <c r="AG181" s="6"/>
      <c r="AH181" s="6"/>
      <c r="AI181" s="8">
        <f t="shared" si="36"/>
        <v>0</v>
      </c>
      <c r="AJ181" s="8"/>
      <c r="AK181" s="6"/>
      <c r="AL181" s="6"/>
      <c r="AM181" s="6"/>
      <c r="AN181" s="6"/>
      <c r="AO181" s="6"/>
      <c r="AP181" s="6"/>
      <c r="AQ181" s="6"/>
      <c r="AR181" s="6"/>
      <c r="AS181" s="8">
        <f t="shared" si="44"/>
        <v>0</v>
      </c>
      <c r="AT181" s="8"/>
      <c r="AU181" s="6">
        <v>0</v>
      </c>
      <c r="AV181" s="6"/>
      <c r="AW181" s="6">
        <v>0</v>
      </c>
      <c r="AX181" s="6"/>
      <c r="AY181" s="6">
        <f t="shared" si="39"/>
        <v>0</v>
      </c>
      <c r="AZ181" s="6"/>
      <c r="BA181" s="6" t="s">
        <v>214</v>
      </c>
      <c r="BB181" s="18"/>
      <c r="BC181" s="6" t="s">
        <v>43</v>
      </c>
      <c r="BD181" s="6"/>
      <c r="BE181" s="6"/>
      <c r="BF181" s="6"/>
      <c r="BG181" s="6"/>
      <c r="BH181" s="6"/>
      <c r="BI181" s="6"/>
      <c r="BJ181" s="6"/>
      <c r="BK181" s="6"/>
      <c r="BL181" s="6"/>
      <c r="BM181" s="6">
        <f t="shared" si="41"/>
        <v>0</v>
      </c>
      <c r="BN181" s="17" t="s">
        <v>345</v>
      </c>
    </row>
    <row r="182" spans="1:68" hidden="1" x14ac:dyDescent="0.2">
      <c r="A182" s="6" t="s">
        <v>215</v>
      </c>
      <c r="C182" s="6" t="s">
        <v>41</v>
      </c>
      <c r="D182" s="6"/>
      <c r="E182" s="6">
        <f t="shared" si="37"/>
        <v>378744</v>
      </c>
      <c r="F182" s="6"/>
      <c r="G182" s="6">
        <v>0</v>
      </c>
      <c r="H182" s="6"/>
      <c r="I182" s="6">
        <v>378744</v>
      </c>
      <c r="J182" s="6"/>
      <c r="K182" s="6">
        <f t="shared" si="38"/>
        <v>321799</v>
      </c>
      <c r="L182" s="6"/>
      <c r="M182" s="6">
        <v>0</v>
      </c>
      <c r="N182" s="6"/>
      <c r="O182" s="6">
        <v>321799</v>
      </c>
      <c r="P182" s="6"/>
      <c r="Q182" s="6">
        <v>0</v>
      </c>
      <c r="R182" s="6"/>
      <c r="S182" s="6">
        <v>0</v>
      </c>
      <c r="T182" s="6"/>
      <c r="U182" s="6">
        <v>56945</v>
      </c>
      <c r="V182" s="6"/>
      <c r="W182" s="6">
        <f t="shared" si="40"/>
        <v>56945</v>
      </c>
      <c r="X182" s="6"/>
      <c r="Y182" s="6" t="s">
        <v>215</v>
      </c>
      <c r="Z182" s="18"/>
      <c r="AA182" s="6" t="s">
        <v>41</v>
      </c>
      <c r="AB182" s="6"/>
      <c r="AC182" s="6">
        <v>1824653</v>
      </c>
      <c r="AD182" s="6"/>
      <c r="AE182" s="6">
        <v>1952789</v>
      </c>
      <c r="AF182" s="6"/>
      <c r="AG182" s="6">
        <v>0</v>
      </c>
      <c r="AH182" s="6"/>
      <c r="AI182" s="8">
        <f t="shared" si="36"/>
        <v>-128136</v>
      </c>
      <c r="AJ182" s="8"/>
      <c r="AK182" s="6">
        <v>0</v>
      </c>
      <c r="AL182" s="6"/>
      <c r="AM182" s="6">
        <v>0</v>
      </c>
      <c r="AN182" s="6"/>
      <c r="AO182" s="6">
        <v>0</v>
      </c>
      <c r="AP182" s="6"/>
      <c r="AQ182" s="6">
        <v>0</v>
      </c>
      <c r="AR182" s="6"/>
      <c r="AS182" s="8">
        <f t="shared" si="44"/>
        <v>-128136</v>
      </c>
      <c r="AT182" s="8"/>
      <c r="AU182" s="6">
        <v>0</v>
      </c>
      <c r="AV182" s="6"/>
      <c r="AW182" s="6">
        <v>0</v>
      </c>
      <c r="AX182" s="6"/>
      <c r="AY182" s="6">
        <f t="shared" si="39"/>
        <v>56945</v>
      </c>
      <c r="AZ182" s="6"/>
      <c r="BA182" s="6" t="s">
        <v>215</v>
      </c>
      <c r="BB182" s="18"/>
      <c r="BC182" s="6" t="s">
        <v>41</v>
      </c>
      <c r="BD182" s="6"/>
      <c r="BE182" s="6">
        <v>0</v>
      </c>
      <c r="BF182" s="6"/>
      <c r="BG182" s="6">
        <v>0</v>
      </c>
      <c r="BH182" s="6"/>
      <c r="BI182" s="6">
        <v>0</v>
      </c>
      <c r="BJ182" s="6"/>
      <c r="BK182" s="6">
        <v>0</v>
      </c>
      <c r="BL182" s="6"/>
      <c r="BM182" s="6">
        <f t="shared" si="41"/>
        <v>0</v>
      </c>
      <c r="BN182" s="17" t="s">
        <v>345</v>
      </c>
    </row>
    <row r="183" spans="1:68" hidden="1" x14ac:dyDescent="0.2">
      <c r="A183" s="6" t="s">
        <v>216</v>
      </c>
      <c r="C183" s="6" t="s">
        <v>25</v>
      </c>
      <c r="D183" s="6"/>
      <c r="E183" s="6">
        <f t="shared" si="37"/>
        <v>0</v>
      </c>
      <c r="F183" s="6"/>
      <c r="G183" s="6"/>
      <c r="H183" s="6"/>
      <c r="I183" s="6"/>
      <c r="J183" s="6"/>
      <c r="K183" s="6">
        <f t="shared" si="38"/>
        <v>0</v>
      </c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>
        <f t="shared" si="40"/>
        <v>0</v>
      </c>
      <c r="X183" s="6"/>
      <c r="Y183" s="6" t="s">
        <v>216</v>
      </c>
      <c r="Z183" s="18"/>
      <c r="AA183" s="6" t="s">
        <v>25</v>
      </c>
      <c r="AB183" s="6"/>
      <c r="AC183" s="6"/>
      <c r="AD183" s="6"/>
      <c r="AE183" s="6"/>
      <c r="AF183" s="6"/>
      <c r="AG183" s="6"/>
      <c r="AH183" s="6"/>
      <c r="AI183" s="8">
        <f t="shared" si="36"/>
        <v>0</v>
      </c>
      <c r="AJ183" s="8"/>
      <c r="AK183" s="6"/>
      <c r="AL183" s="6"/>
      <c r="AM183" s="6"/>
      <c r="AN183" s="6"/>
      <c r="AO183" s="6"/>
      <c r="AP183" s="6"/>
      <c r="AQ183" s="6"/>
      <c r="AR183" s="6"/>
      <c r="AS183" s="8">
        <f t="shared" si="44"/>
        <v>0</v>
      </c>
      <c r="AT183" s="8"/>
      <c r="AU183" s="6">
        <v>0</v>
      </c>
      <c r="AV183" s="6"/>
      <c r="AW183" s="6">
        <v>0</v>
      </c>
      <c r="AX183" s="6"/>
      <c r="AY183" s="6">
        <f t="shared" si="39"/>
        <v>0</v>
      </c>
      <c r="AZ183" s="6"/>
      <c r="BA183" s="6" t="s">
        <v>216</v>
      </c>
      <c r="BB183" s="18"/>
      <c r="BC183" s="6" t="s">
        <v>25</v>
      </c>
      <c r="BD183" s="6"/>
      <c r="BE183" s="6"/>
      <c r="BF183" s="6"/>
      <c r="BG183" s="6"/>
      <c r="BH183" s="6"/>
      <c r="BI183" s="6"/>
      <c r="BJ183" s="6"/>
      <c r="BK183" s="6"/>
      <c r="BL183" s="6"/>
      <c r="BM183" s="6">
        <f t="shared" si="41"/>
        <v>0</v>
      </c>
      <c r="BN183" s="17" t="s">
        <v>345</v>
      </c>
      <c r="BO183" s="6"/>
      <c r="BP183" s="6"/>
    </row>
    <row r="184" spans="1:68" hidden="1" x14ac:dyDescent="0.2">
      <c r="A184" s="6" t="s">
        <v>217</v>
      </c>
      <c r="C184" s="6" t="s">
        <v>197</v>
      </c>
      <c r="D184" s="6"/>
      <c r="E184" s="6">
        <f t="shared" si="37"/>
        <v>0</v>
      </c>
      <c r="F184" s="6"/>
      <c r="G184" s="6"/>
      <c r="H184" s="6"/>
      <c r="I184" s="6"/>
      <c r="J184" s="6"/>
      <c r="K184" s="6">
        <f t="shared" si="38"/>
        <v>0</v>
      </c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>
        <f t="shared" si="40"/>
        <v>0</v>
      </c>
      <c r="X184" s="6"/>
      <c r="Y184" s="6" t="s">
        <v>217</v>
      </c>
      <c r="Z184" s="18"/>
      <c r="AA184" s="6" t="s">
        <v>197</v>
      </c>
      <c r="AB184" s="6"/>
      <c r="AC184" s="6"/>
      <c r="AD184" s="6"/>
      <c r="AE184" s="6"/>
      <c r="AF184" s="6"/>
      <c r="AG184" s="6"/>
      <c r="AH184" s="6"/>
      <c r="AI184" s="8">
        <f t="shared" si="36"/>
        <v>0</v>
      </c>
      <c r="AJ184" s="8"/>
      <c r="AK184" s="6"/>
      <c r="AL184" s="6"/>
      <c r="AM184" s="6"/>
      <c r="AN184" s="6"/>
      <c r="AO184" s="6"/>
      <c r="AP184" s="6"/>
      <c r="AQ184" s="6"/>
      <c r="AR184" s="6"/>
      <c r="AS184" s="8">
        <f t="shared" si="44"/>
        <v>0</v>
      </c>
      <c r="AT184" s="8"/>
      <c r="AU184" s="6">
        <v>0</v>
      </c>
      <c r="AV184" s="6"/>
      <c r="AW184" s="6">
        <v>0</v>
      </c>
      <c r="AX184" s="6"/>
      <c r="AY184" s="6">
        <f t="shared" si="39"/>
        <v>0</v>
      </c>
      <c r="AZ184" s="6"/>
      <c r="BA184" s="6" t="s">
        <v>217</v>
      </c>
      <c r="BB184" s="18"/>
      <c r="BC184" s="6" t="s">
        <v>197</v>
      </c>
      <c r="BD184" s="6"/>
      <c r="BE184" s="6"/>
      <c r="BF184" s="6"/>
      <c r="BG184" s="6"/>
      <c r="BH184" s="6"/>
      <c r="BI184" s="6"/>
      <c r="BJ184" s="6"/>
      <c r="BK184" s="6"/>
      <c r="BL184" s="6"/>
      <c r="BM184" s="6">
        <f t="shared" si="41"/>
        <v>0</v>
      </c>
      <c r="BN184" s="17" t="s">
        <v>345</v>
      </c>
    </row>
    <row r="185" spans="1:68" hidden="1" x14ac:dyDescent="0.2">
      <c r="A185" s="6" t="s">
        <v>218</v>
      </c>
      <c r="C185" s="6" t="s">
        <v>64</v>
      </c>
      <c r="D185" s="6"/>
      <c r="E185" s="6">
        <f t="shared" si="37"/>
        <v>0</v>
      </c>
      <c r="F185" s="6"/>
      <c r="G185" s="6"/>
      <c r="H185" s="6"/>
      <c r="I185" s="6"/>
      <c r="J185" s="6"/>
      <c r="K185" s="6">
        <f t="shared" si="38"/>
        <v>0</v>
      </c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>
        <f t="shared" si="40"/>
        <v>0</v>
      </c>
      <c r="X185" s="6"/>
      <c r="Y185" s="6" t="s">
        <v>218</v>
      </c>
      <c r="Z185" s="18"/>
      <c r="AA185" s="6" t="s">
        <v>64</v>
      </c>
      <c r="AB185" s="6"/>
      <c r="AC185" s="6"/>
      <c r="AD185" s="6"/>
      <c r="AE185" s="6"/>
      <c r="AF185" s="6"/>
      <c r="AG185" s="6"/>
      <c r="AH185" s="6"/>
      <c r="AI185" s="8">
        <f t="shared" si="36"/>
        <v>0</v>
      </c>
      <c r="AJ185" s="8"/>
      <c r="AK185" s="6"/>
      <c r="AL185" s="6"/>
      <c r="AM185" s="6"/>
      <c r="AN185" s="6"/>
      <c r="AO185" s="6"/>
      <c r="AP185" s="6"/>
      <c r="AQ185" s="6"/>
      <c r="AR185" s="6"/>
      <c r="AS185" s="8">
        <f t="shared" si="44"/>
        <v>0</v>
      </c>
      <c r="AT185" s="8"/>
      <c r="AU185" s="6">
        <v>0</v>
      </c>
      <c r="AV185" s="6"/>
      <c r="AW185" s="6">
        <v>0</v>
      </c>
      <c r="AX185" s="6"/>
      <c r="AY185" s="6">
        <f t="shared" si="39"/>
        <v>0</v>
      </c>
      <c r="AZ185" s="6"/>
      <c r="BA185" s="6" t="s">
        <v>218</v>
      </c>
      <c r="BB185" s="18"/>
      <c r="BC185" s="6" t="s">
        <v>64</v>
      </c>
      <c r="BD185" s="6"/>
      <c r="BE185" s="6"/>
      <c r="BF185" s="6"/>
      <c r="BG185" s="6"/>
      <c r="BH185" s="6"/>
      <c r="BI185" s="6"/>
      <c r="BJ185" s="6"/>
      <c r="BK185" s="6"/>
      <c r="BL185" s="6"/>
      <c r="BM185" s="6">
        <f t="shared" si="41"/>
        <v>0</v>
      </c>
      <c r="BN185" s="35" t="s">
        <v>345</v>
      </c>
    </row>
    <row r="186" spans="1:68" hidden="1" x14ac:dyDescent="0.2">
      <c r="A186" s="6" t="s">
        <v>219</v>
      </c>
      <c r="C186" s="6" t="s">
        <v>25</v>
      </c>
      <c r="D186" s="6"/>
      <c r="E186" s="6">
        <f t="shared" si="37"/>
        <v>0</v>
      </c>
      <c r="F186" s="6"/>
      <c r="G186" s="6"/>
      <c r="H186" s="6"/>
      <c r="I186" s="6"/>
      <c r="J186" s="6"/>
      <c r="K186" s="6">
        <f t="shared" si="38"/>
        <v>0</v>
      </c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>
        <f t="shared" si="40"/>
        <v>0</v>
      </c>
      <c r="X186" s="6"/>
      <c r="Y186" s="6" t="s">
        <v>219</v>
      </c>
      <c r="Z186" s="18"/>
      <c r="AA186" s="6" t="s">
        <v>25</v>
      </c>
      <c r="AB186" s="6"/>
      <c r="AC186" s="6"/>
      <c r="AD186" s="6"/>
      <c r="AE186" s="6"/>
      <c r="AF186" s="6"/>
      <c r="AG186" s="6"/>
      <c r="AH186" s="6"/>
      <c r="AI186" s="8">
        <f t="shared" ref="AI186:AI222" si="45">+AC186-AE186-AG186</f>
        <v>0</v>
      </c>
      <c r="AJ186" s="8"/>
      <c r="AK186" s="6"/>
      <c r="AL186" s="6"/>
      <c r="AM186" s="6"/>
      <c r="AN186" s="6"/>
      <c r="AO186" s="6"/>
      <c r="AP186" s="6"/>
      <c r="AQ186" s="6"/>
      <c r="AR186" s="6"/>
      <c r="AS186" s="8">
        <f t="shared" si="44"/>
        <v>0</v>
      </c>
      <c r="AT186" s="8"/>
      <c r="AU186" s="6">
        <v>0</v>
      </c>
      <c r="AV186" s="6"/>
      <c r="AW186" s="6">
        <v>0</v>
      </c>
      <c r="AX186" s="6"/>
      <c r="AY186" s="6">
        <f t="shared" si="39"/>
        <v>0</v>
      </c>
      <c r="AZ186" s="6"/>
      <c r="BA186" s="6" t="s">
        <v>219</v>
      </c>
      <c r="BB186" s="18"/>
      <c r="BC186" s="6" t="s">
        <v>25</v>
      </c>
      <c r="BD186" s="6"/>
      <c r="BE186" s="6"/>
      <c r="BF186" s="6"/>
      <c r="BG186" s="6"/>
      <c r="BH186" s="6"/>
      <c r="BI186" s="6"/>
      <c r="BJ186" s="6"/>
      <c r="BK186" s="6"/>
      <c r="BL186" s="6"/>
      <c r="BM186" s="6">
        <f t="shared" si="41"/>
        <v>0</v>
      </c>
      <c r="BN186" s="35" t="s">
        <v>345</v>
      </c>
    </row>
    <row r="187" spans="1:68" hidden="1" x14ac:dyDescent="0.2">
      <c r="A187" s="6" t="s">
        <v>220</v>
      </c>
      <c r="C187" s="6" t="s">
        <v>45</v>
      </c>
      <c r="D187" s="6"/>
      <c r="E187" s="6">
        <f t="shared" si="37"/>
        <v>0</v>
      </c>
      <c r="F187" s="6"/>
      <c r="G187" s="6"/>
      <c r="H187" s="6"/>
      <c r="I187" s="6"/>
      <c r="J187" s="6"/>
      <c r="K187" s="6">
        <f t="shared" si="38"/>
        <v>0</v>
      </c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>
        <f t="shared" si="40"/>
        <v>0</v>
      </c>
      <c r="X187" s="6"/>
      <c r="Y187" s="6" t="s">
        <v>220</v>
      </c>
      <c r="Z187" s="18"/>
      <c r="AA187" s="6" t="s">
        <v>45</v>
      </c>
      <c r="AB187" s="6"/>
      <c r="AC187" s="6"/>
      <c r="AD187" s="6"/>
      <c r="AE187" s="6"/>
      <c r="AF187" s="6"/>
      <c r="AG187" s="6"/>
      <c r="AH187" s="6"/>
      <c r="AI187" s="8">
        <f t="shared" si="45"/>
        <v>0</v>
      </c>
      <c r="AJ187" s="8"/>
      <c r="AK187" s="6"/>
      <c r="AL187" s="6"/>
      <c r="AM187" s="6"/>
      <c r="AN187" s="6"/>
      <c r="AO187" s="6"/>
      <c r="AP187" s="6"/>
      <c r="AQ187" s="6"/>
      <c r="AR187" s="6"/>
      <c r="AS187" s="8">
        <f t="shared" si="44"/>
        <v>0</v>
      </c>
      <c r="AT187" s="8"/>
      <c r="AU187" s="6">
        <v>0</v>
      </c>
      <c r="AV187" s="6"/>
      <c r="AW187" s="6">
        <v>0</v>
      </c>
      <c r="AX187" s="6"/>
      <c r="AY187" s="6">
        <f t="shared" si="39"/>
        <v>0</v>
      </c>
      <c r="AZ187" s="6"/>
      <c r="BA187" s="6" t="s">
        <v>220</v>
      </c>
      <c r="BB187" s="18"/>
      <c r="BC187" s="6" t="s">
        <v>45</v>
      </c>
      <c r="BD187" s="6"/>
      <c r="BE187" s="6"/>
      <c r="BF187" s="6"/>
      <c r="BG187" s="6"/>
      <c r="BH187" s="6"/>
      <c r="BI187" s="6"/>
      <c r="BJ187" s="6"/>
      <c r="BK187" s="6"/>
      <c r="BL187" s="6"/>
      <c r="BM187" s="6">
        <f t="shared" si="41"/>
        <v>0</v>
      </c>
      <c r="BN187" s="35" t="s">
        <v>345</v>
      </c>
    </row>
    <row r="188" spans="1:68" hidden="1" x14ac:dyDescent="0.2">
      <c r="A188" s="6" t="s">
        <v>221</v>
      </c>
      <c r="C188" s="6" t="s">
        <v>92</v>
      </c>
      <c r="D188" s="6"/>
      <c r="E188" s="6">
        <f t="shared" si="37"/>
        <v>0</v>
      </c>
      <c r="F188" s="6"/>
      <c r="G188" s="6"/>
      <c r="H188" s="6"/>
      <c r="I188" s="6"/>
      <c r="J188" s="6"/>
      <c r="K188" s="6">
        <f t="shared" si="38"/>
        <v>0</v>
      </c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>
        <f t="shared" si="40"/>
        <v>0</v>
      </c>
      <c r="X188" s="6"/>
      <c r="Y188" s="6" t="s">
        <v>221</v>
      </c>
      <c r="Z188" s="18"/>
      <c r="AA188" s="6" t="s">
        <v>92</v>
      </c>
      <c r="AB188" s="6"/>
      <c r="AC188" s="6"/>
      <c r="AD188" s="6"/>
      <c r="AE188" s="6"/>
      <c r="AF188" s="6"/>
      <c r="AG188" s="6"/>
      <c r="AH188" s="6"/>
      <c r="AI188" s="8">
        <f t="shared" si="45"/>
        <v>0</v>
      </c>
      <c r="AJ188" s="8"/>
      <c r="AK188" s="6"/>
      <c r="AL188" s="6"/>
      <c r="AM188" s="6"/>
      <c r="AN188" s="6"/>
      <c r="AO188" s="6"/>
      <c r="AP188" s="6"/>
      <c r="AQ188" s="6"/>
      <c r="AR188" s="6"/>
      <c r="AS188" s="8">
        <f t="shared" si="44"/>
        <v>0</v>
      </c>
      <c r="AT188" s="8"/>
      <c r="AU188" s="6">
        <v>0</v>
      </c>
      <c r="AV188" s="6"/>
      <c r="AW188" s="6">
        <v>0</v>
      </c>
      <c r="AX188" s="6"/>
      <c r="AY188" s="6">
        <f t="shared" si="39"/>
        <v>0</v>
      </c>
      <c r="AZ188" s="6"/>
      <c r="BA188" s="6" t="s">
        <v>221</v>
      </c>
      <c r="BB188" s="18"/>
      <c r="BC188" s="6" t="s">
        <v>92</v>
      </c>
      <c r="BD188" s="6"/>
      <c r="BE188" s="6"/>
      <c r="BF188" s="6"/>
      <c r="BG188" s="6"/>
      <c r="BH188" s="6"/>
      <c r="BI188" s="6"/>
      <c r="BJ188" s="6"/>
      <c r="BK188" s="6"/>
      <c r="BL188" s="6"/>
      <c r="BM188" s="6">
        <f t="shared" si="41"/>
        <v>0</v>
      </c>
      <c r="BN188" s="35" t="s">
        <v>345</v>
      </c>
    </row>
    <row r="189" spans="1:68" hidden="1" x14ac:dyDescent="0.2">
      <c r="A189" s="6" t="s">
        <v>74</v>
      </c>
      <c r="C189" s="6" t="s">
        <v>130</v>
      </c>
      <c r="D189" s="6"/>
      <c r="E189" s="6">
        <f t="shared" si="37"/>
        <v>0</v>
      </c>
      <c r="F189" s="6"/>
      <c r="G189" s="6"/>
      <c r="H189" s="6"/>
      <c r="I189" s="6"/>
      <c r="J189" s="6"/>
      <c r="K189" s="6">
        <f t="shared" si="38"/>
        <v>0</v>
      </c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>
        <f t="shared" si="40"/>
        <v>0</v>
      </c>
      <c r="X189" s="6"/>
      <c r="Y189" s="6" t="s">
        <v>74</v>
      </c>
      <c r="Z189" s="18"/>
      <c r="AA189" s="6" t="s">
        <v>130</v>
      </c>
      <c r="AB189" s="6"/>
      <c r="AC189" s="6"/>
      <c r="AD189" s="6"/>
      <c r="AE189" s="6"/>
      <c r="AF189" s="6"/>
      <c r="AG189" s="6"/>
      <c r="AH189" s="6"/>
      <c r="AI189" s="8">
        <f t="shared" si="45"/>
        <v>0</v>
      </c>
      <c r="AJ189" s="8"/>
      <c r="AK189" s="6"/>
      <c r="AL189" s="6"/>
      <c r="AM189" s="6"/>
      <c r="AN189" s="6"/>
      <c r="AO189" s="6"/>
      <c r="AP189" s="6"/>
      <c r="AQ189" s="6"/>
      <c r="AR189" s="6"/>
      <c r="AS189" s="8">
        <f t="shared" si="44"/>
        <v>0</v>
      </c>
      <c r="AT189" s="8"/>
      <c r="AU189" s="6">
        <v>0</v>
      </c>
      <c r="AV189" s="6"/>
      <c r="AW189" s="6">
        <v>0</v>
      </c>
      <c r="AX189" s="6"/>
      <c r="AY189" s="6">
        <f t="shared" si="39"/>
        <v>0</v>
      </c>
      <c r="AZ189" s="6"/>
      <c r="BA189" s="6" t="s">
        <v>74</v>
      </c>
      <c r="BB189" s="18"/>
      <c r="BC189" s="6" t="s">
        <v>130</v>
      </c>
      <c r="BD189" s="6"/>
      <c r="BE189" s="6"/>
      <c r="BF189" s="6"/>
      <c r="BG189" s="6"/>
      <c r="BH189" s="6"/>
      <c r="BI189" s="6"/>
      <c r="BJ189" s="6"/>
      <c r="BK189" s="6"/>
      <c r="BL189" s="6"/>
      <c r="BM189" s="6">
        <f t="shared" si="41"/>
        <v>0</v>
      </c>
      <c r="BN189" s="17" t="s">
        <v>345</v>
      </c>
    </row>
    <row r="190" spans="1:68" hidden="1" x14ac:dyDescent="0.2">
      <c r="A190" s="6" t="s">
        <v>222</v>
      </c>
      <c r="C190" s="6" t="s">
        <v>25</v>
      </c>
      <c r="D190" s="6"/>
      <c r="E190" s="6">
        <f t="shared" ref="E190:E221" si="46">I190-G190</f>
        <v>0</v>
      </c>
      <c r="F190" s="6"/>
      <c r="G190" s="6"/>
      <c r="H190" s="6"/>
      <c r="I190" s="6"/>
      <c r="J190" s="6"/>
      <c r="K190" s="6">
        <f t="shared" ref="K190:K221" si="47">O190-M190</f>
        <v>0</v>
      </c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>
        <f t="shared" si="40"/>
        <v>0</v>
      </c>
      <c r="X190" s="6"/>
      <c r="Y190" s="6" t="s">
        <v>222</v>
      </c>
      <c r="Z190" s="18"/>
      <c r="AA190" s="6" t="s">
        <v>25</v>
      </c>
      <c r="AB190" s="6"/>
      <c r="AC190" s="6"/>
      <c r="AD190" s="6"/>
      <c r="AE190" s="6"/>
      <c r="AF190" s="6"/>
      <c r="AG190" s="6"/>
      <c r="AH190" s="6"/>
      <c r="AI190" s="8">
        <f t="shared" si="45"/>
        <v>0</v>
      </c>
      <c r="AJ190" s="8"/>
      <c r="AK190" s="6"/>
      <c r="AL190" s="6"/>
      <c r="AM190" s="6"/>
      <c r="AN190" s="6"/>
      <c r="AO190" s="6"/>
      <c r="AP190" s="6"/>
      <c r="AQ190" s="6"/>
      <c r="AR190" s="6"/>
      <c r="AS190" s="8">
        <f t="shared" si="44"/>
        <v>0</v>
      </c>
      <c r="AT190" s="8"/>
      <c r="AU190" s="6">
        <v>0</v>
      </c>
      <c r="AV190" s="6"/>
      <c r="AW190" s="6">
        <v>0</v>
      </c>
      <c r="AX190" s="6"/>
      <c r="AY190" s="6">
        <f t="shared" si="39"/>
        <v>0</v>
      </c>
      <c r="AZ190" s="6"/>
      <c r="BA190" s="6" t="s">
        <v>222</v>
      </c>
      <c r="BB190" s="18"/>
      <c r="BC190" s="6" t="s">
        <v>25</v>
      </c>
      <c r="BD190" s="6"/>
      <c r="BE190" s="6"/>
      <c r="BF190" s="6"/>
      <c r="BG190" s="6"/>
      <c r="BH190" s="6"/>
      <c r="BI190" s="6"/>
      <c r="BJ190" s="6"/>
      <c r="BK190" s="6"/>
      <c r="BL190" s="6"/>
      <c r="BM190" s="6">
        <f t="shared" si="41"/>
        <v>0</v>
      </c>
      <c r="BN190" s="17" t="s">
        <v>345</v>
      </c>
      <c r="BO190" s="6"/>
      <c r="BP190" s="6"/>
    </row>
    <row r="191" spans="1:68" hidden="1" x14ac:dyDescent="0.2">
      <c r="A191" s="6" t="s">
        <v>223</v>
      </c>
      <c r="C191" s="6" t="s">
        <v>25</v>
      </c>
      <c r="D191" s="6"/>
      <c r="E191" s="6">
        <f t="shared" si="46"/>
        <v>0</v>
      </c>
      <c r="F191" s="6"/>
      <c r="G191" s="6"/>
      <c r="H191" s="6"/>
      <c r="I191" s="6"/>
      <c r="J191" s="6"/>
      <c r="K191" s="6">
        <f t="shared" si="47"/>
        <v>0</v>
      </c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>
        <f t="shared" si="40"/>
        <v>0</v>
      </c>
      <c r="X191" s="6"/>
      <c r="Y191" s="6" t="s">
        <v>223</v>
      </c>
      <c r="Z191" s="18"/>
      <c r="AA191" s="6" t="s">
        <v>25</v>
      </c>
      <c r="AB191" s="6"/>
      <c r="AC191" s="6"/>
      <c r="AD191" s="6"/>
      <c r="AE191" s="6"/>
      <c r="AF191" s="6"/>
      <c r="AG191" s="6"/>
      <c r="AH191" s="6"/>
      <c r="AI191" s="8">
        <f t="shared" si="45"/>
        <v>0</v>
      </c>
      <c r="AJ191" s="8"/>
      <c r="AK191" s="6"/>
      <c r="AL191" s="6"/>
      <c r="AM191" s="6"/>
      <c r="AN191" s="6"/>
      <c r="AO191" s="6"/>
      <c r="AP191" s="6"/>
      <c r="AQ191" s="6"/>
      <c r="AR191" s="6"/>
      <c r="AS191" s="8">
        <f t="shared" si="44"/>
        <v>0</v>
      </c>
      <c r="AT191" s="8"/>
      <c r="AU191" s="6">
        <v>0</v>
      </c>
      <c r="AV191" s="6"/>
      <c r="AW191" s="6">
        <v>0</v>
      </c>
      <c r="AX191" s="6"/>
      <c r="AY191" s="6">
        <f t="shared" si="39"/>
        <v>0</v>
      </c>
      <c r="AZ191" s="6"/>
      <c r="BA191" s="6" t="s">
        <v>223</v>
      </c>
      <c r="BB191" s="18"/>
      <c r="BC191" s="6" t="s">
        <v>25</v>
      </c>
      <c r="BD191" s="6"/>
      <c r="BE191" s="6"/>
      <c r="BF191" s="6"/>
      <c r="BG191" s="6"/>
      <c r="BH191" s="6"/>
      <c r="BI191" s="6"/>
      <c r="BJ191" s="6"/>
      <c r="BK191" s="6"/>
      <c r="BL191" s="6"/>
      <c r="BM191" s="6">
        <f t="shared" si="41"/>
        <v>0</v>
      </c>
      <c r="BN191" s="17" t="s">
        <v>345</v>
      </c>
    </row>
    <row r="192" spans="1:68" hidden="1" x14ac:dyDescent="0.2">
      <c r="A192" s="6" t="s">
        <v>224</v>
      </c>
      <c r="C192" s="6" t="s">
        <v>43</v>
      </c>
      <c r="D192" s="6"/>
      <c r="E192" s="6">
        <f t="shared" si="46"/>
        <v>0</v>
      </c>
      <c r="F192" s="6"/>
      <c r="G192" s="6"/>
      <c r="H192" s="6"/>
      <c r="I192" s="6"/>
      <c r="J192" s="6"/>
      <c r="K192" s="6">
        <f t="shared" si="47"/>
        <v>0</v>
      </c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>
        <f t="shared" si="40"/>
        <v>0</v>
      </c>
      <c r="X192" s="6"/>
      <c r="Y192" s="6" t="s">
        <v>224</v>
      </c>
      <c r="Z192" s="18"/>
      <c r="AA192" s="6" t="s">
        <v>43</v>
      </c>
      <c r="AB192" s="6"/>
      <c r="AC192" s="6"/>
      <c r="AD192" s="6"/>
      <c r="AE192" s="6"/>
      <c r="AF192" s="6"/>
      <c r="AG192" s="6"/>
      <c r="AH192" s="6"/>
      <c r="AI192" s="8">
        <f t="shared" si="45"/>
        <v>0</v>
      </c>
      <c r="AJ192" s="8"/>
      <c r="AK192" s="6"/>
      <c r="AL192" s="6"/>
      <c r="AM192" s="6"/>
      <c r="AN192" s="6"/>
      <c r="AO192" s="6"/>
      <c r="AP192" s="6"/>
      <c r="AQ192" s="6"/>
      <c r="AR192" s="6"/>
      <c r="AS192" s="8">
        <f t="shared" si="44"/>
        <v>0</v>
      </c>
      <c r="AT192" s="8"/>
      <c r="AU192" s="6">
        <v>0</v>
      </c>
      <c r="AV192" s="6"/>
      <c r="AW192" s="6">
        <v>0</v>
      </c>
      <c r="AX192" s="6"/>
      <c r="AY192" s="6">
        <f t="shared" si="39"/>
        <v>0</v>
      </c>
      <c r="AZ192" s="6"/>
      <c r="BA192" s="6" t="s">
        <v>224</v>
      </c>
      <c r="BB192" s="18"/>
      <c r="BC192" s="6" t="s">
        <v>43</v>
      </c>
      <c r="BD192" s="6"/>
      <c r="BE192" s="6"/>
      <c r="BF192" s="6"/>
      <c r="BG192" s="6"/>
      <c r="BH192" s="6"/>
      <c r="BI192" s="6"/>
      <c r="BJ192" s="6"/>
      <c r="BK192" s="6"/>
      <c r="BL192" s="6"/>
      <c r="BM192" s="6">
        <f t="shared" si="41"/>
        <v>0</v>
      </c>
      <c r="BN192" s="17" t="s">
        <v>345</v>
      </c>
    </row>
    <row r="193" spans="1:74" hidden="1" x14ac:dyDescent="0.2">
      <c r="A193" s="6" t="s">
        <v>225</v>
      </c>
      <c r="C193" s="6" t="s">
        <v>15</v>
      </c>
      <c r="D193" s="6"/>
      <c r="E193" s="6">
        <f t="shared" si="46"/>
        <v>0</v>
      </c>
      <c r="F193" s="6"/>
      <c r="G193" s="6"/>
      <c r="H193" s="6"/>
      <c r="I193" s="6"/>
      <c r="J193" s="6"/>
      <c r="K193" s="6">
        <f t="shared" si="47"/>
        <v>0</v>
      </c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>
        <f t="shared" si="40"/>
        <v>0</v>
      </c>
      <c r="X193" s="6"/>
      <c r="Y193" s="6" t="s">
        <v>225</v>
      </c>
      <c r="Z193" s="18"/>
      <c r="AA193" s="6" t="s">
        <v>15</v>
      </c>
      <c r="AB193" s="6"/>
      <c r="AC193" s="6"/>
      <c r="AD193" s="6"/>
      <c r="AE193" s="6"/>
      <c r="AF193" s="6"/>
      <c r="AG193" s="6"/>
      <c r="AH193" s="6"/>
      <c r="AI193" s="8">
        <f t="shared" si="45"/>
        <v>0</v>
      </c>
      <c r="AJ193" s="8"/>
      <c r="AK193" s="6"/>
      <c r="AL193" s="6"/>
      <c r="AM193" s="6"/>
      <c r="AN193" s="6"/>
      <c r="AO193" s="6"/>
      <c r="AP193" s="6"/>
      <c r="AQ193" s="6"/>
      <c r="AR193" s="6"/>
      <c r="AS193" s="8">
        <f t="shared" si="44"/>
        <v>0</v>
      </c>
      <c r="AT193" s="8"/>
      <c r="AU193" s="6">
        <v>0</v>
      </c>
      <c r="AV193" s="6"/>
      <c r="AW193" s="6">
        <v>0</v>
      </c>
      <c r="AX193" s="6"/>
      <c r="AY193" s="6">
        <f t="shared" ref="AY193:AY222" si="48">+E193-K193</f>
        <v>0</v>
      </c>
      <c r="AZ193" s="6"/>
      <c r="BA193" s="6" t="s">
        <v>225</v>
      </c>
      <c r="BB193" s="18"/>
      <c r="BC193" s="6" t="s">
        <v>15</v>
      </c>
      <c r="BD193" s="6"/>
      <c r="BE193" s="6"/>
      <c r="BF193" s="6"/>
      <c r="BG193" s="6"/>
      <c r="BH193" s="6"/>
      <c r="BI193" s="6"/>
      <c r="BJ193" s="6"/>
      <c r="BK193" s="6"/>
      <c r="BL193" s="6"/>
      <c r="BM193" s="6">
        <v>0</v>
      </c>
      <c r="BN193" s="17" t="s">
        <v>345</v>
      </c>
    </row>
    <row r="194" spans="1:74" hidden="1" x14ac:dyDescent="0.2">
      <c r="A194" s="6" t="s">
        <v>226</v>
      </c>
      <c r="C194" s="6" t="s">
        <v>151</v>
      </c>
      <c r="D194" s="6"/>
      <c r="E194" s="6">
        <f t="shared" si="46"/>
        <v>0</v>
      </c>
      <c r="F194" s="6"/>
      <c r="G194" s="6"/>
      <c r="H194" s="6"/>
      <c r="I194" s="6"/>
      <c r="J194" s="6"/>
      <c r="K194" s="6">
        <f t="shared" si="47"/>
        <v>0</v>
      </c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>
        <f t="shared" si="40"/>
        <v>0</v>
      </c>
      <c r="X194" s="6"/>
      <c r="Y194" s="6" t="s">
        <v>226</v>
      </c>
      <c r="Z194" s="18"/>
      <c r="AA194" s="6" t="s">
        <v>151</v>
      </c>
      <c r="AB194" s="6"/>
      <c r="AC194" s="6"/>
      <c r="AD194" s="6"/>
      <c r="AE194" s="6"/>
      <c r="AF194" s="6"/>
      <c r="AG194" s="6"/>
      <c r="AH194" s="6"/>
      <c r="AI194" s="8">
        <f t="shared" si="45"/>
        <v>0</v>
      </c>
      <c r="AJ194" s="8"/>
      <c r="AK194" s="6"/>
      <c r="AL194" s="6"/>
      <c r="AM194" s="6"/>
      <c r="AN194" s="6"/>
      <c r="AO194" s="6"/>
      <c r="AP194" s="6"/>
      <c r="AQ194" s="6"/>
      <c r="AR194" s="6"/>
      <c r="AS194" s="8">
        <f t="shared" si="44"/>
        <v>0</v>
      </c>
      <c r="AT194" s="8"/>
      <c r="AU194" s="6">
        <v>0</v>
      </c>
      <c r="AV194" s="6"/>
      <c r="AW194" s="6">
        <v>0</v>
      </c>
      <c r="AX194" s="6"/>
      <c r="AY194" s="6">
        <f t="shared" si="48"/>
        <v>0</v>
      </c>
      <c r="AZ194" s="6"/>
      <c r="BA194" s="6" t="s">
        <v>226</v>
      </c>
      <c r="BB194" s="18"/>
      <c r="BC194" s="6" t="s">
        <v>151</v>
      </c>
      <c r="BD194" s="6"/>
      <c r="BE194" s="6"/>
      <c r="BF194" s="6"/>
      <c r="BG194" s="6"/>
      <c r="BH194" s="6"/>
      <c r="BI194" s="6"/>
      <c r="BJ194" s="6"/>
      <c r="BK194" s="6"/>
      <c r="BL194" s="6"/>
      <c r="BM194" s="6">
        <f t="shared" ref="BM194:BM222" si="49">SUM(BE194:BK194)</f>
        <v>0</v>
      </c>
      <c r="BN194" s="17" t="s">
        <v>345</v>
      </c>
    </row>
    <row r="195" spans="1:74" hidden="1" x14ac:dyDescent="0.2">
      <c r="A195" s="6" t="s">
        <v>227</v>
      </c>
      <c r="C195" s="6" t="s">
        <v>226</v>
      </c>
      <c r="D195" s="6"/>
      <c r="E195" s="6">
        <f t="shared" si="46"/>
        <v>0</v>
      </c>
      <c r="F195" s="6"/>
      <c r="G195" s="6"/>
      <c r="H195" s="6"/>
      <c r="I195" s="6"/>
      <c r="J195" s="6"/>
      <c r="K195" s="6">
        <f t="shared" si="47"/>
        <v>0</v>
      </c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>
        <f t="shared" si="40"/>
        <v>0</v>
      </c>
      <c r="X195" s="6"/>
      <c r="Y195" s="6" t="s">
        <v>227</v>
      </c>
      <c r="Z195" s="18"/>
      <c r="AA195" s="6" t="s">
        <v>226</v>
      </c>
      <c r="AB195" s="6"/>
      <c r="AC195" s="6"/>
      <c r="AD195" s="6"/>
      <c r="AE195" s="6"/>
      <c r="AF195" s="6"/>
      <c r="AG195" s="6"/>
      <c r="AH195" s="6"/>
      <c r="AI195" s="8">
        <f t="shared" si="45"/>
        <v>0</v>
      </c>
      <c r="AJ195" s="8"/>
      <c r="AK195" s="6"/>
      <c r="AL195" s="6"/>
      <c r="AM195" s="6"/>
      <c r="AN195" s="6"/>
      <c r="AO195" s="6"/>
      <c r="AP195" s="6"/>
      <c r="AQ195" s="6"/>
      <c r="AR195" s="6"/>
      <c r="AS195" s="8">
        <f t="shared" si="44"/>
        <v>0</v>
      </c>
      <c r="AT195" s="8"/>
      <c r="AU195" s="6">
        <v>0</v>
      </c>
      <c r="AV195" s="6"/>
      <c r="AW195" s="6">
        <v>0</v>
      </c>
      <c r="AX195" s="6"/>
      <c r="AY195" s="6">
        <f t="shared" si="48"/>
        <v>0</v>
      </c>
      <c r="AZ195" s="6"/>
      <c r="BA195" s="6" t="s">
        <v>227</v>
      </c>
      <c r="BB195" s="18"/>
      <c r="BC195" s="6" t="s">
        <v>226</v>
      </c>
      <c r="BD195" s="6"/>
      <c r="BE195" s="6"/>
      <c r="BF195" s="6"/>
      <c r="BG195" s="6"/>
      <c r="BH195" s="6"/>
      <c r="BI195" s="6"/>
      <c r="BJ195" s="6"/>
      <c r="BK195" s="6"/>
      <c r="BL195" s="6"/>
      <c r="BM195" s="6">
        <f t="shared" si="49"/>
        <v>0</v>
      </c>
      <c r="BN195" s="17" t="s">
        <v>345</v>
      </c>
    </row>
    <row r="196" spans="1:74" hidden="1" x14ac:dyDescent="0.2">
      <c r="A196" s="6" t="s">
        <v>228</v>
      </c>
      <c r="C196" s="6" t="s">
        <v>43</v>
      </c>
      <c r="D196" s="6"/>
      <c r="E196" s="6">
        <f t="shared" si="46"/>
        <v>0</v>
      </c>
      <c r="F196" s="6"/>
      <c r="G196" s="6"/>
      <c r="H196" s="6"/>
      <c r="I196" s="6"/>
      <c r="J196" s="6"/>
      <c r="K196" s="6">
        <f t="shared" si="47"/>
        <v>0</v>
      </c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>
        <f t="shared" si="40"/>
        <v>0</v>
      </c>
      <c r="X196" s="6"/>
      <c r="Y196" s="6" t="s">
        <v>228</v>
      </c>
      <c r="Z196" s="18"/>
      <c r="AA196" s="6" t="s">
        <v>43</v>
      </c>
      <c r="AB196" s="6"/>
      <c r="AC196" s="6"/>
      <c r="AD196" s="6"/>
      <c r="AE196" s="6"/>
      <c r="AF196" s="6"/>
      <c r="AG196" s="6"/>
      <c r="AH196" s="6"/>
      <c r="AI196" s="8">
        <f t="shared" si="45"/>
        <v>0</v>
      </c>
      <c r="AJ196" s="8"/>
      <c r="AK196" s="6"/>
      <c r="AL196" s="6"/>
      <c r="AM196" s="6"/>
      <c r="AN196" s="6"/>
      <c r="AO196" s="6"/>
      <c r="AP196" s="6"/>
      <c r="AQ196" s="6"/>
      <c r="AR196" s="6"/>
      <c r="AS196" s="8">
        <f t="shared" si="44"/>
        <v>0</v>
      </c>
      <c r="AT196" s="8"/>
      <c r="AU196" s="6">
        <v>0</v>
      </c>
      <c r="AV196" s="6"/>
      <c r="AW196" s="6">
        <v>0</v>
      </c>
      <c r="AX196" s="6"/>
      <c r="AY196" s="6">
        <f t="shared" si="48"/>
        <v>0</v>
      </c>
      <c r="AZ196" s="6"/>
      <c r="BA196" s="6" t="s">
        <v>228</v>
      </c>
      <c r="BB196" s="18"/>
      <c r="BC196" s="6" t="s">
        <v>43</v>
      </c>
      <c r="BD196" s="6"/>
      <c r="BE196" s="6"/>
      <c r="BF196" s="6"/>
      <c r="BG196" s="6"/>
      <c r="BH196" s="6"/>
      <c r="BI196" s="6"/>
      <c r="BJ196" s="6"/>
      <c r="BK196" s="6"/>
      <c r="BL196" s="6"/>
      <c r="BM196" s="6">
        <f t="shared" si="49"/>
        <v>0</v>
      </c>
      <c r="BN196" s="17" t="s">
        <v>345</v>
      </c>
      <c r="BS196" s="7"/>
    </row>
    <row r="197" spans="1:74" hidden="1" x14ac:dyDescent="0.2">
      <c r="A197" s="6" t="s">
        <v>229</v>
      </c>
      <c r="C197" s="6" t="s">
        <v>25</v>
      </c>
      <c r="D197" s="6"/>
      <c r="E197" s="6">
        <f t="shared" si="46"/>
        <v>0</v>
      </c>
      <c r="F197" s="6"/>
      <c r="G197" s="6"/>
      <c r="H197" s="6"/>
      <c r="I197" s="6"/>
      <c r="J197" s="6"/>
      <c r="K197" s="6">
        <f t="shared" si="47"/>
        <v>0</v>
      </c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>
        <f t="shared" si="40"/>
        <v>0</v>
      </c>
      <c r="X197" s="6"/>
      <c r="Y197" s="6" t="s">
        <v>229</v>
      </c>
      <c r="Z197" s="18"/>
      <c r="AA197" s="6" t="s">
        <v>25</v>
      </c>
      <c r="AB197" s="6"/>
      <c r="AC197" s="6"/>
      <c r="AD197" s="6"/>
      <c r="AE197" s="6"/>
      <c r="AF197" s="6"/>
      <c r="AG197" s="6"/>
      <c r="AH197" s="6"/>
      <c r="AI197" s="8">
        <f t="shared" si="45"/>
        <v>0</v>
      </c>
      <c r="AJ197" s="8"/>
      <c r="AK197" s="6"/>
      <c r="AL197" s="6"/>
      <c r="AM197" s="6"/>
      <c r="AN197" s="6"/>
      <c r="AO197" s="6"/>
      <c r="AP197" s="6"/>
      <c r="AQ197" s="6"/>
      <c r="AR197" s="6"/>
      <c r="AS197" s="8">
        <f t="shared" si="44"/>
        <v>0</v>
      </c>
      <c r="AT197" s="8"/>
      <c r="AU197" s="6">
        <v>0</v>
      </c>
      <c r="AV197" s="6"/>
      <c r="AW197" s="6">
        <v>0</v>
      </c>
      <c r="AX197" s="6"/>
      <c r="AY197" s="6">
        <f t="shared" si="48"/>
        <v>0</v>
      </c>
      <c r="AZ197" s="6"/>
      <c r="BA197" s="6" t="s">
        <v>229</v>
      </c>
      <c r="BB197" s="18"/>
      <c r="BC197" s="6" t="s">
        <v>25</v>
      </c>
      <c r="BD197" s="6"/>
      <c r="BE197" s="6"/>
      <c r="BF197" s="6"/>
      <c r="BG197" s="6"/>
      <c r="BH197" s="6"/>
      <c r="BI197" s="6"/>
      <c r="BJ197" s="6"/>
      <c r="BK197" s="6"/>
      <c r="BL197" s="6"/>
      <c r="BM197" s="6">
        <f t="shared" si="49"/>
        <v>0</v>
      </c>
      <c r="BN197" s="17" t="s">
        <v>345</v>
      </c>
    </row>
    <row r="198" spans="1:74" hidden="1" x14ac:dyDescent="0.2">
      <c r="A198" s="6" t="s">
        <v>230</v>
      </c>
      <c r="C198" s="6" t="s">
        <v>25</v>
      </c>
      <c r="D198" s="6"/>
      <c r="E198" s="6">
        <f t="shared" si="46"/>
        <v>0</v>
      </c>
      <c r="F198" s="6"/>
      <c r="G198" s="6"/>
      <c r="H198" s="6"/>
      <c r="I198" s="6"/>
      <c r="J198" s="6"/>
      <c r="K198" s="6">
        <f t="shared" si="47"/>
        <v>0</v>
      </c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>
        <f t="shared" si="40"/>
        <v>0</v>
      </c>
      <c r="X198" s="6"/>
      <c r="Y198" s="6" t="s">
        <v>230</v>
      </c>
      <c r="Z198" s="18"/>
      <c r="AA198" s="6" t="s">
        <v>25</v>
      </c>
      <c r="AB198" s="6"/>
      <c r="AC198" s="6"/>
      <c r="AD198" s="6"/>
      <c r="AE198" s="6"/>
      <c r="AF198" s="6"/>
      <c r="AG198" s="6"/>
      <c r="AH198" s="6"/>
      <c r="AI198" s="8">
        <f t="shared" si="45"/>
        <v>0</v>
      </c>
      <c r="AJ198" s="8"/>
      <c r="AK198" s="6"/>
      <c r="AL198" s="6"/>
      <c r="AM198" s="6"/>
      <c r="AN198" s="6"/>
      <c r="AO198" s="6"/>
      <c r="AP198" s="6"/>
      <c r="AQ198" s="6"/>
      <c r="AR198" s="6"/>
      <c r="AS198" s="8">
        <f t="shared" si="44"/>
        <v>0</v>
      </c>
      <c r="AT198" s="8"/>
      <c r="AU198" s="6">
        <v>0</v>
      </c>
      <c r="AV198" s="6"/>
      <c r="AW198" s="6">
        <v>0</v>
      </c>
      <c r="AX198" s="6"/>
      <c r="AY198" s="6">
        <f t="shared" si="48"/>
        <v>0</v>
      </c>
      <c r="AZ198" s="6"/>
      <c r="BA198" s="6" t="s">
        <v>230</v>
      </c>
      <c r="BB198" s="18"/>
      <c r="BC198" s="6" t="s">
        <v>25</v>
      </c>
      <c r="BD198" s="6"/>
      <c r="BE198" s="6"/>
      <c r="BF198" s="6"/>
      <c r="BG198" s="6"/>
      <c r="BH198" s="6"/>
      <c r="BI198" s="6"/>
      <c r="BJ198" s="6"/>
      <c r="BK198" s="6"/>
      <c r="BL198" s="6"/>
      <c r="BM198" s="6">
        <f t="shared" si="49"/>
        <v>0</v>
      </c>
      <c r="BN198" s="17" t="s">
        <v>345</v>
      </c>
      <c r="BO198" s="6"/>
      <c r="BP198" s="6"/>
      <c r="BQ198" s="6"/>
      <c r="BR198" s="6"/>
      <c r="BS198" s="6"/>
      <c r="BT198" s="6"/>
      <c r="BU198" s="6"/>
      <c r="BV198" s="6"/>
    </row>
    <row r="199" spans="1:74" x14ac:dyDescent="0.2">
      <c r="A199" s="6" t="s">
        <v>231</v>
      </c>
      <c r="C199" s="6" t="s">
        <v>109</v>
      </c>
      <c r="D199" s="6"/>
      <c r="E199" s="6">
        <v>657340</v>
      </c>
      <c r="F199" s="6"/>
      <c r="G199" s="6">
        <v>0</v>
      </c>
      <c r="H199" s="6"/>
      <c r="I199" s="6">
        <f>+E199+G199</f>
        <v>657340</v>
      </c>
      <c r="J199" s="6"/>
      <c r="K199" s="6">
        <v>73264</v>
      </c>
      <c r="L199" s="6"/>
      <c r="M199" s="6">
        <v>5511</v>
      </c>
      <c r="N199" s="6"/>
      <c r="O199" s="6">
        <f>+K199+M199</f>
        <v>78775</v>
      </c>
      <c r="P199" s="6"/>
      <c r="Q199" s="6">
        <v>0</v>
      </c>
      <c r="R199" s="6"/>
      <c r="S199" s="6">
        <v>0</v>
      </c>
      <c r="T199" s="6"/>
      <c r="U199" s="6">
        <v>578565</v>
      </c>
      <c r="V199" s="6"/>
      <c r="W199" s="6">
        <f t="shared" si="40"/>
        <v>578565</v>
      </c>
      <c r="X199" s="6"/>
      <c r="Y199" s="6" t="s">
        <v>231</v>
      </c>
      <c r="Z199" s="18"/>
      <c r="AA199" s="6" t="s">
        <v>109</v>
      </c>
      <c r="AB199" s="6"/>
      <c r="AC199" s="6">
        <v>931295</v>
      </c>
      <c r="AD199" s="6"/>
      <c r="AE199" s="6">
        <f>964704-0</f>
        <v>964704</v>
      </c>
      <c r="AF199" s="6"/>
      <c r="AG199" s="6">
        <v>0</v>
      </c>
      <c r="AH199" s="6"/>
      <c r="AI199" s="8">
        <f t="shared" si="45"/>
        <v>-33409</v>
      </c>
      <c r="AJ199" s="8"/>
      <c r="AK199" s="6">
        <v>0</v>
      </c>
      <c r="AL199" s="6"/>
      <c r="AM199" s="6">
        <v>19918</v>
      </c>
      <c r="AN199" s="6"/>
      <c r="AO199" s="6">
        <v>0</v>
      </c>
      <c r="AP199" s="6"/>
      <c r="AQ199" s="6">
        <v>0</v>
      </c>
      <c r="AR199" s="6"/>
      <c r="AS199" s="8">
        <f t="shared" si="44"/>
        <v>-13491</v>
      </c>
      <c r="AT199" s="8"/>
      <c r="AU199" s="6">
        <v>0</v>
      </c>
      <c r="AV199" s="6"/>
      <c r="AW199" s="6">
        <v>0</v>
      </c>
      <c r="AX199" s="6"/>
      <c r="AY199" s="6">
        <f t="shared" si="48"/>
        <v>584076</v>
      </c>
      <c r="AZ199" s="6"/>
      <c r="BA199" s="6" t="s">
        <v>231</v>
      </c>
      <c r="BB199" s="18"/>
      <c r="BC199" s="6" t="s">
        <v>109</v>
      </c>
      <c r="BD199" s="6"/>
      <c r="BE199" s="6">
        <v>0</v>
      </c>
      <c r="BF199" s="6"/>
      <c r="BG199" s="6">
        <v>0</v>
      </c>
      <c r="BH199" s="6"/>
      <c r="BI199" s="6">
        <v>0</v>
      </c>
      <c r="BJ199" s="6"/>
      <c r="BK199" s="6">
        <f>5511+468</f>
        <v>5979</v>
      </c>
      <c r="BL199" s="6"/>
      <c r="BM199" s="6">
        <f t="shared" si="49"/>
        <v>5979</v>
      </c>
      <c r="BN199" s="17" t="s">
        <v>345</v>
      </c>
      <c r="BO199" s="6"/>
      <c r="BP199" s="6"/>
      <c r="BQ199" s="6"/>
      <c r="BR199" s="6"/>
      <c r="BS199" s="6"/>
      <c r="BT199" s="6"/>
      <c r="BU199" s="6"/>
      <c r="BV199" s="6"/>
    </row>
    <row r="200" spans="1:74" hidden="1" x14ac:dyDescent="0.2">
      <c r="A200" s="6" t="s">
        <v>232</v>
      </c>
      <c r="C200" s="6" t="s">
        <v>43</v>
      </c>
      <c r="D200" s="6"/>
      <c r="E200" s="6">
        <f t="shared" si="46"/>
        <v>0</v>
      </c>
      <c r="F200" s="6"/>
      <c r="G200" s="6"/>
      <c r="H200" s="6"/>
      <c r="I200" s="6"/>
      <c r="J200" s="6"/>
      <c r="K200" s="6">
        <f t="shared" si="47"/>
        <v>0</v>
      </c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>
        <f t="shared" si="40"/>
        <v>0</v>
      </c>
      <c r="X200" s="6"/>
      <c r="Y200" s="6" t="s">
        <v>232</v>
      </c>
      <c r="Z200" s="18"/>
      <c r="AA200" s="6" t="s">
        <v>43</v>
      </c>
      <c r="AB200" s="6"/>
      <c r="AC200" s="6"/>
      <c r="AD200" s="6"/>
      <c r="AE200" s="6"/>
      <c r="AF200" s="6"/>
      <c r="AG200" s="6"/>
      <c r="AH200" s="6"/>
      <c r="AI200" s="8">
        <f t="shared" si="45"/>
        <v>0</v>
      </c>
      <c r="AJ200" s="8"/>
      <c r="AK200" s="6"/>
      <c r="AL200" s="6"/>
      <c r="AM200" s="6"/>
      <c r="AN200" s="6"/>
      <c r="AO200" s="6"/>
      <c r="AP200" s="6"/>
      <c r="AQ200" s="6"/>
      <c r="AR200" s="6"/>
      <c r="AS200" s="8">
        <f t="shared" si="44"/>
        <v>0</v>
      </c>
      <c r="AT200" s="8"/>
      <c r="AU200" s="6">
        <v>0</v>
      </c>
      <c r="AV200" s="6"/>
      <c r="AW200" s="6">
        <v>0</v>
      </c>
      <c r="AX200" s="6"/>
      <c r="AY200" s="6">
        <f t="shared" si="48"/>
        <v>0</v>
      </c>
      <c r="AZ200" s="6"/>
      <c r="BA200" s="6" t="s">
        <v>232</v>
      </c>
      <c r="BB200" s="18"/>
      <c r="BC200" s="6" t="s">
        <v>43</v>
      </c>
      <c r="BD200" s="6"/>
      <c r="BE200" s="6"/>
      <c r="BF200" s="6"/>
      <c r="BG200" s="6"/>
      <c r="BH200" s="6"/>
      <c r="BI200" s="6"/>
      <c r="BJ200" s="6"/>
      <c r="BK200" s="6"/>
      <c r="BL200" s="6"/>
      <c r="BM200" s="6">
        <f t="shared" si="49"/>
        <v>0</v>
      </c>
      <c r="BN200" s="17" t="s">
        <v>345</v>
      </c>
      <c r="BO200" s="6" t="s">
        <v>369</v>
      </c>
      <c r="BP200" s="6"/>
      <c r="BQ200" s="6"/>
      <c r="BR200" s="6"/>
      <c r="BS200" s="6"/>
      <c r="BT200" s="6"/>
      <c r="BU200" s="6"/>
      <c r="BV200" s="6"/>
    </row>
    <row r="201" spans="1:74" hidden="1" x14ac:dyDescent="0.2">
      <c r="A201" s="6" t="s">
        <v>233</v>
      </c>
      <c r="C201" s="6" t="s">
        <v>181</v>
      </c>
      <c r="D201" s="6"/>
      <c r="E201" s="6">
        <f t="shared" si="46"/>
        <v>0</v>
      </c>
      <c r="F201" s="6"/>
      <c r="G201" s="6"/>
      <c r="H201" s="6"/>
      <c r="I201" s="6"/>
      <c r="J201" s="6"/>
      <c r="K201" s="6">
        <f t="shared" si="47"/>
        <v>0</v>
      </c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>
        <f t="shared" si="40"/>
        <v>0</v>
      </c>
      <c r="X201" s="6"/>
      <c r="Y201" s="6" t="s">
        <v>233</v>
      </c>
      <c r="Z201" s="18"/>
      <c r="AA201" s="6" t="s">
        <v>181</v>
      </c>
      <c r="AB201" s="6"/>
      <c r="AC201" s="6"/>
      <c r="AD201" s="6"/>
      <c r="AE201" s="6"/>
      <c r="AF201" s="6"/>
      <c r="AG201" s="6"/>
      <c r="AH201" s="6"/>
      <c r="AI201" s="8">
        <f t="shared" si="45"/>
        <v>0</v>
      </c>
      <c r="AJ201" s="8"/>
      <c r="AK201" s="6"/>
      <c r="AL201" s="6"/>
      <c r="AM201" s="6"/>
      <c r="AN201" s="6"/>
      <c r="AO201" s="6"/>
      <c r="AP201" s="6"/>
      <c r="AQ201" s="6"/>
      <c r="AR201" s="6"/>
      <c r="AS201" s="8">
        <f t="shared" si="44"/>
        <v>0</v>
      </c>
      <c r="AT201" s="8"/>
      <c r="AU201" s="6">
        <v>0</v>
      </c>
      <c r="AV201" s="6"/>
      <c r="AW201" s="6">
        <v>0</v>
      </c>
      <c r="AX201" s="6"/>
      <c r="AY201" s="6">
        <f t="shared" si="48"/>
        <v>0</v>
      </c>
      <c r="AZ201" s="6"/>
      <c r="BA201" s="6" t="s">
        <v>233</v>
      </c>
      <c r="BB201" s="18"/>
      <c r="BC201" s="6" t="s">
        <v>181</v>
      </c>
      <c r="BD201" s="6"/>
      <c r="BE201" s="6"/>
      <c r="BF201" s="6"/>
      <c r="BG201" s="6"/>
      <c r="BH201" s="6"/>
      <c r="BI201" s="6"/>
      <c r="BJ201" s="6"/>
      <c r="BK201" s="6"/>
      <c r="BL201" s="6"/>
      <c r="BM201" s="6">
        <f t="shared" si="49"/>
        <v>0</v>
      </c>
      <c r="BN201" s="17" t="s">
        <v>345</v>
      </c>
      <c r="BO201" s="6"/>
      <c r="BP201" s="6"/>
    </row>
    <row r="202" spans="1:74" hidden="1" x14ac:dyDescent="0.2">
      <c r="A202" s="6" t="s">
        <v>234</v>
      </c>
      <c r="C202" s="6" t="s">
        <v>43</v>
      </c>
      <c r="D202" s="6"/>
      <c r="E202" s="6">
        <f t="shared" si="46"/>
        <v>0</v>
      </c>
      <c r="F202" s="6"/>
      <c r="G202" s="6"/>
      <c r="H202" s="6"/>
      <c r="I202" s="6"/>
      <c r="J202" s="6"/>
      <c r="K202" s="6">
        <f t="shared" si="47"/>
        <v>0</v>
      </c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>
        <f t="shared" si="40"/>
        <v>0</v>
      </c>
      <c r="X202" s="6"/>
      <c r="Y202" s="6" t="s">
        <v>234</v>
      </c>
      <c r="Z202" s="18"/>
      <c r="AA202" s="6" t="s">
        <v>43</v>
      </c>
      <c r="AB202" s="6"/>
      <c r="AC202" s="6"/>
      <c r="AD202" s="6"/>
      <c r="AE202" s="6"/>
      <c r="AF202" s="6"/>
      <c r="AG202" s="6"/>
      <c r="AH202" s="6"/>
      <c r="AI202" s="8">
        <f t="shared" si="45"/>
        <v>0</v>
      </c>
      <c r="AJ202" s="8"/>
      <c r="AK202" s="6"/>
      <c r="AL202" s="6"/>
      <c r="AM202" s="6"/>
      <c r="AN202" s="6"/>
      <c r="AO202" s="6"/>
      <c r="AP202" s="6"/>
      <c r="AQ202" s="6"/>
      <c r="AR202" s="6"/>
      <c r="AS202" s="8">
        <f t="shared" si="44"/>
        <v>0</v>
      </c>
      <c r="AT202" s="8"/>
      <c r="AU202" s="6">
        <v>0</v>
      </c>
      <c r="AV202" s="6"/>
      <c r="AW202" s="6">
        <v>0</v>
      </c>
      <c r="AX202" s="6"/>
      <c r="AY202" s="6">
        <f t="shared" si="48"/>
        <v>0</v>
      </c>
      <c r="AZ202" s="6"/>
      <c r="BA202" s="6" t="s">
        <v>234</v>
      </c>
      <c r="BB202" s="18"/>
      <c r="BC202" s="6" t="s">
        <v>43</v>
      </c>
      <c r="BD202" s="6"/>
      <c r="BE202" s="6"/>
      <c r="BF202" s="6"/>
      <c r="BG202" s="6"/>
      <c r="BH202" s="6"/>
      <c r="BI202" s="6"/>
      <c r="BJ202" s="6"/>
      <c r="BK202" s="6"/>
      <c r="BL202" s="6"/>
      <c r="BM202" s="6">
        <f t="shared" si="49"/>
        <v>0</v>
      </c>
      <c r="BN202" s="17" t="s">
        <v>345</v>
      </c>
    </row>
    <row r="203" spans="1:74" hidden="1" x14ac:dyDescent="0.2">
      <c r="A203" s="6" t="s">
        <v>235</v>
      </c>
      <c r="C203" s="6" t="s">
        <v>31</v>
      </c>
      <c r="D203" s="6"/>
      <c r="E203" s="6">
        <f t="shared" si="46"/>
        <v>0</v>
      </c>
      <c r="F203" s="6"/>
      <c r="G203" s="6"/>
      <c r="H203" s="6"/>
      <c r="I203" s="6"/>
      <c r="J203" s="6"/>
      <c r="K203" s="6">
        <f t="shared" si="47"/>
        <v>0</v>
      </c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>
        <f t="shared" si="40"/>
        <v>0</v>
      </c>
      <c r="X203" s="6"/>
      <c r="Y203" s="6" t="s">
        <v>235</v>
      </c>
      <c r="Z203" s="18"/>
      <c r="AA203" s="6" t="s">
        <v>31</v>
      </c>
      <c r="AB203" s="6"/>
      <c r="AC203" s="6"/>
      <c r="AD203" s="6"/>
      <c r="AE203" s="6"/>
      <c r="AF203" s="6"/>
      <c r="AG203" s="6"/>
      <c r="AH203" s="6"/>
      <c r="AI203" s="8">
        <f t="shared" si="45"/>
        <v>0</v>
      </c>
      <c r="AJ203" s="8"/>
      <c r="AK203" s="6"/>
      <c r="AL203" s="6"/>
      <c r="AM203" s="6"/>
      <c r="AN203" s="6"/>
      <c r="AO203" s="6"/>
      <c r="AP203" s="6"/>
      <c r="AQ203" s="6"/>
      <c r="AR203" s="6"/>
      <c r="AS203" s="8">
        <f t="shared" si="44"/>
        <v>0</v>
      </c>
      <c r="AT203" s="8"/>
      <c r="AU203" s="6">
        <v>0</v>
      </c>
      <c r="AV203" s="6"/>
      <c r="AW203" s="6">
        <v>0</v>
      </c>
      <c r="AX203" s="6"/>
      <c r="AY203" s="6">
        <f t="shared" si="48"/>
        <v>0</v>
      </c>
      <c r="AZ203" s="6"/>
      <c r="BA203" s="6" t="s">
        <v>235</v>
      </c>
      <c r="BB203" s="18"/>
      <c r="BC203" s="6" t="s">
        <v>31</v>
      </c>
      <c r="BD203" s="6"/>
      <c r="BE203" s="6"/>
      <c r="BF203" s="6"/>
      <c r="BG203" s="6"/>
      <c r="BH203" s="6"/>
      <c r="BI203" s="6"/>
      <c r="BJ203" s="6"/>
      <c r="BK203" s="6"/>
      <c r="BL203" s="6"/>
      <c r="BM203" s="6">
        <f t="shared" si="49"/>
        <v>0</v>
      </c>
      <c r="BN203" s="17" t="s">
        <v>345</v>
      </c>
    </row>
    <row r="204" spans="1:74" ht="12" x14ac:dyDescent="0.2">
      <c r="A204" s="19" t="s">
        <v>236</v>
      </c>
      <c r="B204" s="36"/>
      <c r="C204" s="19" t="s">
        <v>237</v>
      </c>
      <c r="D204" s="19"/>
      <c r="E204" s="6">
        <v>2315474</v>
      </c>
      <c r="F204" s="6"/>
      <c r="G204" s="6">
        <v>1600032</v>
      </c>
      <c r="H204" s="6"/>
      <c r="I204" s="6">
        <f>+E204+G204</f>
        <v>3915506</v>
      </c>
      <c r="J204" s="6"/>
      <c r="K204" s="6">
        <v>26147</v>
      </c>
      <c r="L204" s="6"/>
      <c r="M204" s="6">
        <v>2924122</v>
      </c>
      <c r="N204" s="6"/>
      <c r="O204" s="6">
        <f>+K204+M204</f>
        <v>2950269</v>
      </c>
      <c r="P204" s="6"/>
      <c r="Q204" s="6">
        <v>1600032</v>
      </c>
      <c r="R204" s="6"/>
      <c r="S204" s="6">
        <v>0</v>
      </c>
      <c r="T204" s="6"/>
      <c r="U204" s="6">
        <v>-634795</v>
      </c>
      <c r="V204" s="6"/>
      <c r="W204" s="6">
        <f t="shared" si="40"/>
        <v>965237</v>
      </c>
      <c r="X204" s="19"/>
      <c r="Y204" s="19" t="s">
        <v>236</v>
      </c>
      <c r="Z204" s="36"/>
      <c r="AA204" s="19" t="s">
        <v>237</v>
      </c>
      <c r="AB204" s="19"/>
      <c r="AC204" s="6">
        <v>870266</v>
      </c>
      <c r="AD204" s="6"/>
      <c r="AE204" s="6">
        <f>778191-124328</f>
        <v>653863</v>
      </c>
      <c r="AF204" s="6"/>
      <c r="AG204" s="6">
        <v>124328</v>
      </c>
      <c r="AH204" s="6"/>
      <c r="AI204" s="8">
        <f t="shared" si="45"/>
        <v>92075</v>
      </c>
      <c r="AJ204" s="8"/>
      <c r="AK204" s="6">
        <v>1325</v>
      </c>
      <c r="AL204" s="6"/>
      <c r="AM204" s="6">
        <v>0</v>
      </c>
      <c r="AN204" s="6"/>
      <c r="AO204" s="6">
        <v>0</v>
      </c>
      <c r="AP204" s="6"/>
      <c r="AQ204" s="6">
        <v>0</v>
      </c>
      <c r="AR204" s="6"/>
      <c r="AS204" s="8">
        <f t="shared" si="44"/>
        <v>93400</v>
      </c>
      <c r="AT204" s="8"/>
      <c r="AU204" s="6">
        <v>0</v>
      </c>
      <c r="AV204" s="6"/>
      <c r="AW204" s="6">
        <v>0</v>
      </c>
      <c r="AX204" s="6"/>
      <c r="AY204" s="6">
        <f t="shared" si="48"/>
        <v>2289327</v>
      </c>
      <c r="AZ204" s="6"/>
      <c r="BA204" s="19" t="s">
        <v>236</v>
      </c>
      <c r="BB204" s="36"/>
      <c r="BC204" s="19" t="s">
        <v>237</v>
      </c>
      <c r="BD204" s="19"/>
      <c r="BE204" s="6">
        <v>0</v>
      </c>
      <c r="BF204" s="6"/>
      <c r="BG204" s="6">
        <v>0</v>
      </c>
      <c r="BH204" s="6"/>
      <c r="BI204" s="6">
        <v>0</v>
      </c>
      <c r="BJ204" s="6"/>
      <c r="BK204" s="6">
        <f>27004+7812+2897118</f>
        <v>2931934</v>
      </c>
      <c r="BL204" s="6"/>
      <c r="BM204" s="6">
        <f t="shared" si="49"/>
        <v>2931934</v>
      </c>
      <c r="BN204" s="17" t="s">
        <v>345</v>
      </c>
    </row>
    <row r="205" spans="1:74" ht="12" x14ac:dyDescent="0.2">
      <c r="A205" s="6" t="s">
        <v>480</v>
      </c>
      <c r="B205" s="18"/>
      <c r="C205" s="6" t="s">
        <v>247</v>
      </c>
      <c r="D205" s="6"/>
      <c r="E205" s="6">
        <v>3994068</v>
      </c>
      <c r="F205" s="6"/>
      <c r="G205" s="6">
        <v>642951</v>
      </c>
      <c r="H205" s="6"/>
      <c r="I205" s="6">
        <f>+E205+G205</f>
        <v>4637019</v>
      </c>
      <c r="J205" s="6"/>
      <c r="K205" s="6">
        <v>364874</v>
      </c>
      <c r="L205" s="6"/>
      <c r="M205" s="6">
        <v>4686434</v>
      </c>
      <c r="N205" s="6"/>
      <c r="O205" s="6">
        <f>+K205+M205</f>
        <v>5051308</v>
      </c>
      <c r="P205" s="6"/>
      <c r="Q205" s="6">
        <v>241907</v>
      </c>
      <c r="R205" s="6"/>
      <c r="S205" s="6">
        <v>0</v>
      </c>
      <c r="T205" s="6"/>
      <c r="U205" s="6">
        <v>-656196</v>
      </c>
      <c r="V205" s="6"/>
      <c r="W205" s="6">
        <f t="shared" si="40"/>
        <v>-414289</v>
      </c>
      <c r="X205" s="6"/>
      <c r="Y205" s="6" t="s">
        <v>480</v>
      </c>
      <c r="Z205" s="18"/>
      <c r="AA205" s="6" t="s">
        <v>247</v>
      </c>
      <c r="AB205" s="6"/>
      <c r="AC205" s="6">
        <v>2259319</v>
      </c>
      <c r="AD205" s="6"/>
      <c r="AE205" s="6">
        <f>1557938-111540</f>
        <v>1446398</v>
      </c>
      <c r="AF205" s="6"/>
      <c r="AG205" s="6">
        <v>111540</v>
      </c>
      <c r="AH205" s="6"/>
      <c r="AI205" s="8">
        <f t="shared" si="45"/>
        <v>701381</v>
      </c>
      <c r="AJ205" s="8"/>
      <c r="AK205" s="6">
        <v>582883</v>
      </c>
      <c r="AL205" s="6"/>
      <c r="AM205" s="6">
        <v>0</v>
      </c>
      <c r="AN205" s="6"/>
      <c r="AO205" s="6">
        <v>0</v>
      </c>
      <c r="AP205" s="6"/>
      <c r="AQ205" s="6">
        <v>0</v>
      </c>
      <c r="AR205" s="6"/>
      <c r="AS205" s="8">
        <f t="shared" si="44"/>
        <v>1284264</v>
      </c>
      <c r="AT205" s="8"/>
      <c r="AU205" s="6">
        <v>0</v>
      </c>
      <c r="AV205" s="6"/>
      <c r="AW205" s="6">
        <v>0</v>
      </c>
      <c r="AX205" s="6"/>
      <c r="AY205" s="6">
        <f t="shared" si="48"/>
        <v>3629194</v>
      </c>
      <c r="AZ205" s="6"/>
      <c r="BA205" s="6" t="s">
        <v>480</v>
      </c>
      <c r="BB205" s="18"/>
      <c r="BC205" s="6" t="s">
        <v>247</v>
      </c>
      <c r="BD205" s="6"/>
      <c r="BE205" s="6">
        <v>0</v>
      </c>
      <c r="BF205" s="6"/>
      <c r="BG205" s="6">
        <f>304632+96412</f>
        <v>401044</v>
      </c>
      <c r="BH205" s="6"/>
      <c r="BI205" s="6">
        <v>0</v>
      </c>
      <c r="BJ205" s="6"/>
      <c r="BK205" s="6">
        <f>67166+4314636+4193+150000</f>
        <v>4535995</v>
      </c>
      <c r="BL205" s="6"/>
      <c r="BM205" s="6">
        <f t="shared" si="49"/>
        <v>4937039</v>
      </c>
      <c r="BN205" s="17"/>
    </row>
    <row r="206" spans="1:74" hidden="1" x14ac:dyDescent="0.2">
      <c r="A206" s="6" t="s">
        <v>238</v>
      </c>
      <c r="C206" s="6" t="s">
        <v>11</v>
      </c>
      <c r="D206" s="6"/>
      <c r="E206" s="6">
        <f t="shared" si="46"/>
        <v>0</v>
      </c>
      <c r="F206" s="6"/>
      <c r="G206" s="6"/>
      <c r="H206" s="6"/>
      <c r="I206" s="6"/>
      <c r="J206" s="6"/>
      <c r="K206" s="6">
        <f t="shared" si="47"/>
        <v>0</v>
      </c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>
        <f t="shared" si="40"/>
        <v>0</v>
      </c>
      <c r="X206" s="6"/>
      <c r="Y206" s="6" t="s">
        <v>238</v>
      </c>
      <c r="Z206" s="18"/>
      <c r="AA206" s="6" t="s">
        <v>11</v>
      </c>
      <c r="AB206" s="6"/>
      <c r="AC206" s="6"/>
      <c r="AD206" s="6"/>
      <c r="AE206" s="6"/>
      <c r="AF206" s="6"/>
      <c r="AG206" s="6"/>
      <c r="AH206" s="6"/>
      <c r="AI206" s="8">
        <f t="shared" si="45"/>
        <v>0</v>
      </c>
      <c r="AJ206" s="8"/>
      <c r="AK206" s="6"/>
      <c r="AL206" s="6"/>
      <c r="AM206" s="6"/>
      <c r="AN206" s="6"/>
      <c r="AO206" s="6"/>
      <c r="AP206" s="6"/>
      <c r="AQ206" s="6"/>
      <c r="AR206" s="6"/>
      <c r="AS206" s="8">
        <f t="shared" si="44"/>
        <v>0</v>
      </c>
      <c r="AT206" s="8"/>
      <c r="AU206" s="6">
        <v>0</v>
      </c>
      <c r="AV206" s="6"/>
      <c r="AW206" s="6">
        <v>0</v>
      </c>
      <c r="AX206" s="6"/>
      <c r="AY206" s="6">
        <f t="shared" si="48"/>
        <v>0</v>
      </c>
      <c r="AZ206" s="6"/>
      <c r="BA206" s="6" t="s">
        <v>238</v>
      </c>
      <c r="BB206" s="18"/>
      <c r="BC206" s="6" t="s">
        <v>11</v>
      </c>
      <c r="BD206" s="6"/>
      <c r="BE206" s="6"/>
      <c r="BF206" s="6"/>
      <c r="BG206" s="6"/>
      <c r="BH206" s="6"/>
      <c r="BI206" s="6"/>
      <c r="BJ206" s="6"/>
      <c r="BK206" s="6"/>
      <c r="BL206" s="6"/>
      <c r="BM206" s="6">
        <f t="shared" si="49"/>
        <v>0</v>
      </c>
      <c r="BN206" s="17" t="s">
        <v>345</v>
      </c>
      <c r="BO206" s="6" t="s">
        <v>369</v>
      </c>
      <c r="BP206" s="6"/>
    </row>
    <row r="207" spans="1:74" hidden="1" x14ac:dyDescent="0.2">
      <c r="A207" s="6" t="s">
        <v>239</v>
      </c>
      <c r="C207" s="6" t="s">
        <v>20</v>
      </c>
      <c r="D207" s="6"/>
      <c r="E207" s="6">
        <f t="shared" si="46"/>
        <v>0</v>
      </c>
      <c r="F207" s="6"/>
      <c r="G207" s="6"/>
      <c r="H207" s="6"/>
      <c r="I207" s="6"/>
      <c r="J207" s="6"/>
      <c r="K207" s="6">
        <f t="shared" si="47"/>
        <v>0</v>
      </c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>
        <f t="shared" ref="W207:W218" si="50">SUM(Q207:U207)</f>
        <v>0</v>
      </c>
      <c r="X207" s="6"/>
      <c r="Y207" s="6" t="s">
        <v>239</v>
      </c>
      <c r="Z207" s="18"/>
      <c r="AA207" s="6" t="s">
        <v>20</v>
      </c>
      <c r="AB207" s="6"/>
      <c r="AC207" s="6"/>
      <c r="AD207" s="6"/>
      <c r="AE207" s="6"/>
      <c r="AF207" s="6"/>
      <c r="AG207" s="6"/>
      <c r="AH207" s="6"/>
      <c r="AI207" s="8">
        <f t="shared" si="45"/>
        <v>0</v>
      </c>
      <c r="AJ207" s="8"/>
      <c r="AK207" s="6"/>
      <c r="AL207" s="6"/>
      <c r="AM207" s="6"/>
      <c r="AN207" s="6"/>
      <c r="AO207" s="6"/>
      <c r="AP207" s="6"/>
      <c r="AQ207" s="6"/>
      <c r="AR207" s="6"/>
      <c r="AS207" s="8">
        <f t="shared" si="44"/>
        <v>0</v>
      </c>
      <c r="AT207" s="8"/>
      <c r="AU207" s="6">
        <v>0</v>
      </c>
      <c r="AV207" s="6"/>
      <c r="AW207" s="6">
        <v>0</v>
      </c>
      <c r="AX207" s="6"/>
      <c r="AY207" s="6">
        <f t="shared" si="48"/>
        <v>0</v>
      </c>
      <c r="AZ207" s="6"/>
      <c r="BA207" s="6" t="s">
        <v>239</v>
      </c>
      <c r="BB207" s="18"/>
      <c r="BC207" s="6" t="s">
        <v>20</v>
      </c>
      <c r="BD207" s="6"/>
      <c r="BE207" s="6"/>
      <c r="BF207" s="6"/>
      <c r="BG207" s="6"/>
      <c r="BH207" s="6"/>
      <c r="BI207" s="6"/>
      <c r="BJ207" s="6"/>
      <c r="BK207" s="6"/>
      <c r="BL207" s="6"/>
      <c r="BM207" s="6">
        <f t="shared" si="49"/>
        <v>0</v>
      </c>
      <c r="BN207" s="17" t="s">
        <v>345</v>
      </c>
    </row>
    <row r="208" spans="1:74" hidden="1" x14ac:dyDescent="0.2">
      <c r="A208" s="6" t="s">
        <v>240</v>
      </c>
      <c r="C208" s="6" t="s">
        <v>25</v>
      </c>
      <c r="D208" s="6"/>
      <c r="E208" s="6">
        <f t="shared" si="46"/>
        <v>0</v>
      </c>
      <c r="F208" s="6"/>
      <c r="G208" s="6"/>
      <c r="H208" s="6"/>
      <c r="I208" s="6"/>
      <c r="J208" s="6"/>
      <c r="K208" s="6">
        <f t="shared" si="47"/>
        <v>0</v>
      </c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>
        <f t="shared" si="50"/>
        <v>0</v>
      </c>
      <c r="X208" s="6"/>
      <c r="Y208" s="6" t="s">
        <v>240</v>
      </c>
      <c r="Z208" s="18"/>
      <c r="AA208" s="6" t="s">
        <v>25</v>
      </c>
      <c r="AB208" s="6"/>
      <c r="AC208" s="6"/>
      <c r="AD208" s="6"/>
      <c r="AE208" s="6"/>
      <c r="AF208" s="6"/>
      <c r="AG208" s="6"/>
      <c r="AH208" s="6"/>
      <c r="AI208" s="8">
        <f t="shared" si="45"/>
        <v>0</v>
      </c>
      <c r="AJ208" s="8"/>
      <c r="AK208" s="6"/>
      <c r="AL208" s="6"/>
      <c r="AM208" s="6"/>
      <c r="AN208" s="6"/>
      <c r="AO208" s="6"/>
      <c r="AP208" s="6"/>
      <c r="AQ208" s="6"/>
      <c r="AR208" s="6"/>
      <c r="AS208" s="8">
        <f t="shared" si="44"/>
        <v>0</v>
      </c>
      <c r="AT208" s="8"/>
      <c r="AU208" s="6">
        <v>0</v>
      </c>
      <c r="AV208" s="6"/>
      <c r="AW208" s="6">
        <v>0</v>
      </c>
      <c r="AX208" s="6"/>
      <c r="AY208" s="6">
        <f t="shared" si="48"/>
        <v>0</v>
      </c>
      <c r="AZ208" s="6"/>
      <c r="BA208" s="6" t="s">
        <v>240</v>
      </c>
      <c r="BB208" s="18"/>
      <c r="BC208" s="6" t="s">
        <v>25</v>
      </c>
      <c r="BD208" s="6"/>
      <c r="BE208" s="6"/>
      <c r="BF208" s="6"/>
      <c r="BG208" s="6"/>
      <c r="BH208" s="6"/>
      <c r="BI208" s="6"/>
      <c r="BJ208" s="6"/>
      <c r="BK208" s="6"/>
      <c r="BL208" s="6"/>
      <c r="BM208" s="6">
        <f t="shared" si="49"/>
        <v>0</v>
      </c>
      <c r="BN208" s="17" t="s">
        <v>345</v>
      </c>
    </row>
    <row r="209" spans="1:67" hidden="1" x14ac:dyDescent="0.2">
      <c r="A209" s="6" t="s">
        <v>241</v>
      </c>
      <c r="C209" s="6" t="s">
        <v>161</v>
      </c>
      <c r="D209" s="6"/>
      <c r="E209" s="6">
        <f t="shared" si="46"/>
        <v>0</v>
      </c>
      <c r="F209" s="6"/>
      <c r="G209" s="6"/>
      <c r="H209" s="6"/>
      <c r="I209" s="6"/>
      <c r="J209" s="6"/>
      <c r="K209" s="6">
        <f t="shared" si="47"/>
        <v>0</v>
      </c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>
        <f t="shared" si="50"/>
        <v>0</v>
      </c>
      <c r="X209" s="6"/>
      <c r="Y209" s="6" t="s">
        <v>241</v>
      </c>
      <c r="Z209" s="18"/>
      <c r="AA209" s="6" t="s">
        <v>161</v>
      </c>
      <c r="AB209" s="6"/>
      <c r="AC209" s="6"/>
      <c r="AD209" s="6"/>
      <c r="AE209" s="6"/>
      <c r="AF209" s="6"/>
      <c r="AG209" s="6"/>
      <c r="AH209" s="6"/>
      <c r="AI209" s="8">
        <f t="shared" si="45"/>
        <v>0</v>
      </c>
      <c r="AJ209" s="8"/>
      <c r="AK209" s="6"/>
      <c r="AL209" s="6"/>
      <c r="AM209" s="6"/>
      <c r="AN209" s="6"/>
      <c r="AO209" s="6"/>
      <c r="AP209" s="6"/>
      <c r="AQ209" s="6"/>
      <c r="AR209" s="6"/>
      <c r="AS209" s="8">
        <f t="shared" si="44"/>
        <v>0</v>
      </c>
      <c r="AT209" s="8"/>
      <c r="AU209" s="6">
        <v>0</v>
      </c>
      <c r="AV209" s="6"/>
      <c r="AW209" s="6">
        <v>0</v>
      </c>
      <c r="AX209" s="6"/>
      <c r="AY209" s="6">
        <f t="shared" si="48"/>
        <v>0</v>
      </c>
      <c r="AZ209" s="6"/>
      <c r="BA209" s="6" t="s">
        <v>241</v>
      </c>
      <c r="BB209" s="18"/>
      <c r="BC209" s="6" t="s">
        <v>161</v>
      </c>
      <c r="BD209" s="6"/>
      <c r="BE209" s="6"/>
      <c r="BF209" s="6"/>
      <c r="BG209" s="6"/>
      <c r="BH209" s="6"/>
      <c r="BI209" s="6"/>
      <c r="BJ209" s="6"/>
      <c r="BK209" s="6"/>
      <c r="BL209" s="6"/>
      <c r="BM209" s="6">
        <f t="shared" si="49"/>
        <v>0</v>
      </c>
      <c r="BN209" s="35" t="s">
        <v>345</v>
      </c>
    </row>
    <row r="210" spans="1:67" hidden="1" x14ac:dyDescent="0.2">
      <c r="A210" s="6" t="s">
        <v>242</v>
      </c>
      <c r="C210" s="6" t="s">
        <v>11</v>
      </c>
      <c r="D210" s="6"/>
      <c r="E210" s="6">
        <f t="shared" si="46"/>
        <v>0</v>
      </c>
      <c r="F210" s="6"/>
      <c r="G210" s="6"/>
      <c r="H210" s="6"/>
      <c r="I210" s="6"/>
      <c r="J210" s="6"/>
      <c r="K210" s="6">
        <f t="shared" si="47"/>
        <v>0</v>
      </c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>
        <f t="shared" si="50"/>
        <v>0</v>
      </c>
      <c r="X210" s="6"/>
      <c r="Y210" s="6" t="s">
        <v>242</v>
      </c>
      <c r="Z210" s="18"/>
      <c r="AA210" s="6" t="s">
        <v>11</v>
      </c>
      <c r="AB210" s="6"/>
      <c r="AC210" s="6"/>
      <c r="AD210" s="6"/>
      <c r="AE210" s="6"/>
      <c r="AF210" s="6"/>
      <c r="AG210" s="6"/>
      <c r="AH210" s="6"/>
      <c r="AI210" s="8">
        <f t="shared" si="45"/>
        <v>0</v>
      </c>
      <c r="AJ210" s="8"/>
      <c r="AK210" s="6"/>
      <c r="AL210" s="6"/>
      <c r="AM210" s="6"/>
      <c r="AN210" s="6"/>
      <c r="AO210" s="6"/>
      <c r="AP210" s="6"/>
      <c r="AQ210" s="6"/>
      <c r="AR210" s="6"/>
      <c r="AS210" s="8">
        <f t="shared" si="44"/>
        <v>0</v>
      </c>
      <c r="AT210" s="8"/>
      <c r="AU210" s="6">
        <v>0</v>
      </c>
      <c r="AV210" s="6"/>
      <c r="AW210" s="6">
        <v>0</v>
      </c>
      <c r="AX210" s="6"/>
      <c r="AY210" s="6">
        <f t="shared" si="48"/>
        <v>0</v>
      </c>
      <c r="AZ210" s="6"/>
      <c r="BA210" s="6" t="s">
        <v>242</v>
      </c>
      <c r="BB210" s="18"/>
      <c r="BC210" s="6" t="s">
        <v>11</v>
      </c>
      <c r="BD210" s="6"/>
      <c r="BE210" s="6"/>
      <c r="BF210" s="6"/>
      <c r="BG210" s="6"/>
      <c r="BH210" s="6"/>
      <c r="BI210" s="6"/>
      <c r="BJ210" s="6"/>
      <c r="BK210" s="6"/>
      <c r="BL210" s="6"/>
      <c r="BM210" s="6">
        <f t="shared" si="49"/>
        <v>0</v>
      </c>
      <c r="BN210" s="17" t="s">
        <v>345</v>
      </c>
    </row>
    <row r="211" spans="1:67" hidden="1" x14ac:dyDescent="0.2">
      <c r="A211" s="6" t="s">
        <v>243</v>
      </c>
      <c r="C211" s="6" t="s">
        <v>108</v>
      </c>
      <c r="D211" s="6"/>
      <c r="E211" s="6">
        <f t="shared" si="46"/>
        <v>0</v>
      </c>
      <c r="F211" s="6"/>
      <c r="G211" s="6"/>
      <c r="H211" s="6"/>
      <c r="I211" s="6"/>
      <c r="J211" s="6"/>
      <c r="K211" s="6">
        <f t="shared" si="47"/>
        <v>0</v>
      </c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>
        <f t="shared" si="50"/>
        <v>0</v>
      </c>
      <c r="X211" s="6"/>
      <c r="Y211" s="6" t="s">
        <v>243</v>
      </c>
      <c r="Z211" s="18"/>
      <c r="AA211" s="6" t="s">
        <v>108</v>
      </c>
      <c r="AB211" s="6"/>
      <c r="AC211" s="6"/>
      <c r="AD211" s="6"/>
      <c r="AE211" s="6"/>
      <c r="AF211" s="6"/>
      <c r="AG211" s="6"/>
      <c r="AH211" s="6"/>
      <c r="AI211" s="8">
        <f t="shared" si="45"/>
        <v>0</v>
      </c>
      <c r="AJ211" s="8"/>
      <c r="AK211" s="6"/>
      <c r="AL211" s="6"/>
      <c r="AM211" s="6"/>
      <c r="AN211" s="6"/>
      <c r="AO211" s="6"/>
      <c r="AP211" s="6"/>
      <c r="AQ211" s="6"/>
      <c r="AR211" s="6"/>
      <c r="AS211" s="8">
        <f t="shared" si="44"/>
        <v>0</v>
      </c>
      <c r="AT211" s="8"/>
      <c r="AU211" s="6">
        <v>0</v>
      </c>
      <c r="AV211" s="6"/>
      <c r="AW211" s="6">
        <v>0</v>
      </c>
      <c r="AX211" s="6"/>
      <c r="AY211" s="6">
        <f t="shared" si="48"/>
        <v>0</v>
      </c>
      <c r="AZ211" s="6"/>
      <c r="BA211" s="6" t="s">
        <v>243</v>
      </c>
      <c r="BB211" s="18"/>
      <c r="BC211" s="6" t="s">
        <v>108</v>
      </c>
      <c r="BD211" s="6"/>
      <c r="BE211" s="6"/>
      <c r="BF211" s="6"/>
      <c r="BG211" s="6"/>
      <c r="BH211" s="6"/>
      <c r="BI211" s="6"/>
      <c r="BJ211" s="6"/>
      <c r="BK211" s="6"/>
      <c r="BL211" s="6"/>
      <c r="BM211" s="6">
        <f t="shared" si="49"/>
        <v>0</v>
      </c>
      <c r="BN211" s="17" t="s">
        <v>345</v>
      </c>
    </row>
    <row r="212" spans="1:67" x14ac:dyDescent="0.2">
      <c r="A212" s="6" t="s">
        <v>244</v>
      </c>
      <c r="C212" s="6" t="s">
        <v>207</v>
      </c>
      <c r="D212" s="6"/>
      <c r="E212" s="6">
        <v>181271</v>
      </c>
      <c r="F212" s="6"/>
      <c r="G212" s="6">
        <v>0</v>
      </c>
      <c r="H212" s="6"/>
      <c r="I212" s="6">
        <f>+E212+G212</f>
        <v>181271</v>
      </c>
      <c r="J212" s="6"/>
      <c r="K212" s="6">
        <v>65908</v>
      </c>
      <c r="L212" s="6"/>
      <c r="M212" s="6">
        <v>0</v>
      </c>
      <c r="N212" s="6"/>
      <c r="O212" s="6">
        <f>+K212+M212</f>
        <v>65908</v>
      </c>
      <c r="P212" s="6"/>
      <c r="Q212" s="6">
        <v>0</v>
      </c>
      <c r="R212" s="6"/>
      <c r="S212" s="6">
        <v>0</v>
      </c>
      <c r="T212" s="6"/>
      <c r="U212" s="6">
        <v>115363</v>
      </c>
      <c r="V212" s="6"/>
      <c r="W212" s="6">
        <f t="shared" si="50"/>
        <v>115363</v>
      </c>
      <c r="X212" s="6"/>
      <c r="Y212" s="6" t="s">
        <v>244</v>
      </c>
      <c r="Z212" s="18"/>
      <c r="AA212" s="6" t="s">
        <v>207</v>
      </c>
      <c r="AB212" s="6"/>
      <c r="AC212" s="6">
        <v>875740</v>
      </c>
      <c r="AD212" s="6"/>
      <c r="AE212" s="6">
        <v>803896</v>
      </c>
      <c r="AF212" s="6"/>
      <c r="AG212" s="6">
        <v>0</v>
      </c>
      <c r="AH212" s="6"/>
      <c r="AI212" s="8">
        <f t="shared" si="45"/>
        <v>71844</v>
      </c>
      <c r="AJ212" s="8"/>
      <c r="AK212" s="6">
        <v>0</v>
      </c>
      <c r="AL212" s="6"/>
      <c r="AM212" s="6">
        <v>0</v>
      </c>
      <c r="AN212" s="6"/>
      <c r="AO212" s="6">
        <v>0</v>
      </c>
      <c r="AP212" s="6"/>
      <c r="AQ212" s="6">
        <v>0</v>
      </c>
      <c r="AR212" s="6"/>
      <c r="AS212" s="8">
        <f t="shared" si="44"/>
        <v>71844</v>
      </c>
      <c r="AT212" s="8"/>
      <c r="AU212" s="6">
        <v>0</v>
      </c>
      <c r="AV212" s="6"/>
      <c r="AW212" s="6">
        <v>0</v>
      </c>
      <c r="AX212" s="6"/>
      <c r="AY212" s="6">
        <f t="shared" si="48"/>
        <v>115363</v>
      </c>
      <c r="AZ212" s="6"/>
      <c r="BA212" s="6" t="s">
        <v>244</v>
      </c>
      <c r="BB212" s="18"/>
      <c r="BC212" s="6" t="s">
        <v>207</v>
      </c>
      <c r="BD212" s="6"/>
      <c r="BE212" s="6">
        <v>0</v>
      </c>
      <c r="BF212" s="6"/>
      <c r="BG212" s="6">
        <v>0</v>
      </c>
      <c r="BH212" s="6"/>
      <c r="BI212" s="6">
        <v>0</v>
      </c>
      <c r="BJ212" s="6"/>
      <c r="BK212" s="6">
        <v>0</v>
      </c>
      <c r="BL212" s="6"/>
      <c r="BM212" s="6">
        <v>0</v>
      </c>
      <c r="BN212" s="17" t="s">
        <v>345</v>
      </c>
      <c r="BO212" s="18" t="s">
        <v>313</v>
      </c>
    </row>
    <row r="213" spans="1:67" ht="12" hidden="1" x14ac:dyDescent="0.2">
      <c r="A213" s="6" t="s">
        <v>245</v>
      </c>
      <c r="B213" s="18"/>
      <c r="C213" s="6" t="s">
        <v>161</v>
      </c>
      <c r="D213" s="6"/>
      <c r="E213" s="6">
        <f t="shared" si="46"/>
        <v>0</v>
      </c>
      <c r="F213" s="6"/>
      <c r="G213" s="6"/>
      <c r="H213" s="6"/>
      <c r="I213" s="6"/>
      <c r="J213" s="6"/>
      <c r="K213" s="6">
        <f t="shared" si="47"/>
        <v>0</v>
      </c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>
        <f t="shared" si="50"/>
        <v>0</v>
      </c>
      <c r="X213" s="6"/>
      <c r="Y213" s="6" t="s">
        <v>245</v>
      </c>
      <c r="Z213" s="18"/>
      <c r="AA213" s="6" t="s">
        <v>161</v>
      </c>
      <c r="AB213" s="6"/>
      <c r="AC213" s="6"/>
      <c r="AD213" s="6"/>
      <c r="AE213" s="6"/>
      <c r="AF213" s="6"/>
      <c r="AG213" s="6"/>
      <c r="AH213" s="6"/>
      <c r="AI213" s="8">
        <f t="shared" si="45"/>
        <v>0</v>
      </c>
      <c r="AJ213" s="8"/>
      <c r="AK213" s="6"/>
      <c r="AL213" s="6"/>
      <c r="AM213" s="6"/>
      <c r="AN213" s="6"/>
      <c r="AO213" s="6"/>
      <c r="AP213" s="6"/>
      <c r="AQ213" s="6"/>
      <c r="AR213" s="6"/>
      <c r="AS213" s="8">
        <f t="shared" si="44"/>
        <v>0</v>
      </c>
      <c r="AT213" s="8"/>
      <c r="AU213" s="6">
        <v>0</v>
      </c>
      <c r="AV213" s="6"/>
      <c r="AW213" s="6">
        <v>0</v>
      </c>
      <c r="AX213" s="6"/>
      <c r="AY213" s="6">
        <f t="shared" si="48"/>
        <v>0</v>
      </c>
      <c r="AZ213" s="6"/>
      <c r="BA213" s="6" t="s">
        <v>245</v>
      </c>
      <c r="BB213" s="18"/>
      <c r="BC213" s="6" t="s">
        <v>161</v>
      </c>
      <c r="BD213" s="6"/>
      <c r="BE213" s="6"/>
      <c r="BF213" s="6"/>
      <c r="BG213" s="6"/>
      <c r="BH213" s="6"/>
      <c r="BI213" s="6"/>
      <c r="BJ213" s="6"/>
      <c r="BK213" s="6"/>
      <c r="BL213" s="6"/>
      <c r="BM213" s="6">
        <f t="shared" si="49"/>
        <v>0</v>
      </c>
      <c r="BN213" s="17" t="s">
        <v>345</v>
      </c>
    </row>
    <row r="214" spans="1:67" ht="12" x14ac:dyDescent="0.2">
      <c r="A214" s="6" t="s">
        <v>246</v>
      </c>
      <c r="B214" s="18"/>
      <c r="C214" s="6" t="s">
        <v>247</v>
      </c>
      <c r="D214" s="6"/>
      <c r="E214" s="6">
        <v>220089</v>
      </c>
      <c r="F214" s="6"/>
      <c r="G214" s="6">
        <v>123873</v>
      </c>
      <c r="H214" s="6"/>
      <c r="I214" s="6">
        <f>+E214+G214</f>
        <v>343962</v>
      </c>
      <c r="J214" s="6"/>
      <c r="K214" s="6">
        <v>14601</v>
      </c>
      <c r="L214" s="6"/>
      <c r="M214" s="6">
        <v>23082</v>
      </c>
      <c r="N214" s="6"/>
      <c r="O214" s="6">
        <f>+K214+M214</f>
        <v>37683</v>
      </c>
      <c r="P214" s="6"/>
      <c r="Q214" s="6">
        <v>123874</v>
      </c>
      <c r="R214" s="6"/>
      <c r="S214" s="6">
        <v>0</v>
      </c>
      <c r="T214" s="6"/>
      <c r="U214" s="6">
        <v>182405</v>
      </c>
      <c r="V214" s="6"/>
      <c r="W214" s="6">
        <f t="shared" si="50"/>
        <v>306279</v>
      </c>
      <c r="X214" s="6"/>
      <c r="Y214" s="6" t="s">
        <v>246</v>
      </c>
      <c r="Z214" s="18"/>
      <c r="AA214" s="6" t="s">
        <v>247</v>
      </c>
      <c r="AB214" s="6"/>
      <c r="AC214" s="6">
        <v>369564</v>
      </c>
      <c r="AD214" s="6"/>
      <c r="AE214" s="6">
        <f>467399-20655</f>
        <v>446744</v>
      </c>
      <c r="AF214" s="6"/>
      <c r="AG214" s="6">
        <v>20655</v>
      </c>
      <c r="AH214" s="6"/>
      <c r="AI214" s="8">
        <f t="shared" si="45"/>
        <v>-97835</v>
      </c>
      <c r="AJ214" s="8"/>
      <c r="AK214" s="6">
        <v>0</v>
      </c>
      <c r="AL214" s="6"/>
      <c r="AM214" s="6">
        <v>125000</v>
      </c>
      <c r="AN214" s="6"/>
      <c r="AO214" s="6">
        <v>0</v>
      </c>
      <c r="AP214" s="6"/>
      <c r="AQ214" s="6">
        <v>0</v>
      </c>
      <c r="AR214" s="6"/>
      <c r="AS214" s="8">
        <f t="shared" si="44"/>
        <v>27165</v>
      </c>
      <c r="AT214" s="8"/>
      <c r="AU214" s="6">
        <v>0</v>
      </c>
      <c r="AV214" s="6"/>
      <c r="AW214" s="6">
        <v>0</v>
      </c>
      <c r="AX214" s="6"/>
      <c r="AY214" s="6">
        <f t="shared" si="48"/>
        <v>205488</v>
      </c>
      <c r="AZ214" s="6"/>
      <c r="BA214" s="6" t="s">
        <v>246</v>
      </c>
      <c r="BB214" s="18"/>
      <c r="BC214" s="6" t="s">
        <v>247</v>
      </c>
      <c r="BD214" s="6"/>
      <c r="BE214" s="6">
        <v>0</v>
      </c>
      <c r="BF214" s="6"/>
      <c r="BG214" s="6">
        <v>0</v>
      </c>
      <c r="BH214" s="6"/>
      <c r="BI214" s="6">
        <v>0</v>
      </c>
      <c r="BJ214" s="6"/>
      <c r="BK214" s="6">
        <f>23082+2733</f>
        <v>25815</v>
      </c>
      <c r="BL214" s="6"/>
      <c r="BM214" s="6">
        <f t="shared" si="49"/>
        <v>25815</v>
      </c>
      <c r="BN214" s="17"/>
    </row>
    <row r="215" spans="1:67" x14ac:dyDescent="0.2">
      <c r="A215" s="6" t="s">
        <v>248</v>
      </c>
      <c r="C215" s="6" t="s">
        <v>101</v>
      </c>
      <c r="D215" s="6"/>
      <c r="E215" s="6">
        <v>374646</v>
      </c>
      <c r="F215" s="6"/>
      <c r="G215" s="6">
        <v>17741</v>
      </c>
      <c r="H215" s="6"/>
      <c r="I215" s="6">
        <f>+E215+G215</f>
        <v>392387</v>
      </c>
      <c r="J215" s="6"/>
      <c r="K215" s="6">
        <v>76021</v>
      </c>
      <c r="L215" s="6"/>
      <c r="M215" s="6">
        <v>17290</v>
      </c>
      <c r="N215" s="6"/>
      <c r="O215" s="6">
        <f>+K215+M215</f>
        <v>93311</v>
      </c>
      <c r="P215" s="6"/>
      <c r="Q215" s="6">
        <v>17741</v>
      </c>
      <c r="R215" s="6"/>
      <c r="S215" s="6">
        <v>0</v>
      </c>
      <c r="T215" s="6"/>
      <c r="U215" s="6">
        <v>281335</v>
      </c>
      <c r="V215" s="6"/>
      <c r="W215" s="6">
        <f t="shared" si="50"/>
        <v>299076</v>
      </c>
      <c r="X215" s="6"/>
      <c r="Y215" s="6" t="s">
        <v>248</v>
      </c>
      <c r="Z215" s="18"/>
      <c r="AA215" s="6" t="s">
        <v>101</v>
      </c>
      <c r="AB215" s="6"/>
      <c r="AC215" s="6">
        <v>991240</v>
      </c>
      <c r="AD215" s="6"/>
      <c r="AE215" s="6">
        <f>926754-4716</f>
        <v>922038</v>
      </c>
      <c r="AF215" s="6"/>
      <c r="AG215" s="6">
        <v>4716</v>
      </c>
      <c r="AH215" s="6"/>
      <c r="AI215" s="8">
        <f t="shared" si="45"/>
        <v>64486</v>
      </c>
      <c r="AJ215" s="8"/>
      <c r="AK215" s="6">
        <v>0</v>
      </c>
      <c r="AL215" s="6"/>
      <c r="AM215" s="6">
        <v>0</v>
      </c>
      <c r="AN215" s="6"/>
      <c r="AO215" s="6">
        <v>0</v>
      </c>
      <c r="AP215" s="6"/>
      <c r="AQ215" s="6">
        <v>0</v>
      </c>
      <c r="AR215" s="6"/>
      <c r="AS215" s="8">
        <f t="shared" si="44"/>
        <v>64486</v>
      </c>
      <c r="AT215" s="8"/>
      <c r="AU215" s="6">
        <v>0</v>
      </c>
      <c r="AV215" s="6"/>
      <c r="AW215" s="6">
        <v>0</v>
      </c>
      <c r="AX215" s="6"/>
      <c r="AY215" s="6">
        <f t="shared" si="48"/>
        <v>298625</v>
      </c>
      <c r="AZ215" s="6"/>
      <c r="BA215" s="6" t="s">
        <v>248</v>
      </c>
      <c r="BB215" s="18"/>
      <c r="BC215" s="6" t="s">
        <v>101</v>
      </c>
      <c r="BD215" s="6"/>
      <c r="BE215" s="6">
        <v>0</v>
      </c>
      <c r="BF215" s="6"/>
      <c r="BG215" s="6">
        <v>0</v>
      </c>
      <c r="BH215" s="6"/>
      <c r="BI215" s="6">
        <v>0</v>
      </c>
      <c r="BJ215" s="6"/>
      <c r="BK215" s="6">
        <f>17290+12925</f>
        <v>30215</v>
      </c>
      <c r="BL215" s="6"/>
      <c r="BM215" s="6">
        <f t="shared" si="49"/>
        <v>30215</v>
      </c>
      <c r="BN215" s="17" t="s">
        <v>345</v>
      </c>
    </row>
    <row r="216" spans="1:67" x14ac:dyDescent="0.2">
      <c r="A216" s="6" t="s">
        <v>249</v>
      </c>
      <c r="C216" s="6" t="s">
        <v>64</v>
      </c>
      <c r="D216" s="6"/>
      <c r="E216" s="6">
        <v>839364</v>
      </c>
      <c r="F216" s="6"/>
      <c r="G216" s="6">
        <v>0</v>
      </c>
      <c r="H216" s="6"/>
      <c r="I216" s="6">
        <f>+E216+G216</f>
        <v>839364</v>
      </c>
      <c r="J216" s="6"/>
      <c r="K216" s="6">
        <v>112492</v>
      </c>
      <c r="L216" s="6"/>
      <c r="M216" s="6">
        <v>1428</v>
      </c>
      <c r="N216" s="6"/>
      <c r="O216" s="6">
        <f>+K216+M216</f>
        <v>113920</v>
      </c>
      <c r="P216" s="6"/>
      <c r="Q216" s="6">
        <v>0</v>
      </c>
      <c r="R216" s="6"/>
      <c r="S216" s="6">
        <v>0</v>
      </c>
      <c r="T216" s="6"/>
      <c r="U216" s="6">
        <v>725444</v>
      </c>
      <c r="V216" s="6"/>
      <c r="W216" s="6">
        <f t="shared" si="50"/>
        <v>725444</v>
      </c>
      <c r="X216" s="6"/>
      <c r="Y216" s="6" t="s">
        <v>249</v>
      </c>
      <c r="Z216" s="18"/>
      <c r="AA216" s="6" t="s">
        <v>64</v>
      </c>
      <c r="AB216" s="6"/>
      <c r="AC216" s="6">
        <v>1562730</v>
      </c>
      <c r="AD216" s="6"/>
      <c r="AE216" s="6">
        <f>1420131-0</f>
        <v>1420131</v>
      </c>
      <c r="AF216" s="6"/>
      <c r="AG216" s="6">
        <v>0</v>
      </c>
      <c r="AH216" s="6"/>
      <c r="AI216" s="8">
        <f t="shared" si="45"/>
        <v>142599</v>
      </c>
      <c r="AJ216" s="8"/>
      <c r="AK216" s="6">
        <v>58</v>
      </c>
      <c r="AL216" s="6"/>
      <c r="AM216" s="6">
        <v>0</v>
      </c>
      <c r="AN216" s="6"/>
      <c r="AO216" s="6">
        <v>0</v>
      </c>
      <c r="AP216" s="6"/>
      <c r="AQ216" s="6">
        <v>0</v>
      </c>
      <c r="AR216" s="6"/>
      <c r="AS216" s="8">
        <f t="shared" si="44"/>
        <v>142657</v>
      </c>
      <c r="AT216" s="8"/>
      <c r="AU216" s="6">
        <v>0</v>
      </c>
      <c r="AV216" s="6"/>
      <c r="AW216" s="6">
        <v>0</v>
      </c>
      <c r="AX216" s="6"/>
      <c r="AY216" s="6">
        <f t="shared" si="48"/>
        <v>726872</v>
      </c>
      <c r="AZ216" s="6"/>
      <c r="BA216" s="6" t="s">
        <v>249</v>
      </c>
      <c r="BB216" s="18"/>
      <c r="BC216" s="6" t="s">
        <v>64</v>
      </c>
      <c r="BD216" s="6"/>
      <c r="BE216" s="6">
        <v>0</v>
      </c>
      <c r="BF216" s="6"/>
      <c r="BG216" s="6">
        <v>0</v>
      </c>
      <c r="BH216" s="6"/>
      <c r="BI216" s="6">
        <v>0</v>
      </c>
      <c r="BJ216" s="6"/>
      <c r="BK216" s="6">
        <f>1428+1412</f>
        <v>2840</v>
      </c>
      <c r="BL216" s="6"/>
      <c r="BM216" s="6">
        <f t="shared" si="49"/>
        <v>2840</v>
      </c>
      <c r="BN216" s="17" t="s">
        <v>345</v>
      </c>
    </row>
    <row r="217" spans="1:67" hidden="1" x14ac:dyDescent="0.2">
      <c r="A217" s="6" t="s">
        <v>250</v>
      </c>
      <c r="C217" s="6" t="s">
        <v>207</v>
      </c>
      <c r="D217" s="6"/>
      <c r="E217" s="6">
        <f t="shared" si="46"/>
        <v>0</v>
      </c>
      <c r="F217" s="6"/>
      <c r="G217" s="6"/>
      <c r="H217" s="6"/>
      <c r="I217" s="6"/>
      <c r="J217" s="6"/>
      <c r="K217" s="6">
        <f t="shared" si="47"/>
        <v>0</v>
      </c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>
        <f t="shared" si="50"/>
        <v>0</v>
      </c>
      <c r="X217" s="6"/>
      <c r="Y217" s="6" t="s">
        <v>250</v>
      </c>
      <c r="Z217" s="18"/>
      <c r="AA217" s="6" t="s">
        <v>207</v>
      </c>
      <c r="AB217" s="6"/>
      <c r="AC217" s="6"/>
      <c r="AD217" s="6"/>
      <c r="AE217" s="6"/>
      <c r="AF217" s="6"/>
      <c r="AG217" s="6"/>
      <c r="AH217" s="6"/>
      <c r="AI217" s="8">
        <f t="shared" si="45"/>
        <v>0</v>
      </c>
      <c r="AJ217" s="8"/>
      <c r="AK217" s="6"/>
      <c r="AL217" s="6"/>
      <c r="AM217" s="6"/>
      <c r="AN217" s="6"/>
      <c r="AO217" s="6"/>
      <c r="AP217" s="6"/>
      <c r="AQ217" s="6"/>
      <c r="AR217" s="6"/>
      <c r="AS217" s="8">
        <f t="shared" si="44"/>
        <v>0</v>
      </c>
      <c r="AT217" s="8"/>
      <c r="AU217" s="6">
        <v>0</v>
      </c>
      <c r="AV217" s="6"/>
      <c r="AW217" s="6">
        <v>0</v>
      </c>
      <c r="AX217" s="6"/>
      <c r="AY217" s="6">
        <f t="shared" si="48"/>
        <v>0</v>
      </c>
      <c r="AZ217" s="6"/>
      <c r="BA217" s="6" t="s">
        <v>250</v>
      </c>
      <c r="BB217" s="18"/>
      <c r="BC217" s="6" t="s">
        <v>207</v>
      </c>
      <c r="BD217" s="6"/>
      <c r="BE217" s="6"/>
      <c r="BF217" s="6"/>
      <c r="BG217" s="6"/>
      <c r="BH217" s="6"/>
      <c r="BI217" s="6"/>
      <c r="BJ217" s="6"/>
      <c r="BK217" s="6"/>
      <c r="BL217" s="6"/>
      <c r="BM217" s="6">
        <f t="shared" si="49"/>
        <v>0</v>
      </c>
      <c r="BN217" s="17" t="s">
        <v>345</v>
      </c>
    </row>
    <row r="218" spans="1:67" hidden="1" x14ac:dyDescent="0.2">
      <c r="A218" s="6" t="s">
        <v>251</v>
      </c>
      <c r="C218" s="6" t="s">
        <v>11</v>
      </c>
      <c r="D218" s="6"/>
      <c r="E218" s="6">
        <f t="shared" si="46"/>
        <v>0</v>
      </c>
      <c r="F218" s="6"/>
      <c r="G218" s="6"/>
      <c r="H218" s="6"/>
      <c r="I218" s="6"/>
      <c r="J218" s="6"/>
      <c r="K218" s="6">
        <f t="shared" si="47"/>
        <v>0</v>
      </c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>
        <f t="shared" si="50"/>
        <v>0</v>
      </c>
      <c r="X218" s="6"/>
      <c r="Y218" s="6" t="s">
        <v>251</v>
      </c>
      <c r="Z218" s="18"/>
      <c r="AA218" s="6" t="s">
        <v>11</v>
      </c>
      <c r="AB218" s="6"/>
      <c r="AC218" s="6"/>
      <c r="AD218" s="6"/>
      <c r="AE218" s="6"/>
      <c r="AF218" s="6"/>
      <c r="AG218" s="6"/>
      <c r="AH218" s="6"/>
      <c r="AI218" s="8">
        <f t="shared" si="45"/>
        <v>0</v>
      </c>
      <c r="AJ218" s="8"/>
      <c r="AK218" s="6"/>
      <c r="AL218" s="6"/>
      <c r="AM218" s="6"/>
      <c r="AN218" s="6"/>
      <c r="AO218" s="6"/>
      <c r="AP218" s="6"/>
      <c r="AQ218" s="6"/>
      <c r="AR218" s="6"/>
      <c r="AS218" s="8">
        <f t="shared" si="44"/>
        <v>0</v>
      </c>
      <c r="AT218" s="8"/>
      <c r="AU218" s="6">
        <v>0</v>
      </c>
      <c r="AV218" s="6"/>
      <c r="AW218" s="6">
        <v>0</v>
      </c>
      <c r="AX218" s="6"/>
      <c r="AY218" s="6">
        <f t="shared" si="48"/>
        <v>0</v>
      </c>
      <c r="AZ218" s="6"/>
      <c r="BA218" s="6" t="s">
        <v>251</v>
      </c>
      <c r="BB218" s="18"/>
      <c r="BC218" s="6" t="s">
        <v>11</v>
      </c>
      <c r="BD218" s="6"/>
      <c r="BE218" s="6"/>
      <c r="BF218" s="6"/>
      <c r="BG218" s="6"/>
      <c r="BH218" s="6"/>
      <c r="BI218" s="6"/>
      <c r="BJ218" s="6"/>
      <c r="BK218" s="6"/>
      <c r="BL218" s="6"/>
      <c r="BM218" s="6">
        <f t="shared" si="49"/>
        <v>0</v>
      </c>
      <c r="BN218" s="17" t="s">
        <v>345</v>
      </c>
    </row>
    <row r="219" spans="1:67" hidden="1" x14ac:dyDescent="0.2">
      <c r="A219" s="6" t="s">
        <v>252</v>
      </c>
      <c r="C219" s="6" t="s">
        <v>87</v>
      </c>
      <c r="D219" s="6"/>
      <c r="E219" s="6">
        <f t="shared" si="46"/>
        <v>0</v>
      </c>
      <c r="F219" s="6"/>
      <c r="G219" s="6"/>
      <c r="H219" s="6"/>
      <c r="I219" s="6"/>
      <c r="J219" s="6"/>
      <c r="K219" s="6">
        <f t="shared" si="47"/>
        <v>0</v>
      </c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>
        <v>0</v>
      </c>
      <c r="X219" s="6"/>
      <c r="Y219" s="6" t="s">
        <v>252</v>
      </c>
      <c r="Z219" s="18"/>
      <c r="AA219" s="6" t="s">
        <v>87</v>
      </c>
      <c r="AB219" s="6"/>
      <c r="AC219" s="6"/>
      <c r="AD219" s="6"/>
      <c r="AE219" s="6"/>
      <c r="AF219" s="6"/>
      <c r="AG219" s="6"/>
      <c r="AH219" s="6"/>
      <c r="AI219" s="8">
        <f t="shared" si="45"/>
        <v>0</v>
      </c>
      <c r="AJ219" s="8"/>
      <c r="AK219" s="6"/>
      <c r="AL219" s="6"/>
      <c r="AM219" s="6"/>
      <c r="AN219" s="6"/>
      <c r="AO219" s="6"/>
      <c r="AP219" s="6"/>
      <c r="AQ219" s="6"/>
      <c r="AR219" s="6"/>
      <c r="AS219" s="8">
        <f t="shared" si="44"/>
        <v>0</v>
      </c>
      <c r="AT219" s="8"/>
      <c r="AU219" s="6">
        <v>0</v>
      </c>
      <c r="AV219" s="6"/>
      <c r="AW219" s="6">
        <v>0</v>
      </c>
      <c r="AX219" s="6"/>
      <c r="AY219" s="6">
        <f t="shared" si="48"/>
        <v>0</v>
      </c>
      <c r="AZ219" s="6"/>
      <c r="BA219" s="6" t="s">
        <v>252</v>
      </c>
      <c r="BB219" s="18"/>
      <c r="BC219" s="6" t="s">
        <v>87</v>
      </c>
      <c r="BD219" s="6"/>
      <c r="BE219" s="6"/>
      <c r="BF219" s="6"/>
      <c r="BG219" s="6"/>
      <c r="BH219" s="6"/>
      <c r="BI219" s="6"/>
      <c r="BJ219" s="6"/>
      <c r="BK219" s="6"/>
      <c r="BL219" s="6"/>
      <c r="BM219" s="6">
        <f t="shared" si="49"/>
        <v>0</v>
      </c>
      <c r="BN219" s="17" t="s">
        <v>345</v>
      </c>
    </row>
    <row r="220" spans="1:67" hidden="1" x14ac:dyDescent="0.2">
      <c r="A220" s="6" t="s">
        <v>157</v>
      </c>
      <c r="C220" s="6" t="s">
        <v>64</v>
      </c>
      <c r="D220" s="6"/>
      <c r="E220" s="6">
        <f t="shared" si="46"/>
        <v>0</v>
      </c>
      <c r="F220" s="6"/>
      <c r="G220" s="6"/>
      <c r="H220" s="6"/>
      <c r="I220" s="6"/>
      <c r="J220" s="6"/>
      <c r="K220" s="6">
        <f t="shared" si="47"/>
        <v>0</v>
      </c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>
        <f t="shared" ref="W220:W222" si="51">SUM(Q220:U220)</f>
        <v>0</v>
      </c>
      <c r="X220" s="6"/>
      <c r="Y220" s="6" t="s">
        <v>157</v>
      </c>
      <c r="Z220" s="18"/>
      <c r="AA220" s="6" t="s">
        <v>64</v>
      </c>
      <c r="AB220" s="6"/>
      <c r="AC220" s="6"/>
      <c r="AD220" s="6"/>
      <c r="AE220" s="6"/>
      <c r="AF220" s="6"/>
      <c r="AG220" s="6"/>
      <c r="AH220" s="6"/>
      <c r="AI220" s="8">
        <f t="shared" si="45"/>
        <v>0</v>
      </c>
      <c r="AJ220" s="8"/>
      <c r="AK220" s="6"/>
      <c r="AL220" s="6"/>
      <c r="AM220" s="6"/>
      <c r="AN220" s="6"/>
      <c r="AO220" s="6"/>
      <c r="AP220" s="6"/>
      <c r="AQ220" s="6"/>
      <c r="AR220" s="6"/>
      <c r="AS220" s="8">
        <f t="shared" si="44"/>
        <v>0</v>
      </c>
      <c r="AT220" s="8"/>
      <c r="AU220" s="6">
        <v>0</v>
      </c>
      <c r="AV220" s="6"/>
      <c r="AW220" s="6">
        <v>0</v>
      </c>
      <c r="AX220" s="6"/>
      <c r="AY220" s="6">
        <f t="shared" si="48"/>
        <v>0</v>
      </c>
      <c r="AZ220" s="6"/>
      <c r="BA220" s="6" t="s">
        <v>157</v>
      </c>
      <c r="BB220" s="18"/>
      <c r="BC220" s="6" t="s">
        <v>64</v>
      </c>
      <c r="BD220" s="6"/>
      <c r="BE220" s="6"/>
      <c r="BF220" s="6"/>
      <c r="BG220" s="6"/>
      <c r="BH220" s="6"/>
      <c r="BI220" s="6"/>
      <c r="BJ220" s="6"/>
      <c r="BK220" s="6"/>
      <c r="BL220" s="6"/>
      <c r="BM220" s="6">
        <f t="shared" si="49"/>
        <v>0</v>
      </c>
      <c r="BN220" s="17" t="s">
        <v>345</v>
      </c>
    </row>
    <row r="221" spans="1:67" hidden="1" x14ac:dyDescent="0.2">
      <c r="A221" s="6" t="s">
        <v>253</v>
      </c>
      <c r="C221" s="6" t="s">
        <v>25</v>
      </c>
      <c r="D221" s="6"/>
      <c r="E221" s="6">
        <f t="shared" si="46"/>
        <v>0</v>
      </c>
      <c r="F221" s="6"/>
      <c r="G221" s="6"/>
      <c r="H221" s="6"/>
      <c r="I221" s="6"/>
      <c r="J221" s="6"/>
      <c r="K221" s="6">
        <f t="shared" si="47"/>
        <v>0</v>
      </c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>
        <f t="shared" si="51"/>
        <v>0</v>
      </c>
      <c r="X221" s="6"/>
      <c r="Y221" s="6" t="s">
        <v>253</v>
      </c>
      <c r="Z221" s="18"/>
      <c r="AA221" s="6" t="s">
        <v>25</v>
      </c>
      <c r="AB221" s="6"/>
      <c r="AC221" s="6"/>
      <c r="AD221" s="6"/>
      <c r="AE221" s="6"/>
      <c r="AF221" s="6"/>
      <c r="AG221" s="6"/>
      <c r="AH221" s="6"/>
      <c r="AI221" s="8">
        <f t="shared" si="45"/>
        <v>0</v>
      </c>
      <c r="AJ221" s="8"/>
      <c r="AK221" s="6"/>
      <c r="AL221" s="6"/>
      <c r="AM221" s="6"/>
      <c r="AN221" s="6"/>
      <c r="AO221" s="6"/>
      <c r="AP221" s="6"/>
      <c r="AQ221" s="6"/>
      <c r="AR221" s="6"/>
      <c r="AS221" s="8">
        <f t="shared" si="44"/>
        <v>0</v>
      </c>
      <c r="AT221" s="8"/>
      <c r="AU221" s="6">
        <v>0</v>
      </c>
      <c r="AV221" s="6"/>
      <c r="AW221" s="6">
        <v>0</v>
      </c>
      <c r="AX221" s="6"/>
      <c r="AY221" s="6">
        <f t="shared" si="48"/>
        <v>0</v>
      </c>
      <c r="AZ221" s="6"/>
      <c r="BA221" s="6" t="s">
        <v>253</v>
      </c>
      <c r="BB221" s="18"/>
      <c r="BC221" s="6" t="s">
        <v>25</v>
      </c>
      <c r="BD221" s="6"/>
      <c r="BE221" s="6"/>
      <c r="BF221" s="6"/>
      <c r="BG221" s="6"/>
      <c r="BH221" s="6"/>
      <c r="BI221" s="6"/>
      <c r="BJ221" s="6"/>
      <c r="BK221" s="6"/>
      <c r="BL221" s="6"/>
      <c r="BM221" s="6">
        <f t="shared" si="49"/>
        <v>0</v>
      </c>
      <c r="BN221" s="17" t="s">
        <v>345</v>
      </c>
    </row>
    <row r="222" spans="1:67" x14ac:dyDescent="0.2">
      <c r="A222" s="6" t="s">
        <v>254</v>
      </c>
      <c r="C222" s="6" t="s">
        <v>41</v>
      </c>
      <c r="D222" s="6"/>
      <c r="E222" s="6">
        <v>122966</v>
      </c>
      <c r="F222" s="6"/>
      <c r="G222" s="6">
        <v>0</v>
      </c>
      <c r="H222" s="6"/>
      <c r="I222" s="6">
        <f>+E222+G222</f>
        <v>122966</v>
      </c>
      <c r="J222" s="6"/>
      <c r="K222" s="6">
        <v>169996</v>
      </c>
      <c r="L222" s="6"/>
      <c r="M222" s="6">
        <v>0</v>
      </c>
      <c r="N222" s="6"/>
      <c r="O222" s="6">
        <f>+K222+M222</f>
        <v>169996</v>
      </c>
      <c r="P222" s="6"/>
      <c r="Q222" s="6">
        <v>0</v>
      </c>
      <c r="R222" s="6"/>
      <c r="S222" s="6">
        <v>0</v>
      </c>
      <c r="T222" s="6"/>
      <c r="U222" s="6">
        <v>-47030</v>
      </c>
      <c r="V222" s="6"/>
      <c r="W222" s="6">
        <f t="shared" si="51"/>
        <v>-47030</v>
      </c>
      <c r="X222" s="6"/>
      <c r="Y222" s="6" t="s">
        <v>254</v>
      </c>
      <c r="Z222" s="18"/>
      <c r="AA222" s="6" t="s">
        <v>41</v>
      </c>
      <c r="AB222" s="6"/>
      <c r="AC222" s="6">
        <v>1985699</v>
      </c>
      <c r="AD222" s="6"/>
      <c r="AE222" s="6">
        <v>2051441</v>
      </c>
      <c r="AF222" s="6"/>
      <c r="AG222" s="6">
        <v>0</v>
      </c>
      <c r="AH222" s="6"/>
      <c r="AI222" s="8">
        <f t="shared" si="45"/>
        <v>-65742</v>
      </c>
      <c r="AJ222" s="8"/>
      <c r="AK222" s="6">
        <v>2512</v>
      </c>
      <c r="AL222" s="6"/>
      <c r="AM222" s="6">
        <v>12000</v>
      </c>
      <c r="AN222" s="6"/>
      <c r="AO222" s="6">
        <v>0</v>
      </c>
      <c r="AP222" s="6"/>
      <c r="AQ222" s="6">
        <v>0</v>
      </c>
      <c r="AR222" s="6"/>
      <c r="AS222" s="8">
        <f t="shared" si="44"/>
        <v>-51230</v>
      </c>
      <c r="AT222" s="8"/>
      <c r="AU222" s="6">
        <v>0</v>
      </c>
      <c r="AV222" s="6"/>
      <c r="AW222" s="6">
        <v>0</v>
      </c>
      <c r="AX222" s="6"/>
      <c r="AY222" s="6">
        <f t="shared" si="48"/>
        <v>-47030</v>
      </c>
      <c r="AZ222" s="6"/>
      <c r="BA222" s="6" t="s">
        <v>254</v>
      </c>
      <c r="BB222" s="18"/>
      <c r="BC222" s="6" t="s">
        <v>41</v>
      </c>
      <c r="BD222" s="6"/>
      <c r="BE222" s="6">
        <v>0</v>
      </c>
      <c r="BF222" s="6"/>
      <c r="BG222" s="6">
        <v>0</v>
      </c>
      <c r="BH222" s="6"/>
      <c r="BI222" s="6">
        <v>0</v>
      </c>
      <c r="BJ222" s="6"/>
      <c r="BK222" s="6">
        <v>0</v>
      </c>
      <c r="BL222" s="6"/>
      <c r="BM222" s="6">
        <f t="shared" si="49"/>
        <v>0</v>
      </c>
      <c r="BN222" s="17" t="s">
        <v>345</v>
      </c>
    </row>
    <row r="223" spans="1:67" s="36" customFormat="1" x14ac:dyDescent="0.2">
      <c r="A223" s="19" t="s">
        <v>255</v>
      </c>
      <c r="B223" s="21"/>
      <c r="C223" s="19" t="s">
        <v>256</v>
      </c>
      <c r="D223" s="19"/>
      <c r="E223" s="6">
        <v>3117537</v>
      </c>
      <c r="F223" s="6"/>
      <c r="G223" s="6">
        <v>33973842</v>
      </c>
      <c r="H223" s="6"/>
      <c r="I223" s="6">
        <f>+E223+G223</f>
        <v>37091379</v>
      </c>
      <c r="J223" s="6"/>
      <c r="K223" s="6">
        <v>121826</v>
      </c>
      <c r="L223" s="6"/>
      <c r="M223" s="6">
        <v>17110</v>
      </c>
      <c r="N223" s="6"/>
      <c r="O223" s="6">
        <f>+K223+M223</f>
        <v>138936</v>
      </c>
      <c r="P223" s="6"/>
      <c r="Q223" s="6">
        <v>180568</v>
      </c>
      <c r="R223" s="6"/>
      <c r="S223" s="6">
        <v>0</v>
      </c>
      <c r="T223" s="6"/>
      <c r="U223" s="6">
        <v>369135</v>
      </c>
      <c r="V223" s="6"/>
      <c r="W223" s="6">
        <f t="shared" ref="W223:W232" si="52">SUM(Q223:U223)</f>
        <v>549703</v>
      </c>
      <c r="X223" s="19"/>
      <c r="Y223" s="19" t="s">
        <v>255</v>
      </c>
      <c r="AA223" s="19" t="s">
        <v>256</v>
      </c>
      <c r="AB223" s="19"/>
      <c r="AC223" s="6">
        <v>834314</v>
      </c>
      <c r="AD223" s="6"/>
      <c r="AE223" s="6">
        <f>770700-86823</f>
        <v>683877</v>
      </c>
      <c r="AF223" s="6"/>
      <c r="AG223" s="6">
        <v>86823</v>
      </c>
      <c r="AH223" s="6"/>
      <c r="AI223" s="8">
        <f t="shared" ref="AI223:AI250" si="53">+AC223-AE223-AG223</f>
        <v>63614</v>
      </c>
      <c r="AJ223" s="8"/>
      <c r="AK223" s="6">
        <v>-2636</v>
      </c>
      <c r="AL223" s="6"/>
      <c r="AM223" s="6">
        <v>7245</v>
      </c>
      <c r="AN223" s="6"/>
      <c r="AO223" s="6">
        <v>0</v>
      </c>
      <c r="AP223" s="6"/>
      <c r="AQ223" s="6">
        <v>0</v>
      </c>
      <c r="AR223" s="6"/>
      <c r="AS223" s="8">
        <f t="shared" ref="AS223:AS234" si="54">+AI223+AK223+AM223-AO223+AQ223</f>
        <v>68223</v>
      </c>
      <c r="AT223" s="8"/>
      <c r="AU223" s="6">
        <v>0</v>
      </c>
      <c r="AV223" s="6"/>
      <c r="AW223" s="6">
        <v>0</v>
      </c>
      <c r="AX223" s="6"/>
      <c r="AY223" s="6">
        <f t="shared" ref="AY223:AY250" si="55">+E223-K223</f>
        <v>2995711</v>
      </c>
      <c r="AZ223" s="19"/>
      <c r="BA223" s="19" t="s">
        <v>255</v>
      </c>
      <c r="BC223" s="19" t="s">
        <v>256</v>
      </c>
      <c r="BD223" s="19"/>
      <c r="BE223" s="6">
        <v>0</v>
      </c>
      <c r="BF223" s="6"/>
      <c r="BG223" s="6">
        <v>0</v>
      </c>
      <c r="BH223" s="6"/>
      <c r="BI223" s="6">
        <v>0</v>
      </c>
      <c r="BJ223" s="6"/>
      <c r="BK223" s="6">
        <f>17110+16491+11215</f>
        <v>44816</v>
      </c>
      <c r="BL223" s="6"/>
      <c r="BM223" s="6">
        <f t="shared" ref="BM223:BM248" si="56">SUM(BE223:BK223)</f>
        <v>44816</v>
      </c>
      <c r="BN223" s="37" t="s">
        <v>345</v>
      </c>
    </row>
    <row r="224" spans="1:67" hidden="1" x14ac:dyDescent="0.2">
      <c r="A224" s="6" t="s">
        <v>257</v>
      </c>
      <c r="C224" s="6" t="s">
        <v>367</v>
      </c>
      <c r="D224" s="6"/>
      <c r="E224" s="6">
        <v>0</v>
      </c>
      <c r="F224" s="6"/>
      <c r="G224" s="6"/>
      <c r="H224" s="6"/>
      <c r="I224" s="6">
        <f t="shared" ref="I224:I250" si="57">+E224+G224</f>
        <v>0</v>
      </c>
      <c r="J224" s="6"/>
      <c r="K224" s="6">
        <v>0</v>
      </c>
      <c r="L224" s="6"/>
      <c r="M224" s="6"/>
      <c r="N224" s="6"/>
      <c r="O224" s="6">
        <f t="shared" ref="O224:O250" si="58">+K224+M224</f>
        <v>0</v>
      </c>
      <c r="P224" s="6"/>
      <c r="Q224" s="6"/>
      <c r="R224" s="6"/>
      <c r="S224" s="6"/>
      <c r="T224" s="6"/>
      <c r="U224" s="6"/>
      <c r="V224" s="6"/>
      <c r="W224" s="6">
        <f t="shared" si="52"/>
        <v>0</v>
      </c>
      <c r="X224" s="6"/>
      <c r="Y224" s="6" t="s">
        <v>257</v>
      </c>
      <c r="Z224" s="18"/>
      <c r="AA224" s="6" t="s">
        <v>367</v>
      </c>
      <c r="AB224" s="6"/>
      <c r="AC224" s="6"/>
      <c r="AD224" s="6"/>
      <c r="AE224" s="6"/>
      <c r="AF224" s="6"/>
      <c r="AG224" s="6"/>
      <c r="AH224" s="6"/>
      <c r="AI224" s="8">
        <f t="shared" si="53"/>
        <v>0</v>
      </c>
      <c r="AJ224" s="8"/>
      <c r="AK224" s="6"/>
      <c r="AL224" s="6"/>
      <c r="AM224" s="6"/>
      <c r="AN224" s="6"/>
      <c r="AO224" s="6"/>
      <c r="AP224" s="6"/>
      <c r="AQ224" s="6"/>
      <c r="AR224" s="6"/>
      <c r="AS224" s="8">
        <f t="shared" si="54"/>
        <v>0</v>
      </c>
      <c r="AT224" s="8"/>
      <c r="AU224" s="6">
        <v>0</v>
      </c>
      <c r="AV224" s="6"/>
      <c r="AW224" s="6">
        <v>0</v>
      </c>
      <c r="AX224" s="6"/>
      <c r="AY224" s="6">
        <f t="shared" si="55"/>
        <v>0</v>
      </c>
      <c r="AZ224" s="6"/>
      <c r="BA224" s="6" t="s">
        <v>257</v>
      </c>
      <c r="BB224" s="18"/>
      <c r="BC224" s="6" t="s">
        <v>367</v>
      </c>
      <c r="BD224" s="6"/>
      <c r="BE224" s="6"/>
      <c r="BF224" s="6"/>
      <c r="BG224" s="6"/>
      <c r="BH224" s="6"/>
      <c r="BI224" s="6"/>
      <c r="BJ224" s="6"/>
      <c r="BK224" s="6"/>
      <c r="BL224" s="6"/>
      <c r="BM224" s="6">
        <f t="shared" si="56"/>
        <v>0</v>
      </c>
      <c r="BN224" s="17" t="s">
        <v>345</v>
      </c>
    </row>
    <row r="225" spans="1:66" hidden="1" x14ac:dyDescent="0.2">
      <c r="A225" s="6" t="s">
        <v>259</v>
      </c>
      <c r="C225" s="6" t="s">
        <v>64</v>
      </c>
      <c r="D225" s="6"/>
      <c r="E225" s="6">
        <v>0</v>
      </c>
      <c r="F225" s="6"/>
      <c r="G225" s="6"/>
      <c r="H225" s="6"/>
      <c r="I225" s="6">
        <f t="shared" si="57"/>
        <v>0</v>
      </c>
      <c r="J225" s="6"/>
      <c r="K225" s="6">
        <v>0</v>
      </c>
      <c r="L225" s="6"/>
      <c r="M225" s="6"/>
      <c r="N225" s="6"/>
      <c r="O225" s="6">
        <f t="shared" si="58"/>
        <v>0</v>
      </c>
      <c r="P225" s="6"/>
      <c r="Q225" s="6"/>
      <c r="R225" s="6"/>
      <c r="S225" s="6"/>
      <c r="T225" s="6"/>
      <c r="U225" s="6"/>
      <c r="V225" s="6"/>
      <c r="W225" s="6">
        <f t="shared" si="52"/>
        <v>0</v>
      </c>
      <c r="X225" s="6"/>
      <c r="Y225" s="6" t="s">
        <v>259</v>
      </c>
      <c r="Z225" s="18"/>
      <c r="AA225" s="6" t="s">
        <v>64</v>
      </c>
      <c r="AB225" s="6"/>
      <c r="AC225" s="6"/>
      <c r="AD225" s="6"/>
      <c r="AE225" s="6"/>
      <c r="AF225" s="6"/>
      <c r="AG225" s="6"/>
      <c r="AH225" s="6"/>
      <c r="AI225" s="8">
        <f t="shared" si="53"/>
        <v>0</v>
      </c>
      <c r="AJ225" s="8"/>
      <c r="AK225" s="6"/>
      <c r="AL225" s="6"/>
      <c r="AM225" s="6"/>
      <c r="AN225" s="6"/>
      <c r="AO225" s="6"/>
      <c r="AP225" s="6"/>
      <c r="AQ225" s="6"/>
      <c r="AR225" s="6"/>
      <c r="AS225" s="8">
        <f t="shared" si="54"/>
        <v>0</v>
      </c>
      <c r="AT225" s="8"/>
      <c r="AU225" s="6">
        <v>0</v>
      </c>
      <c r="AV225" s="6"/>
      <c r="AW225" s="6">
        <v>0</v>
      </c>
      <c r="AX225" s="6"/>
      <c r="AY225" s="6">
        <f t="shared" si="55"/>
        <v>0</v>
      </c>
      <c r="AZ225" s="6"/>
      <c r="BA225" s="6" t="s">
        <v>259</v>
      </c>
      <c r="BB225" s="18"/>
      <c r="BC225" s="6" t="s">
        <v>64</v>
      </c>
      <c r="BD225" s="6"/>
      <c r="BE225" s="6"/>
      <c r="BF225" s="6"/>
      <c r="BG225" s="6"/>
      <c r="BH225" s="6"/>
      <c r="BI225" s="6"/>
      <c r="BJ225" s="6"/>
      <c r="BK225" s="6"/>
      <c r="BL225" s="6"/>
      <c r="BM225" s="6">
        <f t="shared" si="56"/>
        <v>0</v>
      </c>
      <c r="BN225" s="17" t="s">
        <v>345</v>
      </c>
    </row>
    <row r="226" spans="1:66" hidden="1" x14ac:dyDescent="0.2">
      <c r="A226" s="6" t="s">
        <v>260</v>
      </c>
      <c r="C226" s="6" t="s">
        <v>130</v>
      </c>
      <c r="D226" s="6"/>
      <c r="E226" s="6">
        <v>0</v>
      </c>
      <c r="F226" s="6"/>
      <c r="G226" s="6"/>
      <c r="H226" s="6"/>
      <c r="I226" s="6">
        <f t="shared" si="57"/>
        <v>0</v>
      </c>
      <c r="J226" s="6"/>
      <c r="K226" s="6">
        <v>0</v>
      </c>
      <c r="L226" s="6"/>
      <c r="M226" s="6"/>
      <c r="N226" s="6"/>
      <c r="O226" s="6">
        <f t="shared" si="58"/>
        <v>0</v>
      </c>
      <c r="P226" s="6"/>
      <c r="Q226" s="6"/>
      <c r="R226" s="6"/>
      <c r="S226" s="6"/>
      <c r="T226" s="6"/>
      <c r="U226" s="6"/>
      <c r="V226" s="6"/>
      <c r="W226" s="6">
        <f t="shared" si="52"/>
        <v>0</v>
      </c>
      <c r="X226" s="6"/>
      <c r="Y226" s="6" t="s">
        <v>260</v>
      </c>
      <c r="Z226" s="18"/>
      <c r="AA226" s="6" t="s">
        <v>130</v>
      </c>
      <c r="AB226" s="6"/>
      <c r="AC226" s="6"/>
      <c r="AD226" s="6"/>
      <c r="AE226" s="6"/>
      <c r="AF226" s="6"/>
      <c r="AG226" s="6"/>
      <c r="AH226" s="6"/>
      <c r="AI226" s="8">
        <f t="shared" si="53"/>
        <v>0</v>
      </c>
      <c r="AJ226" s="8"/>
      <c r="AK226" s="6"/>
      <c r="AL226" s="6"/>
      <c r="AM226" s="6"/>
      <c r="AN226" s="6"/>
      <c r="AO226" s="6"/>
      <c r="AP226" s="6"/>
      <c r="AQ226" s="6"/>
      <c r="AR226" s="6"/>
      <c r="AS226" s="8">
        <f t="shared" si="54"/>
        <v>0</v>
      </c>
      <c r="AT226" s="8"/>
      <c r="AU226" s="6">
        <v>0</v>
      </c>
      <c r="AV226" s="6"/>
      <c r="AW226" s="6">
        <v>0</v>
      </c>
      <c r="AX226" s="6"/>
      <c r="AY226" s="6">
        <f t="shared" si="55"/>
        <v>0</v>
      </c>
      <c r="AZ226" s="6"/>
      <c r="BA226" s="6" t="s">
        <v>260</v>
      </c>
      <c r="BB226" s="18"/>
      <c r="BC226" s="6" t="s">
        <v>130</v>
      </c>
      <c r="BD226" s="6"/>
      <c r="BE226" s="6"/>
      <c r="BF226" s="6"/>
      <c r="BG226" s="6"/>
      <c r="BH226" s="6"/>
      <c r="BI226" s="6"/>
      <c r="BJ226" s="6"/>
      <c r="BK226" s="6"/>
      <c r="BL226" s="6"/>
      <c r="BM226" s="6">
        <f t="shared" si="56"/>
        <v>0</v>
      </c>
      <c r="BN226" s="17" t="s">
        <v>345</v>
      </c>
    </row>
    <row r="227" spans="1:66" ht="12" hidden="1" x14ac:dyDescent="0.2">
      <c r="A227" s="7" t="s">
        <v>497</v>
      </c>
      <c r="B227" s="10"/>
      <c r="C227" s="7" t="s">
        <v>43</v>
      </c>
      <c r="D227" s="6"/>
      <c r="E227" s="6">
        <v>0</v>
      </c>
      <c r="F227" s="6"/>
      <c r="G227" s="6"/>
      <c r="H227" s="6"/>
      <c r="I227" s="6">
        <f t="shared" si="57"/>
        <v>0</v>
      </c>
      <c r="J227" s="6"/>
      <c r="K227" s="6">
        <v>0</v>
      </c>
      <c r="L227" s="6"/>
      <c r="M227" s="6"/>
      <c r="N227" s="6"/>
      <c r="O227" s="6">
        <f t="shared" si="58"/>
        <v>0</v>
      </c>
      <c r="P227" s="6"/>
      <c r="Q227" s="6"/>
      <c r="R227" s="6"/>
      <c r="S227" s="6"/>
      <c r="T227" s="6"/>
      <c r="U227" s="6"/>
      <c r="V227" s="6"/>
      <c r="W227" s="6">
        <f t="shared" si="52"/>
        <v>0</v>
      </c>
      <c r="X227" s="6"/>
      <c r="Y227" s="7" t="s">
        <v>497</v>
      </c>
      <c r="AA227" s="7" t="s">
        <v>43</v>
      </c>
      <c r="AB227" s="6"/>
      <c r="AC227" s="6"/>
      <c r="AD227" s="6"/>
      <c r="AE227" s="6"/>
      <c r="AF227" s="6"/>
      <c r="AG227" s="6"/>
      <c r="AH227" s="6"/>
      <c r="AI227" s="8">
        <f t="shared" si="53"/>
        <v>0</v>
      </c>
      <c r="AJ227" s="8"/>
      <c r="AK227" s="6"/>
      <c r="AL227" s="6"/>
      <c r="AM227" s="6"/>
      <c r="AN227" s="6"/>
      <c r="AO227" s="6"/>
      <c r="AP227" s="6"/>
      <c r="AQ227" s="6"/>
      <c r="AR227" s="6"/>
      <c r="AS227" s="8">
        <f t="shared" si="54"/>
        <v>0</v>
      </c>
      <c r="AT227" s="8"/>
      <c r="AU227" s="6">
        <v>0</v>
      </c>
      <c r="AV227" s="6"/>
      <c r="AW227" s="6">
        <v>0</v>
      </c>
      <c r="AX227" s="6"/>
      <c r="AY227" s="6">
        <f t="shared" si="55"/>
        <v>0</v>
      </c>
      <c r="AZ227" s="6"/>
      <c r="BA227" s="7" t="s">
        <v>497</v>
      </c>
      <c r="BC227" s="7" t="s">
        <v>43</v>
      </c>
      <c r="BD227" s="6"/>
      <c r="BE227" s="6"/>
      <c r="BF227" s="6"/>
      <c r="BG227" s="6"/>
      <c r="BH227" s="6"/>
      <c r="BI227" s="6"/>
      <c r="BJ227" s="6"/>
      <c r="BK227" s="6"/>
      <c r="BL227" s="6"/>
      <c r="BM227" s="6">
        <f t="shared" si="56"/>
        <v>0</v>
      </c>
      <c r="BN227" s="17" t="s">
        <v>345</v>
      </c>
    </row>
    <row r="228" spans="1:66" x14ac:dyDescent="0.2">
      <c r="A228" s="18" t="s">
        <v>261</v>
      </c>
      <c r="C228" s="18" t="s">
        <v>51</v>
      </c>
      <c r="E228" s="6">
        <v>819444</v>
      </c>
      <c r="F228" s="6"/>
      <c r="G228" s="6">
        <v>791765</v>
      </c>
      <c r="H228" s="6"/>
      <c r="I228" s="6">
        <f t="shared" si="57"/>
        <v>1611209</v>
      </c>
      <c r="J228" s="6"/>
      <c r="K228" s="6">
        <v>350134</v>
      </c>
      <c r="L228" s="6"/>
      <c r="M228" s="6">
        <v>88161</v>
      </c>
      <c r="N228" s="6"/>
      <c r="O228" s="6">
        <f t="shared" si="58"/>
        <v>438295</v>
      </c>
      <c r="P228" s="6"/>
      <c r="Q228" s="6">
        <v>791765</v>
      </c>
      <c r="R228" s="6"/>
      <c r="S228" s="6">
        <v>0</v>
      </c>
      <c r="T228" s="6"/>
      <c r="U228" s="6">
        <v>381149</v>
      </c>
      <c r="V228" s="6"/>
      <c r="W228" s="6">
        <f t="shared" si="52"/>
        <v>1172914</v>
      </c>
      <c r="Y228" s="18" t="s">
        <v>261</v>
      </c>
      <c r="Z228" s="18"/>
      <c r="AA228" s="18" t="s">
        <v>51</v>
      </c>
      <c r="AC228" s="6">
        <v>2210650</v>
      </c>
      <c r="AD228" s="6"/>
      <c r="AE228" s="6">
        <f>2231155-108100</f>
        <v>2123055</v>
      </c>
      <c r="AF228" s="6"/>
      <c r="AG228" s="6">
        <v>108100</v>
      </c>
      <c r="AH228" s="6"/>
      <c r="AI228" s="8">
        <f t="shared" si="53"/>
        <v>-20505</v>
      </c>
      <c r="AJ228" s="8"/>
      <c r="AK228" s="6">
        <v>2558</v>
      </c>
      <c r="AL228" s="6"/>
      <c r="AM228" s="6">
        <v>0</v>
      </c>
      <c r="AN228" s="6"/>
      <c r="AO228" s="6">
        <v>0</v>
      </c>
      <c r="AP228" s="6"/>
      <c r="AQ228" s="6">
        <v>0</v>
      </c>
      <c r="AR228" s="6"/>
      <c r="AS228" s="8">
        <f t="shared" si="54"/>
        <v>-17947</v>
      </c>
      <c r="AT228" s="8"/>
      <c r="AU228" s="6">
        <v>0</v>
      </c>
      <c r="AV228" s="6"/>
      <c r="AW228" s="6">
        <v>0</v>
      </c>
      <c r="AX228" s="6"/>
      <c r="AY228" s="6">
        <f t="shared" si="55"/>
        <v>469310</v>
      </c>
      <c r="AZ228" s="16"/>
      <c r="BA228" s="18" t="s">
        <v>261</v>
      </c>
      <c r="BB228" s="18"/>
      <c r="BC228" s="18" t="s">
        <v>51</v>
      </c>
      <c r="BE228" s="6">
        <v>0</v>
      </c>
      <c r="BF228" s="6"/>
      <c r="BG228" s="6">
        <v>0</v>
      </c>
      <c r="BH228" s="6"/>
      <c r="BI228" s="6">
        <v>0</v>
      </c>
      <c r="BJ228" s="6"/>
      <c r="BK228" s="6">
        <f>88161+18761</f>
        <v>106922</v>
      </c>
      <c r="BL228" s="6"/>
      <c r="BM228" s="6">
        <f t="shared" si="56"/>
        <v>106922</v>
      </c>
      <c r="BN228" s="6"/>
    </row>
    <row r="229" spans="1:66" ht="12" x14ac:dyDescent="0.2">
      <c r="A229" s="6" t="s">
        <v>262</v>
      </c>
      <c r="B229" s="18"/>
      <c r="C229" s="6" t="s">
        <v>237</v>
      </c>
      <c r="D229" s="6"/>
      <c r="E229" s="6">
        <v>262578</v>
      </c>
      <c r="F229" s="6"/>
      <c r="G229" s="6">
        <v>973077</v>
      </c>
      <c r="H229" s="6"/>
      <c r="I229" s="6">
        <f t="shared" si="57"/>
        <v>1235655</v>
      </c>
      <c r="J229" s="6"/>
      <c r="K229" s="6">
        <v>247328</v>
      </c>
      <c r="L229" s="6"/>
      <c r="M229" s="6">
        <v>1465817</v>
      </c>
      <c r="N229" s="6"/>
      <c r="O229" s="6">
        <f t="shared" si="58"/>
        <v>1713145</v>
      </c>
      <c r="P229" s="6"/>
      <c r="Q229" s="6">
        <v>843300</v>
      </c>
      <c r="R229" s="6"/>
      <c r="S229" s="6">
        <v>0</v>
      </c>
      <c r="T229" s="6"/>
      <c r="U229" s="6">
        <v>-1320790</v>
      </c>
      <c r="V229" s="6"/>
      <c r="W229" s="6">
        <f t="shared" si="52"/>
        <v>-477490</v>
      </c>
      <c r="X229" s="6"/>
      <c r="Y229" s="6" t="s">
        <v>262</v>
      </c>
      <c r="Z229" s="18"/>
      <c r="AA229" s="6" t="s">
        <v>237</v>
      </c>
      <c r="AB229" s="6"/>
      <c r="AC229" s="6">
        <v>1108321</v>
      </c>
      <c r="AD229" s="6"/>
      <c r="AE229" s="6">
        <f>1110802-49824</f>
        <v>1060978</v>
      </c>
      <c r="AF229" s="6"/>
      <c r="AG229" s="6">
        <v>49824</v>
      </c>
      <c r="AH229" s="6"/>
      <c r="AI229" s="8">
        <f t="shared" si="53"/>
        <v>-2481</v>
      </c>
      <c r="AJ229" s="8"/>
      <c r="AK229" s="6">
        <v>-2698</v>
      </c>
      <c r="AL229" s="6"/>
      <c r="AM229" s="6">
        <v>0</v>
      </c>
      <c r="AN229" s="6"/>
      <c r="AO229" s="6">
        <v>32789</v>
      </c>
      <c r="AP229" s="6"/>
      <c r="AQ229" s="6">
        <v>0</v>
      </c>
      <c r="AR229" s="6"/>
      <c r="AS229" s="8">
        <f t="shared" si="54"/>
        <v>-37968</v>
      </c>
      <c r="AT229" s="8"/>
      <c r="AU229" s="6">
        <v>0</v>
      </c>
      <c r="AV229" s="6"/>
      <c r="AW229" s="6">
        <v>0</v>
      </c>
      <c r="AX229" s="6"/>
      <c r="AY229" s="6">
        <f t="shared" si="55"/>
        <v>15250</v>
      </c>
      <c r="AZ229" s="6"/>
      <c r="BA229" s="6" t="s">
        <v>262</v>
      </c>
      <c r="BB229" s="18"/>
      <c r="BC229" s="6" t="s">
        <v>237</v>
      </c>
      <c r="BD229" s="6"/>
      <c r="BE229" s="6">
        <v>0</v>
      </c>
      <c r="BF229" s="6"/>
      <c r="BG229" s="6">
        <v>0</v>
      </c>
      <c r="BH229" s="6"/>
      <c r="BI229" s="6">
        <f>31169+30045</f>
        <v>61214</v>
      </c>
      <c r="BJ229" s="6"/>
      <c r="BK229" s="6">
        <f>34925+40060+1359663+17733+30045+66401</f>
        <v>1548827</v>
      </c>
      <c r="BL229" s="6"/>
      <c r="BM229" s="6">
        <f t="shared" si="56"/>
        <v>1610041</v>
      </c>
      <c r="BN229" s="17" t="s">
        <v>345</v>
      </c>
    </row>
    <row r="230" spans="1:66" x14ac:dyDescent="0.2">
      <c r="A230" s="6" t="s">
        <v>109</v>
      </c>
      <c r="C230" s="7" t="s">
        <v>78</v>
      </c>
      <c r="D230" s="7"/>
      <c r="E230" s="6">
        <v>811140</v>
      </c>
      <c r="F230" s="6"/>
      <c r="G230" s="6">
        <v>390860</v>
      </c>
      <c r="H230" s="6"/>
      <c r="I230" s="6">
        <f t="shared" si="57"/>
        <v>1202000</v>
      </c>
      <c r="J230" s="6"/>
      <c r="K230" s="6">
        <v>394171</v>
      </c>
      <c r="L230" s="6"/>
      <c r="M230" s="6">
        <v>63379</v>
      </c>
      <c r="N230" s="6"/>
      <c r="O230" s="6">
        <f t="shared" si="58"/>
        <v>457550</v>
      </c>
      <c r="P230" s="6"/>
      <c r="Q230" s="6">
        <v>150860</v>
      </c>
      <c r="R230" s="6"/>
      <c r="S230" s="6">
        <v>0</v>
      </c>
      <c r="T230" s="6"/>
      <c r="U230" s="6">
        <v>593590</v>
      </c>
      <c r="V230" s="6"/>
      <c r="W230" s="6">
        <f t="shared" si="52"/>
        <v>744450</v>
      </c>
      <c r="X230" s="6"/>
      <c r="Y230" s="6" t="s">
        <v>109</v>
      </c>
      <c r="Z230" s="18"/>
      <c r="AA230" s="7" t="s">
        <v>78</v>
      </c>
      <c r="AB230" s="7"/>
      <c r="AC230" s="6">
        <v>3315039</v>
      </c>
      <c r="AD230" s="6"/>
      <c r="AE230" s="6">
        <f>3354005-115252</f>
        <v>3238753</v>
      </c>
      <c r="AF230" s="6"/>
      <c r="AG230" s="6">
        <v>115252</v>
      </c>
      <c r="AH230" s="6"/>
      <c r="AI230" s="8">
        <f t="shared" si="53"/>
        <v>-38966</v>
      </c>
      <c r="AJ230" s="8"/>
      <c r="AK230" s="6">
        <v>-521</v>
      </c>
      <c r="AL230" s="6"/>
      <c r="AM230" s="6">
        <v>0</v>
      </c>
      <c r="AN230" s="6"/>
      <c r="AO230" s="6">
        <v>0</v>
      </c>
      <c r="AP230" s="6"/>
      <c r="AQ230" s="6">
        <v>0</v>
      </c>
      <c r="AR230" s="6"/>
      <c r="AS230" s="8">
        <f t="shared" si="54"/>
        <v>-39487</v>
      </c>
      <c r="AT230" s="8"/>
      <c r="AU230" s="6">
        <v>0</v>
      </c>
      <c r="AV230" s="6"/>
      <c r="AW230" s="6">
        <v>0</v>
      </c>
      <c r="AX230" s="6"/>
      <c r="AY230" s="6">
        <f t="shared" si="55"/>
        <v>416969</v>
      </c>
      <c r="AZ230" s="6"/>
      <c r="BA230" s="6" t="s">
        <v>109</v>
      </c>
      <c r="BB230" s="18"/>
      <c r="BC230" s="7" t="s">
        <v>78</v>
      </c>
      <c r="BD230" s="7"/>
      <c r="BE230" s="6">
        <v>0</v>
      </c>
      <c r="BF230" s="6"/>
      <c r="BG230" s="6">
        <v>0</v>
      </c>
      <c r="BH230" s="6"/>
      <c r="BI230" s="6">
        <v>0</v>
      </c>
      <c r="BJ230" s="6"/>
      <c r="BK230" s="6">
        <f>63379+47312</f>
        <v>110691</v>
      </c>
      <c r="BL230" s="6"/>
      <c r="BM230" s="6">
        <f t="shared" si="56"/>
        <v>110691</v>
      </c>
      <c r="BN230" s="17" t="s">
        <v>345</v>
      </c>
    </row>
    <row r="231" spans="1:66" hidden="1" x14ac:dyDescent="0.2">
      <c r="A231" s="6" t="s">
        <v>263</v>
      </c>
      <c r="C231" s="7" t="s">
        <v>25</v>
      </c>
      <c r="D231" s="7"/>
      <c r="E231" s="6">
        <v>0</v>
      </c>
      <c r="F231" s="6"/>
      <c r="G231" s="6"/>
      <c r="H231" s="6"/>
      <c r="I231" s="6">
        <f t="shared" si="57"/>
        <v>0</v>
      </c>
      <c r="J231" s="6"/>
      <c r="K231" s="6">
        <v>0</v>
      </c>
      <c r="L231" s="6"/>
      <c r="M231" s="6"/>
      <c r="N231" s="6"/>
      <c r="O231" s="6">
        <f t="shared" si="58"/>
        <v>0</v>
      </c>
      <c r="P231" s="6"/>
      <c r="Q231" s="6"/>
      <c r="R231" s="6"/>
      <c r="S231" s="6"/>
      <c r="T231" s="6"/>
      <c r="U231" s="6"/>
      <c r="V231" s="6"/>
      <c r="W231" s="6">
        <f t="shared" si="52"/>
        <v>0</v>
      </c>
      <c r="X231" s="6"/>
      <c r="Y231" s="6" t="s">
        <v>263</v>
      </c>
      <c r="Z231" s="18"/>
      <c r="AA231" s="7" t="s">
        <v>25</v>
      </c>
      <c r="AB231" s="7"/>
      <c r="AC231" s="6"/>
      <c r="AD231" s="6"/>
      <c r="AE231" s="6"/>
      <c r="AF231" s="6"/>
      <c r="AG231" s="6"/>
      <c r="AH231" s="6"/>
      <c r="AI231" s="8">
        <f t="shared" si="53"/>
        <v>0</v>
      </c>
      <c r="AJ231" s="8"/>
      <c r="AK231" s="6"/>
      <c r="AL231" s="6"/>
      <c r="AM231" s="6"/>
      <c r="AN231" s="6"/>
      <c r="AO231" s="6"/>
      <c r="AP231" s="6"/>
      <c r="AQ231" s="6"/>
      <c r="AR231" s="6"/>
      <c r="AS231" s="8">
        <f t="shared" si="54"/>
        <v>0</v>
      </c>
      <c r="AT231" s="8"/>
      <c r="AU231" s="6">
        <v>0</v>
      </c>
      <c r="AV231" s="6"/>
      <c r="AW231" s="6">
        <v>0</v>
      </c>
      <c r="AX231" s="6"/>
      <c r="AY231" s="6">
        <f t="shared" si="55"/>
        <v>0</v>
      </c>
      <c r="AZ231" s="6"/>
      <c r="BA231" s="6" t="s">
        <v>263</v>
      </c>
      <c r="BB231" s="18"/>
      <c r="BC231" s="7" t="s">
        <v>25</v>
      </c>
      <c r="BD231" s="7"/>
      <c r="BE231" s="6"/>
      <c r="BF231" s="6"/>
      <c r="BG231" s="6"/>
      <c r="BH231" s="6"/>
      <c r="BI231" s="6"/>
      <c r="BJ231" s="6"/>
      <c r="BK231" s="6"/>
      <c r="BL231" s="6"/>
      <c r="BM231" s="6">
        <f t="shared" si="56"/>
        <v>0</v>
      </c>
      <c r="BN231" s="17" t="s">
        <v>345</v>
      </c>
    </row>
    <row r="232" spans="1:66" hidden="1" x14ac:dyDescent="0.2">
      <c r="A232" s="6" t="s">
        <v>38</v>
      </c>
      <c r="C232" s="10" t="s">
        <v>448</v>
      </c>
      <c r="D232" s="6"/>
      <c r="E232" s="6">
        <v>0</v>
      </c>
      <c r="F232" s="6"/>
      <c r="G232" s="6"/>
      <c r="H232" s="6"/>
      <c r="I232" s="6">
        <f t="shared" si="57"/>
        <v>0</v>
      </c>
      <c r="J232" s="6"/>
      <c r="K232" s="6">
        <v>0</v>
      </c>
      <c r="L232" s="6"/>
      <c r="M232" s="6"/>
      <c r="N232" s="6"/>
      <c r="O232" s="6">
        <f t="shared" si="58"/>
        <v>0</v>
      </c>
      <c r="P232" s="6"/>
      <c r="Q232" s="6"/>
      <c r="R232" s="6"/>
      <c r="S232" s="6"/>
      <c r="T232" s="6"/>
      <c r="U232" s="6"/>
      <c r="V232" s="6"/>
      <c r="W232" s="6">
        <f t="shared" si="52"/>
        <v>0</v>
      </c>
      <c r="X232" s="6"/>
      <c r="Y232" s="6" t="s">
        <v>38</v>
      </c>
      <c r="Z232" s="18"/>
      <c r="AA232" s="10" t="s">
        <v>448</v>
      </c>
      <c r="AB232" s="6"/>
      <c r="AC232" s="6"/>
      <c r="AD232" s="6"/>
      <c r="AE232" s="6"/>
      <c r="AF232" s="6"/>
      <c r="AG232" s="6"/>
      <c r="AH232" s="6"/>
      <c r="AI232" s="8">
        <f t="shared" si="53"/>
        <v>0</v>
      </c>
      <c r="AJ232" s="8"/>
      <c r="AK232" s="6"/>
      <c r="AL232" s="6"/>
      <c r="AM232" s="6"/>
      <c r="AN232" s="6"/>
      <c r="AO232" s="6"/>
      <c r="AP232" s="6"/>
      <c r="AQ232" s="6"/>
      <c r="AR232" s="6"/>
      <c r="AS232" s="8">
        <f t="shared" si="54"/>
        <v>0</v>
      </c>
      <c r="AT232" s="8"/>
      <c r="AU232" s="6">
        <v>0</v>
      </c>
      <c r="AV232" s="6"/>
      <c r="AW232" s="6">
        <v>0</v>
      </c>
      <c r="AX232" s="6"/>
      <c r="AY232" s="6">
        <f t="shared" si="55"/>
        <v>0</v>
      </c>
      <c r="AZ232" s="6"/>
      <c r="BA232" s="6" t="s">
        <v>38</v>
      </c>
      <c r="BB232" s="18"/>
      <c r="BC232" s="10" t="s">
        <v>448</v>
      </c>
      <c r="BD232" s="6"/>
      <c r="BE232" s="6"/>
      <c r="BF232" s="6"/>
      <c r="BG232" s="6"/>
      <c r="BH232" s="6"/>
      <c r="BI232" s="6"/>
      <c r="BJ232" s="6"/>
      <c r="BK232" s="6"/>
      <c r="BL232" s="6"/>
      <c r="BM232" s="6">
        <f t="shared" si="56"/>
        <v>0</v>
      </c>
      <c r="BN232" s="17" t="s">
        <v>345</v>
      </c>
    </row>
    <row r="233" spans="1:66" hidden="1" x14ac:dyDescent="0.2">
      <c r="A233" s="6" t="s">
        <v>264</v>
      </c>
      <c r="C233" s="6" t="s">
        <v>265</v>
      </c>
      <c r="D233" s="6"/>
      <c r="E233" s="6">
        <v>0</v>
      </c>
      <c r="F233" s="6"/>
      <c r="G233" s="6"/>
      <c r="H233" s="6"/>
      <c r="I233" s="6">
        <f t="shared" si="57"/>
        <v>0</v>
      </c>
      <c r="J233" s="6"/>
      <c r="K233" s="6">
        <v>0</v>
      </c>
      <c r="L233" s="6"/>
      <c r="M233" s="6"/>
      <c r="N233" s="6"/>
      <c r="O233" s="6">
        <f t="shared" si="58"/>
        <v>0</v>
      </c>
      <c r="P233" s="6"/>
      <c r="Q233" s="6"/>
      <c r="R233" s="6"/>
      <c r="S233" s="6"/>
      <c r="T233" s="6"/>
      <c r="U233" s="6"/>
      <c r="V233" s="6"/>
      <c r="W233" s="6">
        <v>0</v>
      </c>
      <c r="X233" s="6"/>
      <c r="Y233" s="6" t="s">
        <v>264</v>
      </c>
      <c r="Z233" s="18"/>
      <c r="AA233" s="6" t="s">
        <v>265</v>
      </c>
      <c r="AB233" s="6"/>
      <c r="AC233" s="6"/>
      <c r="AD233" s="6"/>
      <c r="AE233" s="6"/>
      <c r="AF233" s="6"/>
      <c r="AG233" s="6"/>
      <c r="AH233" s="6"/>
      <c r="AI233" s="8">
        <f t="shared" si="53"/>
        <v>0</v>
      </c>
      <c r="AJ233" s="8"/>
      <c r="AK233" s="6"/>
      <c r="AL233" s="6"/>
      <c r="AM233" s="6"/>
      <c r="AN233" s="6"/>
      <c r="AO233" s="6"/>
      <c r="AP233" s="6"/>
      <c r="AQ233" s="6"/>
      <c r="AR233" s="6"/>
      <c r="AS233" s="8">
        <f t="shared" si="54"/>
        <v>0</v>
      </c>
      <c r="AT233" s="8"/>
      <c r="AU233" s="6">
        <v>0</v>
      </c>
      <c r="AV233" s="6"/>
      <c r="AW233" s="6">
        <v>0</v>
      </c>
      <c r="AX233" s="6"/>
      <c r="AY233" s="6">
        <f t="shared" si="55"/>
        <v>0</v>
      </c>
      <c r="AZ233" s="6"/>
      <c r="BA233" s="6" t="s">
        <v>264</v>
      </c>
      <c r="BB233" s="18"/>
      <c r="BC233" s="6" t="s">
        <v>265</v>
      </c>
      <c r="BD233" s="6"/>
      <c r="BE233" s="6"/>
      <c r="BF233" s="6"/>
      <c r="BG233" s="6"/>
      <c r="BH233" s="6"/>
      <c r="BI233" s="6"/>
      <c r="BJ233" s="6"/>
      <c r="BK233" s="6"/>
      <c r="BL233" s="6"/>
      <c r="BM233" s="6">
        <f t="shared" si="56"/>
        <v>0</v>
      </c>
      <c r="BN233" s="17" t="s">
        <v>345</v>
      </c>
    </row>
    <row r="234" spans="1:66" hidden="1" x14ac:dyDescent="0.2">
      <c r="A234" s="6" t="s">
        <v>266</v>
      </c>
      <c r="C234" s="6" t="s">
        <v>267</v>
      </c>
      <c r="D234" s="6"/>
      <c r="E234" s="6">
        <v>0</v>
      </c>
      <c r="F234" s="6"/>
      <c r="G234" s="6"/>
      <c r="H234" s="6"/>
      <c r="I234" s="6">
        <f t="shared" si="57"/>
        <v>0</v>
      </c>
      <c r="J234" s="6"/>
      <c r="K234" s="6">
        <v>0</v>
      </c>
      <c r="L234" s="6"/>
      <c r="M234" s="6"/>
      <c r="N234" s="6"/>
      <c r="O234" s="6">
        <f t="shared" si="58"/>
        <v>0</v>
      </c>
      <c r="P234" s="6"/>
      <c r="Q234" s="6"/>
      <c r="R234" s="6"/>
      <c r="S234" s="6"/>
      <c r="T234" s="6"/>
      <c r="U234" s="6"/>
      <c r="V234" s="6"/>
      <c r="W234" s="6">
        <f t="shared" ref="W234" si="59">SUM(Q234:U234)</f>
        <v>0</v>
      </c>
      <c r="X234" s="6"/>
      <c r="Y234" s="6" t="s">
        <v>266</v>
      </c>
      <c r="Z234" s="18"/>
      <c r="AA234" s="6" t="s">
        <v>267</v>
      </c>
      <c r="AB234" s="6"/>
      <c r="AC234" s="6"/>
      <c r="AD234" s="6"/>
      <c r="AE234" s="6"/>
      <c r="AF234" s="6"/>
      <c r="AG234" s="6"/>
      <c r="AH234" s="6"/>
      <c r="AI234" s="8">
        <f t="shared" si="53"/>
        <v>0</v>
      </c>
      <c r="AJ234" s="8"/>
      <c r="AK234" s="6"/>
      <c r="AL234" s="6"/>
      <c r="AM234" s="6"/>
      <c r="AN234" s="6"/>
      <c r="AO234" s="6"/>
      <c r="AP234" s="6"/>
      <c r="AQ234" s="6"/>
      <c r="AR234" s="6"/>
      <c r="AS234" s="8">
        <f t="shared" si="54"/>
        <v>0</v>
      </c>
      <c r="AT234" s="8"/>
      <c r="AU234" s="6">
        <v>0</v>
      </c>
      <c r="AV234" s="6"/>
      <c r="AW234" s="6">
        <v>0</v>
      </c>
      <c r="AX234" s="6"/>
      <c r="AY234" s="6">
        <f t="shared" si="55"/>
        <v>0</v>
      </c>
      <c r="AZ234" s="6"/>
      <c r="BA234" s="6" t="s">
        <v>266</v>
      </c>
      <c r="BB234" s="18"/>
      <c r="BC234" s="6" t="s">
        <v>267</v>
      </c>
      <c r="BD234" s="6"/>
      <c r="BE234" s="6"/>
      <c r="BF234" s="6"/>
      <c r="BG234" s="6"/>
      <c r="BH234" s="6"/>
      <c r="BI234" s="6"/>
      <c r="BJ234" s="6"/>
      <c r="BK234" s="6"/>
      <c r="BL234" s="6"/>
      <c r="BM234" s="6">
        <f t="shared" si="56"/>
        <v>0</v>
      </c>
      <c r="BN234" s="17" t="s">
        <v>345</v>
      </c>
    </row>
    <row r="235" spans="1:66" x14ac:dyDescent="0.2">
      <c r="A235" s="6" t="s">
        <v>268</v>
      </c>
      <c r="C235" s="6" t="s">
        <v>134</v>
      </c>
      <c r="D235" s="6"/>
      <c r="E235" s="6">
        <v>66869</v>
      </c>
      <c r="F235" s="6"/>
      <c r="G235" s="6">
        <v>0</v>
      </c>
      <c r="H235" s="6"/>
      <c r="I235" s="6">
        <f t="shared" si="57"/>
        <v>66869</v>
      </c>
      <c r="J235" s="6"/>
      <c r="K235" s="6">
        <v>24388</v>
      </c>
      <c r="L235" s="6"/>
      <c r="M235" s="6">
        <v>11420</v>
      </c>
      <c r="N235" s="6"/>
      <c r="O235" s="6">
        <f t="shared" si="58"/>
        <v>35808</v>
      </c>
      <c r="P235" s="6"/>
      <c r="Q235" s="6">
        <v>0</v>
      </c>
      <c r="R235" s="6"/>
      <c r="S235" s="6">
        <v>0</v>
      </c>
      <c r="T235" s="6"/>
      <c r="U235" s="6">
        <v>31061</v>
      </c>
      <c r="V235" s="6"/>
      <c r="W235" s="6">
        <f t="shared" ref="W235:W250" si="60">SUM(Q235:U235)</f>
        <v>31061</v>
      </c>
      <c r="X235" s="6"/>
      <c r="Y235" s="6" t="s">
        <v>268</v>
      </c>
      <c r="Z235" s="18"/>
      <c r="AA235" s="6" t="s">
        <v>134</v>
      </c>
      <c r="AB235" s="6"/>
      <c r="AC235" s="6">
        <v>344688</v>
      </c>
      <c r="AD235" s="6"/>
      <c r="AE235" s="6">
        <v>260372</v>
      </c>
      <c r="AF235" s="6"/>
      <c r="AG235" s="6">
        <v>0</v>
      </c>
      <c r="AH235" s="6"/>
      <c r="AI235" s="8">
        <f t="shared" si="53"/>
        <v>84316</v>
      </c>
      <c r="AJ235" s="8"/>
      <c r="AK235" s="6">
        <v>0</v>
      </c>
      <c r="AL235" s="6"/>
      <c r="AM235" s="6">
        <v>0</v>
      </c>
      <c r="AN235" s="6"/>
      <c r="AO235" s="6">
        <v>0</v>
      </c>
      <c r="AP235" s="6"/>
      <c r="AQ235" s="6">
        <v>0</v>
      </c>
      <c r="AR235" s="6"/>
      <c r="AS235" s="8">
        <f t="shared" ref="AS235:AS250" si="61">+AI235+AK235+AM235-AO235+AQ235</f>
        <v>84316</v>
      </c>
      <c r="AT235" s="8"/>
      <c r="AU235" s="6">
        <v>0</v>
      </c>
      <c r="AV235" s="6"/>
      <c r="AW235" s="6">
        <v>0</v>
      </c>
      <c r="AX235" s="6"/>
      <c r="AY235" s="6">
        <f t="shared" si="55"/>
        <v>42481</v>
      </c>
      <c r="AZ235" s="6"/>
      <c r="BA235" s="6" t="s">
        <v>268</v>
      </c>
      <c r="BB235" s="18"/>
      <c r="BC235" s="6" t="s">
        <v>134</v>
      </c>
      <c r="BD235" s="6"/>
      <c r="BE235" s="6">
        <v>0</v>
      </c>
      <c r="BF235" s="6"/>
      <c r="BG235" s="6">
        <v>0</v>
      </c>
      <c r="BH235" s="6"/>
      <c r="BI235" s="6">
        <v>0</v>
      </c>
      <c r="BJ235" s="6"/>
      <c r="BK235" s="6">
        <f>11420+14839</f>
        <v>26259</v>
      </c>
      <c r="BL235" s="6"/>
      <c r="BM235" s="6">
        <f t="shared" si="56"/>
        <v>26259</v>
      </c>
      <c r="BN235" s="17" t="s">
        <v>345</v>
      </c>
    </row>
    <row r="236" spans="1:66" x14ac:dyDescent="0.2">
      <c r="A236" s="6" t="s">
        <v>269</v>
      </c>
      <c r="C236" s="6" t="s">
        <v>64</v>
      </c>
      <c r="D236" s="6"/>
      <c r="E236" s="6">
        <v>445437</v>
      </c>
      <c r="F236" s="6"/>
      <c r="G236" s="6">
        <v>47143</v>
      </c>
      <c r="H236" s="6"/>
      <c r="I236" s="6">
        <f t="shared" si="57"/>
        <v>492580</v>
      </c>
      <c r="J236" s="6"/>
      <c r="K236" s="6">
        <v>18183</v>
      </c>
      <c r="L236" s="6"/>
      <c r="M236" s="6">
        <v>24277</v>
      </c>
      <c r="N236" s="6"/>
      <c r="O236" s="6">
        <f t="shared" si="58"/>
        <v>42460</v>
      </c>
      <c r="P236" s="6"/>
      <c r="Q236" s="6">
        <v>47143</v>
      </c>
      <c r="R236" s="6"/>
      <c r="S236" s="6">
        <v>0</v>
      </c>
      <c r="T236" s="6"/>
      <c r="U236" s="6">
        <v>402977</v>
      </c>
      <c r="V236" s="6"/>
      <c r="W236" s="6">
        <f t="shared" si="60"/>
        <v>450120</v>
      </c>
      <c r="X236" s="6"/>
      <c r="Y236" s="6" t="s">
        <v>269</v>
      </c>
      <c r="Z236" s="18"/>
      <c r="AA236" s="6" t="s">
        <v>64</v>
      </c>
      <c r="AB236" s="6"/>
      <c r="AC236" s="6">
        <v>806272</v>
      </c>
      <c r="AD236" s="6"/>
      <c r="AE236" s="6">
        <f>724441-41897</f>
        <v>682544</v>
      </c>
      <c r="AF236" s="6"/>
      <c r="AG236" s="6">
        <v>41897</v>
      </c>
      <c r="AH236" s="6"/>
      <c r="AI236" s="8">
        <f t="shared" si="53"/>
        <v>81831</v>
      </c>
      <c r="AJ236" s="8"/>
      <c r="AK236" s="6">
        <v>1395</v>
      </c>
      <c r="AL236" s="6"/>
      <c r="AM236" s="6">
        <v>0</v>
      </c>
      <c r="AN236" s="6"/>
      <c r="AO236" s="6">
        <v>0</v>
      </c>
      <c r="AP236" s="6"/>
      <c r="AQ236" s="6">
        <v>0</v>
      </c>
      <c r="AR236" s="6"/>
      <c r="AS236" s="8">
        <f t="shared" si="61"/>
        <v>83226</v>
      </c>
      <c r="AT236" s="8"/>
      <c r="AU236" s="6">
        <v>0</v>
      </c>
      <c r="AV236" s="6"/>
      <c r="AW236" s="6">
        <v>0</v>
      </c>
      <c r="AX236" s="6"/>
      <c r="AY236" s="6">
        <f t="shared" si="55"/>
        <v>427254</v>
      </c>
      <c r="AZ236" s="6"/>
      <c r="BA236" s="6" t="s">
        <v>269</v>
      </c>
      <c r="BB236" s="18"/>
      <c r="BC236" s="6" t="s">
        <v>64</v>
      </c>
      <c r="BD236" s="6"/>
      <c r="BE236" s="6">
        <v>0</v>
      </c>
      <c r="BF236" s="6"/>
      <c r="BG236" s="6">
        <v>0</v>
      </c>
      <c r="BH236" s="6"/>
      <c r="BI236" s="6">
        <v>0</v>
      </c>
      <c r="BJ236" s="6"/>
      <c r="BK236" s="6">
        <f>24277+263</f>
        <v>24540</v>
      </c>
      <c r="BL236" s="6"/>
      <c r="BM236" s="6">
        <f t="shared" si="56"/>
        <v>24540</v>
      </c>
      <c r="BN236" s="17" t="s">
        <v>345</v>
      </c>
    </row>
    <row r="237" spans="1:66" hidden="1" x14ac:dyDescent="0.2">
      <c r="A237" s="6" t="s">
        <v>270</v>
      </c>
      <c r="C237" s="6" t="s">
        <v>41</v>
      </c>
      <c r="D237" s="6"/>
      <c r="E237" s="6">
        <v>981686</v>
      </c>
      <c r="F237" s="6"/>
      <c r="G237" s="6">
        <v>191305</v>
      </c>
      <c r="H237" s="6"/>
      <c r="I237" s="6">
        <f t="shared" si="57"/>
        <v>1172991</v>
      </c>
      <c r="J237" s="6"/>
      <c r="K237" s="6">
        <v>189498</v>
      </c>
      <c r="L237" s="6"/>
      <c r="M237" s="6">
        <v>204000</v>
      </c>
      <c r="N237" s="6"/>
      <c r="O237" s="6">
        <f t="shared" si="58"/>
        <v>393498</v>
      </c>
      <c r="P237" s="6"/>
      <c r="Q237" s="6">
        <v>191305</v>
      </c>
      <c r="R237" s="6"/>
      <c r="S237" s="6">
        <v>0</v>
      </c>
      <c r="T237" s="6"/>
      <c r="U237" s="6">
        <v>588188</v>
      </c>
      <c r="V237" s="6"/>
      <c r="W237" s="6">
        <f t="shared" si="60"/>
        <v>779493</v>
      </c>
      <c r="X237" s="6"/>
      <c r="Y237" s="6" t="s">
        <v>270</v>
      </c>
      <c r="Z237" s="18"/>
      <c r="AA237" s="6" t="s">
        <v>41</v>
      </c>
      <c r="AB237" s="6"/>
      <c r="AC237" s="6">
        <v>2378371</v>
      </c>
      <c r="AD237" s="6"/>
      <c r="AE237" s="6">
        <f>2504315-163796</f>
        <v>2340519</v>
      </c>
      <c r="AF237" s="6"/>
      <c r="AG237" s="6">
        <v>163796</v>
      </c>
      <c r="AH237" s="6"/>
      <c r="AI237" s="8">
        <f t="shared" si="53"/>
        <v>-125944</v>
      </c>
      <c r="AJ237" s="8"/>
      <c r="AK237" s="6">
        <v>0</v>
      </c>
      <c r="AL237" s="6"/>
      <c r="AM237" s="6">
        <v>0</v>
      </c>
      <c r="AN237" s="6"/>
      <c r="AO237" s="6">
        <v>0</v>
      </c>
      <c r="AP237" s="6"/>
      <c r="AQ237" s="6">
        <v>0</v>
      </c>
      <c r="AR237" s="6"/>
      <c r="AS237" s="8">
        <f t="shared" si="61"/>
        <v>-125944</v>
      </c>
      <c r="AT237" s="8"/>
      <c r="AU237" s="6">
        <v>0</v>
      </c>
      <c r="AV237" s="6"/>
      <c r="AW237" s="6">
        <v>0</v>
      </c>
      <c r="AX237" s="6"/>
      <c r="AY237" s="6">
        <f t="shared" si="55"/>
        <v>792188</v>
      </c>
      <c r="AZ237" s="6"/>
      <c r="BA237" s="6" t="s">
        <v>270</v>
      </c>
      <c r="BB237" s="18"/>
      <c r="BC237" s="6" t="s">
        <v>41</v>
      </c>
      <c r="BD237" s="6"/>
      <c r="BE237" s="6">
        <v>0</v>
      </c>
      <c r="BF237" s="6"/>
      <c r="BG237" s="6">
        <v>0</v>
      </c>
      <c r="BH237" s="6"/>
      <c r="BI237" s="6">
        <v>0</v>
      </c>
      <c r="BJ237" s="6"/>
      <c r="BK237" s="6">
        <v>204000</v>
      </c>
      <c r="BL237" s="6"/>
      <c r="BM237" s="6">
        <f t="shared" si="56"/>
        <v>204000</v>
      </c>
      <c r="BN237" s="17" t="s">
        <v>345</v>
      </c>
    </row>
    <row r="238" spans="1:66" hidden="1" x14ac:dyDescent="0.2">
      <c r="A238" s="6" t="s">
        <v>271</v>
      </c>
      <c r="C238" s="6" t="s">
        <v>25</v>
      </c>
      <c r="D238" s="6"/>
      <c r="E238" s="6">
        <v>0</v>
      </c>
      <c r="F238" s="6"/>
      <c r="G238" s="6"/>
      <c r="H238" s="6"/>
      <c r="I238" s="6">
        <f t="shared" si="57"/>
        <v>0</v>
      </c>
      <c r="J238" s="6"/>
      <c r="K238" s="6">
        <v>0</v>
      </c>
      <c r="L238" s="6"/>
      <c r="M238" s="6"/>
      <c r="N238" s="6"/>
      <c r="O238" s="6">
        <f t="shared" si="58"/>
        <v>0</v>
      </c>
      <c r="P238" s="6"/>
      <c r="Q238" s="6"/>
      <c r="R238" s="6"/>
      <c r="S238" s="6"/>
      <c r="T238" s="6"/>
      <c r="U238" s="6"/>
      <c r="V238" s="6"/>
      <c r="W238" s="6">
        <f t="shared" si="60"/>
        <v>0</v>
      </c>
      <c r="X238" s="6"/>
      <c r="Y238" s="6" t="s">
        <v>271</v>
      </c>
      <c r="Z238" s="18"/>
      <c r="AA238" s="6" t="s">
        <v>25</v>
      </c>
      <c r="AB238" s="6"/>
      <c r="AC238" s="6"/>
      <c r="AD238" s="6"/>
      <c r="AE238" s="6"/>
      <c r="AF238" s="6"/>
      <c r="AG238" s="6"/>
      <c r="AH238" s="6"/>
      <c r="AI238" s="8">
        <f t="shared" si="53"/>
        <v>0</v>
      </c>
      <c r="AJ238" s="8"/>
      <c r="AK238" s="6"/>
      <c r="AL238" s="6"/>
      <c r="AM238" s="6"/>
      <c r="AN238" s="6"/>
      <c r="AO238" s="6"/>
      <c r="AP238" s="6"/>
      <c r="AQ238" s="6"/>
      <c r="AR238" s="6"/>
      <c r="AS238" s="8">
        <f t="shared" si="61"/>
        <v>0</v>
      </c>
      <c r="AT238" s="8"/>
      <c r="AU238" s="6">
        <v>0</v>
      </c>
      <c r="AV238" s="6"/>
      <c r="AW238" s="6">
        <v>0</v>
      </c>
      <c r="AX238" s="6"/>
      <c r="AY238" s="6">
        <f t="shared" si="55"/>
        <v>0</v>
      </c>
      <c r="AZ238" s="6"/>
      <c r="BA238" s="6" t="s">
        <v>271</v>
      </c>
      <c r="BB238" s="18"/>
      <c r="BC238" s="6" t="s">
        <v>25</v>
      </c>
      <c r="BD238" s="6"/>
      <c r="BE238" s="6"/>
      <c r="BF238" s="6"/>
      <c r="BG238" s="6"/>
      <c r="BH238" s="6"/>
      <c r="BI238" s="6"/>
      <c r="BJ238" s="6"/>
      <c r="BK238" s="6"/>
      <c r="BL238" s="6"/>
      <c r="BM238" s="6">
        <f t="shared" si="56"/>
        <v>0</v>
      </c>
      <c r="BN238" s="17" t="s">
        <v>345</v>
      </c>
    </row>
    <row r="239" spans="1:66" hidden="1" x14ac:dyDescent="0.2">
      <c r="A239" s="6" t="s">
        <v>272</v>
      </c>
      <c r="C239" s="6" t="s">
        <v>41</v>
      </c>
      <c r="D239" s="6"/>
      <c r="E239" s="6">
        <v>0</v>
      </c>
      <c r="F239" s="6"/>
      <c r="G239" s="6"/>
      <c r="H239" s="6"/>
      <c r="I239" s="6">
        <f t="shared" si="57"/>
        <v>0</v>
      </c>
      <c r="J239" s="6"/>
      <c r="K239" s="6">
        <v>0</v>
      </c>
      <c r="L239" s="6"/>
      <c r="M239" s="6"/>
      <c r="N239" s="6"/>
      <c r="O239" s="6">
        <f t="shared" si="58"/>
        <v>0</v>
      </c>
      <c r="P239" s="6"/>
      <c r="Q239" s="6"/>
      <c r="R239" s="6"/>
      <c r="S239" s="6"/>
      <c r="T239" s="6"/>
      <c r="U239" s="6"/>
      <c r="V239" s="6"/>
      <c r="W239" s="6">
        <f t="shared" si="60"/>
        <v>0</v>
      </c>
      <c r="X239" s="6"/>
      <c r="Y239" s="6" t="s">
        <v>272</v>
      </c>
      <c r="Z239" s="18"/>
      <c r="AA239" s="6" t="s">
        <v>41</v>
      </c>
      <c r="AB239" s="6"/>
      <c r="AC239" s="6"/>
      <c r="AD239" s="6"/>
      <c r="AE239" s="6"/>
      <c r="AF239" s="6"/>
      <c r="AG239" s="6"/>
      <c r="AH239" s="6"/>
      <c r="AI239" s="8">
        <f t="shared" si="53"/>
        <v>0</v>
      </c>
      <c r="AJ239" s="8"/>
      <c r="AK239" s="6"/>
      <c r="AL239" s="6"/>
      <c r="AM239" s="6"/>
      <c r="AN239" s="6"/>
      <c r="AO239" s="6"/>
      <c r="AP239" s="6"/>
      <c r="AQ239" s="6"/>
      <c r="AR239" s="6"/>
      <c r="AS239" s="8">
        <f t="shared" si="61"/>
        <v>0</v>
      </c>
      <c r="AT239" s="8"/>
      <c r="AU239" s="6">
        <v>0</v>
      </c>
      <c r="AV239" s="6"/>
      <c r="AW239" s="6">
        <v>0</v>
      </c>
      <c r="AX239" s="6"/>
      <c r="AY239" s="6">
        <f t="shared" si="55"/>
        <v>0</v>
      </c>
      <c r="AZ239" s="6"/>
      <c r="BA239" s="6" t="s">
        <v>272</v>
      </c>
      <c r="BB239" s="18"/>
      <c r="BC239" s="6" t="s">
        <v>41</v>
      </c>
      <c r="BD239" s="6"/>
      <c r="BE239" s="6"/>
      <c r="BF239" s="6"/>
      <c r="BG239" s="6"/>
      <c r="BH239" s="6"/>
      <c r="BI239" s="6"/>
      <c r="BJ239" s="6"/>
      <c r="BK239" s="6"/>
      <c r="BL239" s="6"/>
      <c r="BM239" s="6">
        <f t="shared" si="56"/>
        <v>0</v>
      </c>
      <c r="BN239" s="17" t="s">
        <v>345</v>
      </c>
    </row>
    <row r="240" spans="1:66" hidden="1" x14ac:dyDescent="0.2">
      <c r="A240" s="6" t="s">
        <v>273</v>
      </c>
      <c r="C240" s="6" t="s">
        <v>90</v>
      </c>
      <c r="D240" s="6"/>
      <c r="E240" s="6">
        <v>0</v>
      </c>
      <c r="F240" s="6"/>
      <c r="G240" s="6"/>
      <c r="H240" s="6"/>
      <c r="I240" s="6">
        <f t="shared" si="57"/>
        <v>0</v>
      </c>
      <c r="J240" s="6"/>
      <c r="K240" s="6">
        <v>0</v>
      </c>
      <c r="L240" s="6"/>
      <c r="M240" s="6"/>
      <c r="N240" s="6"/>
      <c r="O240" s="6">
        <f t="shared" si="58"/>
        <v>0</v>
      </c>
      <c r="P240" s="6"/>
      <c r="Q240" s="6"/>
      <c r="R240" s="6"/>
      <c r="S240" s="6"/>
      <c r="T240" s="6"/>
      <c r="U240" s="6"/>
      <c r="V240" s="6"/>
      <c r="W240" s="6">
        <f t="shared" si="60"/>
        <v>0</v>
      </c>
      <c r="X240" s="6"/>
      <c r="Y240" s="6" t="s">
        <v>273</v>
      </c>
      <c r="Z240" s="18"/>
      <c r="AA240" s="6" t="s">
        <v>90</v>
      </c>
      <c r="AB240" s="6"/>
      <c r="AC240" s="6"/>
      <c r="AD240" s="6"/>
      <c r="AE240" s="6"/>
      <c r="AF240" s="6"/>
      <c r="AG240" s="6"/>
      <c r="AH240" s="6"/>
      <c r="AI240" s="8">
        <f t="shared" si="53"/>
        <v>0</v>
      </c>
      <c r="AJ240" s="8"/>
      <c r="AK240" s="6"/>
      <c r="AL240" s="6"/>
      <c r="AM240" s="6"/>
      <c r="AN240" s="6"/>
      <c r="AO240" s="6"/>
      <c r="AP240" s="6"/>
      <c r="AQ240" s="6"/>
      <c r="AR240" s="6"/>
      <c r="AS240" s="8">
        <f t="shared" si="61"/>
        <v>0</v>
      </c>
      <c r="AT240" s="8"/>
      <c r="AU240" s="6">
        <v>0</v>
      </c>
      <c r="AV240" s="6"/>
      <c r="AW240" s="6">
        <v>0</v>
      </c>
      <c r="AX240" s="6"/>
      <c r="AY240" s="6">
        <f t="shared" si="55"/>
        <v>0</v>
      </c>
      <c r="AZ240" s="6"/>
      <c r="BA240" s="6" t="s">
        <v>273</v>
      </c>
      <c r="BB240" s="18"/>
      <c r="BC240" s="6" t="s">
        <v>90</v>
      </c>
      <c r="BD240" s="6"/>
      <c r="BE240" s="6"/>
      <c r="BF240" s="6"/>
      <c r="BG240" s="6"/>
      <c r="BH240" s="6"/>
      <c r="BI240" s="6"/>
      <c r="BJ240" s="6"/>
      <c r="BK240" s="6"/>
      <c r="BL240" s="6"/>
      <c r="BM240" s="6">
        <f t="shared" si="56"/>
        <v>0</v>
      </c>
      <c r="BN240" s="17" t="s">
        <v>345</v>
      </c>
    </row>
    <row r="241" spans="1:67" hidden="1" x14ac:dyDescent="0.2">
      <c r="A241" s="6" t="s">
        <v>274</v>
      </c>
      <c r="C241" s="6" t="s">
        <v>36</v>
      </c>
      <c r="D241" s="6"/>
      <c r="E241" s="6">
        <v>0</v>
      </c>
      <c r="F241" s="6"/>
      <c r="G241" s="6"/>
      <c r="H241" s="6"/>
      <c r="I241" s="6">
        <f t="shared" si="57"/>
        <v>0</v>
      </c>
      <c r="J241" s="6"/>
      <c r="K241" s="6">
        <v>0</v>
      </c>
      <c r="L241" s="6"/>
      <c r="M241" s="6"/>
      <c r="N241" s="6"/>
      <c r="O241" s="6">
        <f t="shared" si="58"/>
        <v>0</v>
      </c>
      <c r="P241" s="6"/>
      <c r="Q241" s="6"/>
      <c r="R241" s="6"/>
      <c r="S241" s="6"/>
      <c r="T241" s="6"/>
      <c r="U241" s="6"/>
      <c r="V241" s="6"/>
      <c r="W241" s="6">
        <f t="shared" si="60"/>
        <v>0</v>
      </c>
      <c r="X241" s="6"/>
      <c r="Y241" s="6" t="s">
        <v>274</v>
      </c>
      <c r="Z241" s="18"/>
      <c r="AA241" s="6" t="s">
        <v>36</v>
      </c>
      <c r="AB241" s="6"/>
      <c r="AC241" s="6"/>
      <c r="AD241" s="6"/>
      <c r="AE241" s="6"/>
      <c r="AF241" s="6"/>
      <c r="AG241" s="6"/>
      <c r="AH241" s="6"/>
      <c r="AI241" s="8">
        <f t="shared" si="53"/>
        <v>0</v>
      </c>
      <c r="AJ241" s="8"/>
      <c r="AK241" s="6"/>
      <c r="AL241" s="6"/>
      <c r="AM241" s="6"/>
      <c r="AN241" s="6"/>
      <c r="AO241" s="6"/>
      <c r="AP241" s="6"/>
      <c r="AQ241" s="6"/>
      <c r="AR241" s="6"/>
      <c r="AS241" s="8">
        <f t="shared" si="61"/>
        <v>0</v>
      </c>
      <c r="AT241" s="8"/>
      <c r="AU241" s="6">
        <v>0</v>
      </c>
      <c r="AV241" s="6"/>
      <c r="AW241" s="6">
        <v>0</v>
      </c>
      <c r="AX241" s="6"/>
      <c r="AY241" s="6">
        <f t="shared" si="55"/>
        <v>0</v>
      </c>
      <c r="AZ241" s="6"/>
      <c r="BA241" s="6" t="s">
        <v>274</v>
      </c>
      <c r="BB241" s="18"/>
      <c r="BC241" s="6" t="s">
        <v>36</v>
      </c>
      <c r="BD241" s="6"/>
      <c r="BE241" s="6"/>
      <c r="BF241" s="6"/>
      <c r="BG241" s="6"/>
      <c r="BH241" s="6"/>
      <c r="BI241" s="6"/>
      <c r="BJ241" s="6"/>
      <c r="BK241" s="6"/>
      <c r="BL241" s="6"/>
      <c r="BM241" s="6">
        <f t="shared" si="56"/>
        <v>0</v>
      </c>
      <c r="BN241" s="17" t="s">
        <v>345</v>
      </c>
      <c r="BO241" s="6" t="s">
        <v>364</v>
      </c>
    </row>
    <row r="242" spans="1:67" hidden="1" x14ac:dyDescent="0.2">
      <c r="A242" s="6" t="s">
        <v>275</v>
      </c>
      <c r="C242" s="6" t="s">
        <v>90</v>
      </c>
      <c r="D242" s="6"/>
      <c r="E242" s="6">
        <v>0</v>
      </c>
      <c r="F242" s="6"/>
      <c r="G242" s="6"/>
      <c r="H242" s="6"/>
      <c r="I242" s="6">
        <f t="shared" si="57"/>
        <v>0</v>
      </c>
      <c r="J242" s="6"/>
      <c r="K242" s="6">
        <v>0</v>
      </c>
      <c r="L242" s="6"/>
      <c r="M242" s="6"/>
      <c r="N242" s="6"/>
      <c r="O242" s="6">
        <f t="shared" si="58"/>
        <v>0</v>
      </c>
      <c r="P242" s="6"/>
      <c r="Q242" s="6"/>
      <c r="R242" s="6"/>
      <c r="S242" s="6"/>
      <c r="T242" s="6"/>
      <c r="U242" s="6"/>
      <c r="V242" s="6"/>
      <c r="W242" s="6">
        <f t="shared" si="60"/>
        <v>0</v>
      </c>
      <c r="X242" s="6"/>
      <c r="Y242" s="6" t="s">
        <v>275</v>
      </c>
      <c r="Z242" s="18"/>
      <c r="AA242" s="6" t="s">
        <v>90</v>
      </c>
      <c r="AB242" s="6"/>
      <c r="AC242" s="6"/>
      <c r="AD242" s="6"/>
      <c r="AE242" s="6"/>
      <c r="AF242" s="6"/>
      <c r="AG242" s="6"/>
      <c r="AH242" s="6"/>
      <c r="AI242" s="8">
        <f t="shared" si="53"/>
        <v>0</v>
      </c>
      <c r="AJ242" s="8"/>
      <c r="AK242" s="6"/>
      <c r="AL242" s="6"/>
      <c r="AM242" s="6"/>
      <c r="AN242" s="6"/>
      <c r="AO242" s="6"/>
      <c r="AP242" s="6"/>
      <c r="AQ242" s="6"/>
      <c r="AR242" s="6"/>
      <c r="AS242" s="8">
        <f t="shared" si="61"/>
        <v>0</v>
      </c>
      <c r="AT242" s="8"/>
      <c r="AU242" s="6">
        <v>0</v>
      </c>
      <c r="AV242" s="6"/>
      <c r="AW242" s="6">
        <v>0</v>
      </c>
      <c r="AX242" s="6"/>
      <c r="AY242" s="6">
        <f t="shared" si="55"/>
        <v>0</v>
      </c>
      <c r="AZ242" s="6"/>
      <c r="BA242" s="6" t="s">
        <v>275</v>
      </c>
      <c r="BB242" s="18"/>
      <c r="BC242" s="6" t="s">
        <v>90</v>
      </c>
      <c r="BD242" s="6"/>
      <c r="BE242" s="6"/>
      <c r="BF242" s="6"/>
      <c r="BG242" s="6"/>
      <c r="BH242" s="6"/>
      <c r="BI242" s="6"/>
      <c r="BJ242" s="6"/>
      <c r="BK242" s="6"/>
      <c r="BL242" s="6"/>
      <c r="BM242" s="6">
        <f t="shared" si="56"/>
        <v>0</v>
      </c>
      <c r="BN242" s="17" t="s">
        <v>345</v>
      </c>
    </row>
    <row r="243" spans="1:67" hidden="1" x14ac:dyDescent="0.2">
      <c r="A243" s="6" t="s">
        <v>276</v>
      </c>
      <c r="C243" s="6" t="s">
        <v>90</v>
      </c>
      <c r="D243" s="6"/>
      <c r="E243" s="6">
        <v>0</v>
      </c>
      <c r="F243" s="6"/>
      <c r="G243" s="6"/>
      <c r="H243" s="6"/>
      <c r="I243" s="6">
        <f t="shared" si="57"/>
        <v>0</v>
      </c>
      <c r="J243" s="6"/>
      <c r="K243" s="6">
        <v>0</v>
      </c>
      <c r="L243" s="6"/>
      <c r="M243" s="6"/>
      <c r="N243" s="6"/>
      <c r="O243" s="6">
        <f t="shared" si="58"/>
        <v>0</v>
      </c>
      <c r="P243" s="6"/>
      <c r="Q243" s="6"/>
      <c r="R243" s="6"/>
      <c r="S243" s="6"/>
      <c r="T243" s="6"/>
      <c r="U243" s="6"/>
      <c r="V243" s="6"/>
      <c r="W243" s="6">
        <f t="shared" si="60"/>
        <v>0</v>
      </c>
      <c r="X243" s="6"/>
      <c r="Y243" s="6" t="s">
        <v>276</v>
      </c>
      <c r="Z243" s="18"/>
      <c r="AA243" s="6" t="s">
        <v>90</v>
      </c>
      <c r="AB243" s="6"/>
      <c r="AC243" s="6"/>
      <c r="AD243" s="6"/>
      <c r="AE243" s="6"/>
      <c r="AF243" s="6"/>
      <c r="AG243" s="6"/>
      <c r="AH243" s="6"/>
      <c r="AI243" s="8">
        <f t="shared" si="53"/>
        <v>0</v>
      </c>
      <c r="AJ243" s="8"/>
      <c r="AK243" s="6"/>
      <c r="AL243" s="6"/>
      <c r="AM243" s="6"/>
      <c r="AN243" s="6"/>
      <c r="AO243" s="6"/>
      <c r="AP243" s="6"/>
      <c r="AQ243" s="6"/>
      <c r="AR243" s="6"/>
      <c r="AS243" s="8">
        <f t="shared" si="61"/>
        <v>0</v>
      </c>
      <c r="AT243" s="8"/>
      <c r="AU243" s="6">
        <v>0</v>
      </c>
      <c r="AV243" s="6"/>
      <c r="AW243" s="6">
        <v>0</v>
      </c>
      <c r="AX243" s="6"/>
      <c r="AY243" s="6">
        <f t="shared" si="55"/>
        <v>0</v>
      </c>
      <c r="AZ243" s="6"/>
      <c r="BA243" s="6" t="s">
        <v>276</v>
      </c>
      <c r="BB243" s="18"/>
      <c r="BC243" s="6" t="s">
        <v>90</v>
      </c>
      <c r="BD243" s="6"/>
      <c r="BE243" s="6"/>
      <c r="BF243" s="6"/>
      <c r="BG243" s="6"/>
      <c r="BH243" s="6"/>
      <c r="BI243" s="6"/>
      <c r="BJ243" s="6"/>
      <c r="BK243" s="6"/>
      <c r="BL243" s="6"/>
      <c r="BM243" s="6">
        <f t="shared" si="56"/>
        <v>0</v>
      </c>
      <c r="BN243" s="17" t="s">
        <v>345</v>
      </c>
    </row>
    <row r="244" spans="1:67" hidden="1" x14ac:dyDescent="0.2">
      <c r="A244" s="6" t="s">
        <v>277</v>
      </c>
      <c r="C244" s="6" t="s">
        <v>90</v>
      </c>
      <c r="D244" s="6"/>
      <c r="E244" s="6">
        <v>0</v>
      </c>
      <c r="F244" s="6"/>
      <c r="G244" s="6"/>
      <c r="H244" s="6"/>
      <c r="I244" s="6">
        <f t="shared" si="57"/>
        <v>0</v>
      </c>
      <c r="J244" s="6"/>
      <c r="K244" s="6">
        <v>0</v>
      </c>
      <c r="L244" s="6"/>
      <c r="M244" s="6"/>
      <c r="N244" s="6"/>
      <c r="O244" s="6">
        <f t="shared" si="58"/>
        <v>0</v>
      </c>
      <c r="P244" s="6"/>
      <c r="Q244" s="6"/>
      <c r="R244" s="6"/>
      <c r="S244" s="6"/>
      <c r="T244" s="6"/>
      <c r="U244" s="6"/>
      <c r="V244" s="6"/>
      <c r="W244" s="6">
        <f t="shared" si="60"/>
        <v>0</v>
      </c>
      <c r="X244" s="6"/>
      <c r="Y244" s="6" t="s">
        <v>277</v>
      </c>
      <c r="Z244" s="18"/>
      <c r="AA244" s="6" t="s">
        <v>90</v>
      </c>
      <c r="AB244" s="6"/>
      <c r="AC244" s="6"/>
      <c r="AD244" s="6"/>
      <c r="AE244" s="6"/>
      <c r="AF244" s="6"/>
      <c r="AG244" s="6"/>
      <c r="AH244" s="6"/>
      <c r="AI244" s="8">
        <f t="shared" si="53"/>
        <v>0</v>
      </c>
      <c r="AJ244" s="8"/>
      <c r="AK244" s="6"/>
      <c r="AL244" s="6"/>
      <c r="AM244" s="6"/>
      <c r="AN244" s="6"/>
      <c r="AO244" s="6"/>
      <c r="AP244" s="6"/>
      <c r="AQ244" s="6"/>
      <c r="AR244" s="6"/>
      <c r="AS244" s="8">
        <f t="shared" si="61"/>
        <v>0</v>
      </c>
      <c r="AT244" s="8"/>
      <c r="AU244" s="6">
        <v>0</v>
      </c>
      <c r="AV244" s="6"/>
      <c r="AW244" s="6">
        <v>0</v>
      </c>
      <c r="AX244" s="6"/>
      <c r="AY244" s="6">
        <f t="shared" si="55"/>
        <v>0</v>
      </c>
      <c r="AZ244" s="6"/>
      <c r="BA244" s="6" t="s">
        <v>277</v>
      </c>
      <c r="BB244" s="18"/>
      <c r="BC244" s="6" t="s">
        <v>90</v>
      </c>
      <c r="BD244" s="6"/>
      <c r="BE244" s="6"/>
      <c r="BF244" s="6"/>
      <c r="BG244" s="6"/>
      <c r="BH244" s="6"/>
      <c r="BI244" s="6"/>
      <c r="BJ244" s="6"/>
      <c r="BK244" s="6"/>
      <c r="BL244" s="6"/>
      <c r="BM244" s="6">
        <f t="shared" si="56"/>
        <v>0</v>
      </c>
      <c r="BN244" s="17" t="s">
        <v>345</v>
      </c>
      <c r="BO244" s="18" t="s">
        <v>365</v>
      </c>
    </row>
    <row r="245" spans="1:67" x14ac:dyDescent="0.2">
      <c r="A245" s="6" t="s">
        <v>278</v>
      </c>
      <c r="C245" s="6" t="s">
        <v>279</v>
      </c>
      <c r="D245" s="6"/>
      <c r="E245" s="6">
        <v>861952</v>
      </c>
      <c r="F245" s="6"/>
      <c r="G245" s="6">
        <v>1861414</v>
      </c>
      <c r="H245" s="6"/>
      <c r="I245" s="6">
        <f t="shared" si="57"/>
        <v>2723366</v>
      </c>
      <c r="J245" s="6"/>
      <c r="K245" s="6">
        <v>568934</v>
      </c>
      <c r="L245" s="6"/>
      <c r="M245" s="6">
        <v>3791016</v>
      </c>
      <c r="N245" s="6"/>
      <c r="O245" s="6">
        <f t="shared" si="58"/>
        <v>4359950</v>
      </c>
      <c r="P245" s="6"/>
      <c r="Q245" s="6">
        <v>1815830</v>
      </c>
      <c r="R245" s="6"/>
      <c r="S245" s="6">
        <v>0</v>
      </c>
      <c r="T245" s="6"/>
      <c r="U245" s="6">
        <v>-3452414</v>
      </c>
      <c r="V245" s="6"/>
      <c r="W245" s="6">
        <f t="shared" si="60"/>
        <v>-1636584</v>
      </c>
      <c r="X245" s="6"/>
      <c r="Y245" s="6" t="s">
        <v>278</v>
      </c>
      <c r="Z245" s="18"/>
      <c r="AA245" s="6" t="s">
        <v>279</v>
      </c>
      <c r="AB245" s="6"/>
      <c r="AC245" s="6">
        <v>2133604</v>
      </c>
      <c r="AD245" s="6"/>
      <c r="AE245" s="6">
        <f>2448564-373089</f>
        <v>2075475</v>
      </c>
      <c r="AF245" s="6"/>
      <c r="AG245" s="6">
        <v>373089</v>
      </c>
      <c r="AH245" s="6"/>
      <c r="AI245" s="8">
        <f t="shared" si="53"/>
        <v>-314960</v>
      </c>
      <c r="AJ245" s="8"/>
      <c r="AK245" s="6">
        <v>6194</v>
      </c>
      <c r="AL245" s="6"/>
      <c r="AM245" s="6">
        <v>0</v>
      </c>
      <c r="AN245" s="6"/>
      <c r="AO245" s="6">
        <v>0</v>
      </c>
      <c r="AP245" s="6"/>
      <c r="AQ245" s="6">
        <v>0</v>
      </c>
      <c r="AR245" s="6"/>
      <c r="AS245" s="8">
        <f t="shared" si="61"/>
        <v>-308766</v>
      </c>
      <c r="AT245" s="8"/>
      <c r="AU245" s="6">
        <v>0</v>
      </c>
      <c r="AV245" s="6"/>
      <c r="AW245" s="6">
        <v>0</v>
      </c>
      <c r="AX245" s="6"/>
      <c r="AY245" s="6">
        <f t="shared" si="55"/>
        <v>293018</v>
      </c>
      <c r="AZ245" s="6"/>
      <c r="BA245" s="6" t="s">
        <v>278</v>
      </c>
      <c r="BB245" s="18"/>
      <c r="BC245" s="6" t="s">
        <v>279</v>
      </c>
      <c r="BD245" s="6"/>
      <c r="BE245" s="6">
        <v>0</v>
      </c>
      <c r="BF245" s="6"/>
      <c r="BG245" s="6">
        <v>0</v>
      </c>
      <c r="BH245" s="6"/>
      <c r="BI245" s="6">
        <v>0</v>
      </c>
      <c r="BJ245" s="6"/>
      <c r="BK245" s="6">
        <f>40529+3750487+34794</f>
        <v>3825810</v>
      </c>
      <c r="BL245" s="6"/>
      <c r="BM245" s="6">
        <f t="shared" si="56"/>
        <v>3825810</v>
      </c>
      <c r="BN245" s="17" t="s">
        <v>345</v>
      </c>
      <c r="BO245" s="18" t="s">
        <v>365</v>
      </c>
    </row>
    <row r="246" spans="1:67" x14ac:dyDescent="0.2">
      <c r="A246" s="6" t="s">
        <v>280</v>
      </c>
      <c r="C246" s="6" t="s">
        <v>197</v>
      </c>
      <c r="D246" s="6"/>
      <c r="E246" s="6">
        <v>914032</v>
      </c>
      <c r="F246" s="6"/>
      <c r="G246" s="6">
        <v>0</v>
      </c>
      <c r="H246" s="6"/>
      <c r="I246" s="6">
        <f t="shared" si="57"/>
        <v>914032</v>
      </c>
      <c r="J246" s="6"/>
      <c r="K246" s="6">
        <v>222874</v>
      </c>
      <c r="L246" s="6"/>
      <c r="M246" s="6">
        <v>0</v>
      </c>
      <c r="N246" s="6"/>
      <c r="O246" s="6">
        <f t="shared" si="58"/>
        <v>222874</v>
      </c>
      <c r="P246" s="6"/>
      <c r="Q246" s="6">
        <v>0</v>
      </c>
      <c r="R246" s="6"/>
      <c r="S246" s="6">
        <v>0</v>
      </c>
      <c r="T246" s="6"/>
      <c r="U246" s="6">
        <v>691158</v>
      </c>
      <c r="V246" s="6"/>
      <c r="W246" s="6">
        <f t="shared" si="60"/>
        <v>691158</v>
      </c>
      <c r="X246" s="6"/>
      <c r="Y246" s="6" t="s">
        <v>280</v>
      </c>
      <c r="Z246" s="18"/>
      <c r="AA246" s="6" t="s">
        <v>197</v>
      </c>
      <c r="AB246" s="6"/>
      <c r="AC246" s="6">
        <v>1457915</v>
      </c>
      <c r="AD246" s="6"/>
      <c r="AE246" s="6">
        <v>1424297</v>
      </c>
      <c r="AF246" s="6"/>
      <c r="AG246" s="6">
        <v>0</v>
      </c>
      <c r="AH246" s="6"/>
      <c r="AI246" s="8">
        <f t="shared" si="53"/>
        <v>33618</v>
      </c>
      <c r="AJ246" s="8"/>
      <c r="AK246" s="6">
        <v>76693</v>
      </c>
      <c r="AL246" s="6"/>
      <c r="AM246" s="6">
        <v>0</v>
      </c>
      <c r="AN246" s="6"/>
      <c r="AO246" s="6">
        <v>0</v>
      </c>
      <c r="AP246" s="6"/>
      <c r="AQ246" s="6">
        <v>0</v>
      </c>
      <c r="AR246" s="6"/>
      <c r="AS246" s="8">
        <f t="shared" si="61"/>
        <v>110311</v>
      </c>
      <c r="AT246" s="8"/>
      <c r="AU246" s="6">
        <v>0</v>
      </c>
      <c r="AV246" s="6"/>
      <c r="AW246" s="6">
        <v>0</v>
      </c>
      <c r="AX246" s="6"/>
      <c r="AY246" s="6">
        <f t="shared" si="55"/>
        <v>691158</v>
      </c>
      <c r="AZ246" s="6"/>
      <c r="BA246" s="6" t="s">
        <v>280</v>
      </c>
      <c r="BB246" s="18"/>
      <c r="BC246" s="6" t="s">
        <v>197</v>
      </c>
      <c r="BD246" s="6"/>
      <c r="BE246" s="6">
        <v>0</v>
      </c>
      <c r="BF246" s="6"/>
      <c r="BG246" s="6">
        <v>0</v>
      </c>
      <c r="BH246" s="6"/>
      <c r="BI246" s="6">
        <v>0</v>
      </c>
      <c r="BJ246" s="6"/>
      <c r="BK246" s="6">
        <v>0</v>
      </c>
      <c r="BL246" s="6"/>
      <c r="BM246" s="6">
        <f t="shared" si="56"/>
        <v>0</v>
      </c>
      <c r="BN246" s="17" t="s">
        <v>345</v>
      </c>
    </row>
    <row r="247" spans="1:67" hidden="1" x14ac:dyDescent="0.2">
      <c r="A247" s="6" t="s">
        <v>281</v>
      </c>
      <c r="C247" s="6" t="s">
        <v>41</v>
      </c>
      <c r="D247" s="6"/>
      <c r="E247" s="6">
        <v>0</v>
      </c>
      <c r="F247" s="6"/>
      <c r="G247" s="6"/>
      <c r="H247" s="6"/>
      <c r="I247" s="6">
        <f t="shared" si="57"/>
        <v>0</v>
      </c>
      <c r="J247" s="6"/>
      <c r="K247" s="6">
        <v>0</v>
      </c>
      <c r="L247" s="6"/>
      <c r="M247" s="6"/>
      <c r="N247" s="6"/>
      <c r="O247" s="6">
        <f t="shared" si="58"/>
        <v>0</v>
      </c>
      <c r="P247" s="6"/>
      <c r="Q247" s="6"/>
      <c r="R247" s="6"/>
      <c r="S247" s="6"/>
      <c r="T247" s="6"/>
      <c r="U247" s="6"/>
      <c r="V247" s="6"/>
      <c r="W247" s="6">
        <f t="shared" si="60"/>
        <v>0</v>
      </c>
      <c r="X247" s="6"/>
      <c r="Y247" s="6" t="s">
        <v>281</v>
      </c>
      <c r="Z247" s="18"/>
      <c r="AA247" s="6" t="s">
        <v>41</v>
      </c>
      <c r="AB247" s="6"/>
      <c r="AC247" s="6"/>
      <c r="AD247" s="6"/>
      <c r="AE247" s="6"/>
      <c r="AF247" s="6"/>
      <c r="AG247" s="6"/>
      <c r="AH247" s="6"/>
      <c r="AI247" s="8">
        <f t="shared" si="53"/>
        <v>0</v>
      </c>
      <c r="AJ247" s="8"/>
      <c r="AK247" s="6"/>
      <c r="AL247" s="6"/>
      <c r="AM247" s="6"/>
      <c r="AN247" s="6"/>
      <c r="AO247" s="6"/>
      <c r="AP247" s="6"/>
      <c r="AQ247" s="6"/>
      <c r="AR247" s="6"/>
      <c r="AS247" s="8">
        <f t="shared" si="61"/>
        <v>0</v>
      </c>
      <c r="AT247" s="8"/>
      <c r="AU247" s="6">
        <v>0</v>
      </c>
      <c r="AV247" s="6"/>
      <c r="AW247" s="6">
        <v>0</v>
      </c>
      <c r="AX247" s="6"/>
      <c r="AY247" s="6">
        <f t="shared" si="55"/>
        <v>0</v>
      </c>
      <c r="AZ247" s="6"/>
      <c r="BA247" s="6" t="s">
        <v>281</v>
      </c>
      <c r="BB247" s="18"/>
      <c r="BC247" s="6" t="s">
        <v>41</v>
      </c>
      <c r="BD247" s="6"/>
      <c r="BE247" s="6"/>
      <c r="BF247" s="6"/>
      <c r="BG247" s="6"/>
      <c r="BH247" s="6"/>
      <c r="BI247" s="6"/>
      <c r="BJ247" s="6"/>
      <c r="BK247" s="6"/>
      <c r="BL247" s="6"/>
      <c r="BM247" s="6">
        <f t="shared" si="56"/>
        <v>0</v>
      </c>
      <c r="BN247" s="17" t="s">
        <v>345</v>
      </c>
      <c r="BO247" s="18" t="s">
        <v>365</v>
      </c>
    </row>
    <row r="248" spans="1:67" hidden="1" x14ac:dyDescent="0.2">
      <c r="A248" s="6" t="s">
        <v>282</v>
      </c>
      <c r="C248" s="6" t="s">
        <v>43</v>
      </c>
      <c r="D248" s="6"/>
      <c r="E248" s="6">
        <v>0</v>
      </c>
      <c r="F248" s="6"/>
      <c r="G248" s="6"/>
      <c r="H248" s="6"/>
      <c r="I248" s="6">
        <f t="shared" si="57"/>
        <v>0</v>
      </c>
      <c r="J248" s="6"/>
      <c r="K248" s="6">
        <v>0</v>
      </c>
      <c r="L248" s="6"/>
      <c r="M248" s="6"/>
      <c r="N248" s="6"/>
      <c r="O248" s="6">
        <f t="shared" si="58"/>
        <v>0</v>
      </c>
      <c r="P248" s="6"/>
      <c r="Q248" s="6"/>
      <c r="R248" s="6"/>
      <c r="S248" s="6"/>
      <c r="T248" s="6"/>
      <c r="U248" s="6"/>
      <c r="V248" s="6"/>
      <c r="W248" s="6">
        <f t="shared" si="60"/>
        <v>0</v>
      </c>
      <c r="X248" s="6"/>
      <c r="Y248" s="6" t="s">
        <v>282</v>
      </c>
      <c r="Z248" s="18"/>
      <c r="AA248" s="6" t="s">
        <v>43</v>
      </c>
      <c r="AB248" s="6"/>
      <c r="AC248" s="6"/>
      <c r="AD248" s="6"/>
      <c r="AE248" s="6"/>
      <c r="AF248" s="6"/>
      <c r="AG248" s="6"/>
      <c r="AH248" s="6"/>
      <c r="AI248" s="8">
        <f t="shared" si="53"/>
        <v>0</v>
      </c>
      <c r="AJ248" s="8"/>
      <c r="AK248" s="6"/>
      <c r="AL248" s="6"/>
      <c r="AM248" s="6"/>
      <c r="AN248" s="6"/>
      <c r="AO248" s="6"/>
      <c r="AP248" s="6"/>
      <c r="AQ248" s="6"/>
      <c r="AR248" s="6"/>
      <c r="AS248" s="8">
        <f t="shared" si="61"/>
        <v>0</v>
      </c>
      <c r="AT248" s="8"/>
      <c r="AU248" s="6">
        <v>0</v>
      </c>
      <c r="AV248" s="6"/>
      <c r="AW248" s="6">
        <v>0</v>
      </c>
      <c r="AX248" s="6"/>
      <c r="AY248" s="6">
        <f t="shared" si="55"/>
        <v>0</v>
      </c>
      <c r="AZ248" s="6"/>
      <c r="BA248" s="6" t="s">
        <v>282</v>
      </c>
      <c r="BB248" s="18"/>
      <c r="BC248" s="6" t="s">
        <v>43</v>
      </c>
      <c r="BD248" s="6"/>
      <c r="BE248" s="6"/>
      <c r="BF248" s="6"/>
      <c r="BG248" s="6"/>
      <c r="BH248" s="6"/>
      <c r="BI248" s="6"/>
      <c r="BJ248" s="6"/>
      <c r="BK248" s="6"/>
      <c r="BL248" s="6"/>
      <c r="BM248" s="6">
        <f t="shared" si="56"/>
        <v>0</v>
      </c>
      <c r="BN248" s="17" t="s">
        <v>345</v>
      </c>
    </row>
    <row r="249" spans="1:67" x14ac:dyDescent="0.2">
      <c r="A249" s="6" t="s">
        <v>283</v>
      </c>
      <c r="C249" s="6" t="s">
        <v>28</v>
      </c>
      <c r="D249" s="6"/>
      <c r="E249" s="6">
        <v>2171255</v>
      </c>
      <c r="F249" s="6"/>
      <c r="G249" s="6">
        <v>426113</v>
      </c>
      <c r="H249" s="6"/>
      <c r="I249" s="6">
        <f t="shared" si="57"/>
        <v>2597368</v>
      </c>
      <c r="J249" s="6"/>
      <c r="K249" s="6">
        <v>280168</v>
      </c>
      <c r="L249" s="6"/>
      <c r="M249" s="6">
        <v>923527</v>
      </c>
      <c r="N249" s="6"/>
      <c r="O249" s="6">
        <f t="shared" si="58"/>
        <v>1203695</v>
      </c>
      <c r="P249" s="6"/>
      <c r="Q249" s="6">
        <v>421034</v>
      </c>
      <c r="R249" s="6"/>
      <c r="S249" s="6">
        <v>0</v>
      </c>
      <c r="T249" s="6"/>
      <c r="U249" s="6">
        <v>972639</v>
      </c>
      <c r="V249" s="6"/>
      <c r="W249" s="6">
        <f t="shared" ref="W249" si="62">SUM(Q249:U249)</f>
        <v>1393673</v>
      </c>
      <c r="X249" s="6"/>
      <c r="Y249" s="6" t="s">
        <v>283</v>
      </c>
      <c r="Z249" s="18"/>
      <c r="AA249" s="6" t="s">
        <v>28</v>
      </c>
      <c r="AB249" s="6"/>
      <c r="AC249" s="6">
        <v>1841498</v>
      </c>
      <c r="AD249" s="6"/>
      <c r="AE249" s="6">
        <f>1668610-6853</f>
        <v>1661757</v>
      </c>
      <c r="AF249" s="6"/>
      <c r="AG249" s="6">
        <v>6853</v>
      </c>
      <c r="AH249" s="6"/>
      <c r="AI249" s="8">
        <f t="shared" si="53"/>
        <v>172888</v>
      </c>
      <c r="AJ249" s="8"/>
      <c r="AK249" s="6">
        <f>141290-125</f>
        <v>141165</v>
      </c>
      <c r="AL249" s="6"/>
      <c r="AM249" s="6">
        <v>0</v>
      </c>
      <c r="AN249" s="6"/>
      <c r="AO249" s="6">
        <v>0</v>
      </c>
      <c r="AP249" s="6"/>
      <c r="AQ249" s="6">
        <v>0</v>
      </c>
      <c r="AR249" s="6"/>
      <c r="AS249" s="8">
        <f t="shared" si="61"/>
        <v>314053</v>
      </c>
      <c r="AT249" s="8"/>
      <c r="AU249" s="6">
        <v>0</v>
      </c>
      <c r="AV249" s="6"/>
      <c r="AW249" s="6">
        <v>0</v>
      </c>
      <c r="AX249" s="6"/>
      <c r="AY249" s="6">
        <f t="shared" si="55"/>
        <v>1891087</v>
      </c>
      <c r="AZ249" s="6"/>
      <c r="BA249" s="6" t="s">
        <v>283</v>
      </c>
      <c r="BB249" s="18"/>
      <c r="BC249" s="6" t="s">
        <v>28</v>
      </c>
      <c r="BD249" s="6"/>
      <c r="BE249" s="6">
        <f>4562+517</f>
        <v>5079</v>
      </c>
      <c r="BF249" s="6"/>
      <c r="BG249" s="6">
        <v>0</v>
      </c>
      <c r="BH249" s="6"/>
      <c r="BI249" s="6">
        <v>0</v>
      </c>
      <c r="BJ249" s="6"/>
      <c r="BK249" s="6">
        <f>33430+885535+14387+48900</f>
        <v>982252</v>
      </c>
      <c r="BL249" s="6"/>
      <c r="BM249" s="6">
        <f t="shared" ref="BM249" si="63">SUM(BE249:BK249)</f>
        <v>987331</v>
      </c>
      <c r="BN249" s="17" t="s">
        <v>345</v>
      </c>
    </row>
    <row r="250" spans="1:67" x14ac:dyDescent="0.2">
      <c r="A250" s="6" t="s">
        <v>285</v>
      </c>
      <c r="B250" s="20"/>
      <c r="C250" s="6" t="s">
        <v>286</v>
      </c>
      <c r="D250" s="6"/>
      <c r="E250" s="6">
        <v>886303</v>
      </c>
      <c r="F250" s="6"/>
      <c r="G250" s="6">
        <v>128888</v>
      </c>
      <c r="H250" s="6"/>
      <c r="I250" s="6">
        <f t="shared" si="57"/>
        <v>1015191</v>
      </c>
      <c r="J250" s="6"/>
      <c r="K250" s="6">
        <v>160170</v>
      </c>
      <c r="L250" s="6"/>
      <c r="M250" s="6">
        <v>19339</v>
      </c>
      <c r="N250" s="6"/>
      <c r="O250" s="6">
        <f t="shared" si="58"/>
        <v>179509</v>
      </c>
      <c r="P250" s="6"/>
      <c r="Q250" s="6">
        <v>128888</v>
      </c>
      <c r="R250" s="6"/>
      <c r="S250" s="6">
        <v>0</v>
      </c>
      <c r="T250" s="6"/>
      <c r="U250" s="6">
        <v>706794</v>
      </c>
      <c r="V250" s="6"/>
      <c r="W250" s="6">
        <f t="shared" si="60"/>
        <v>835682</v>
      </c>
      <c r="X250" s="6"/>
      <c r="Y250" s="6" t="s">
        <v>285</v>
      </c>
      <c r="Z250" s="20"/>
      <c r="AA250" s="6" t="s">
        <v>286</v>
      </c>
      <c r="AB250" s="6"/>
      <c r="AC250" s="6">
        <v>1620198</v>
      </c>
      <c r="AD250" s="6"/>
      <c r="AE250" s="6">
        <f>1437749-39624</f>
        <v>1398125</v>
      </c>
      <c r="AF250" s="6"/>
      <c r="AG250" s="6">
        <v>39624</v>
      </c>
      <c r="AH250" s="6"/>
      <c r="AI250" s="8">
        <f t="shared" si="53"/>
        <v>182449</v>
      </c>
      <c r="AJ250" s="8"/>
      <c r="AK250" s="6">
        <v>4638</v>
      </c>
      <c r="AL250" s="6"/>
      <c r="AM250" s="6">
        <v>0</v>
      </c>
      <c r="AN250" s="6"/>
      <c r="AO250" s="6">
        <v>0</v>
      </c>
      <c r="AP250" s="6"/>
      <c r="AQ250" s="6">
        <v>0</v>
      </c>
      <c r="AR250" s="6"/>
      <c r="AS250" s="8">
        <f t="shared" si="61"/>
        <v>187087</v>
      </c>
      <c r="AT250" s="8"/>
      <c r="AU250" s="6">
        <v>0</v>
      </c>
      <c r="AV250" s="6"/>
      <c r="AW250" s="6">
        <v>0</v>
      </c>
      <c r="AX250" s="6"/>
      <c r="AY250" s="6">
        <f t="shared" si="55"/>
        <v>726133</v>
      </c>
      <c r="AZ250" s="6"/>
      <c r="BA250" s="6" t="s">
        <v>285</v>
      </c>
      <c r="BB250" s="20"/>
      <c r="BC250" s="6" t="s">
        <v>286</v>
      </c>
      <c r="BD250" s="6"/>
      <c r="BE250" s="6">
        <v>0</v>
      </c>
      <c r="BF250" s="6"/>
      <c r="BG250" s="6">
        <v>0</v>
      </c>
      <c r="BH250" s="6"/>
      <c r="BI250" s="6">
        <v>0</v>
      </c>
      <c r="BJ250" s="6"/>
      <c r="BK250" s="6">
        <f>19339+69593</f>
        <v>88932</v>
      </c>
      <c r="BL250" s="6"/>
      <c r="BM250" s="6">
        <f>SUM(BE250:BK250)</f>
        <v>88932</v>
      </c>
      <c r="BN250" s="17" t="s">
        <v>345</v>
      </c>
    </row>
    <row r="251" spans="1:67" x14ac:dyDescent="0.2"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Z251" s="18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B251" s="18"/>
      <c r="BE251" s="6"/>
      <c r="BF251" s="6"/>
      <c r="BG251" s="6"/>
      <c r="BH251" s="6"/>
      <c r="BI251" s="6"/>
      <c r="BJ251" s="6"/>
      <c r="BK251" s="6"/>
      <c r="BL251" s="6"/>
      <c r="BM251" s="6"/>
      <c r="BN251" s="6"/>
    </row>
    <row r="252" spans="1:67" x14ac:dyDescent="0.2"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Z252" s="18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B252" s="18"/>
      <c r="BE252" s="6"/>
      <c r="BF252" s="6"/>
      <c r="BG252" s="6"/>
      <c r="BH252" s="6"/>
      <c r="BI252" s="6"/>
      <c r="BJ252" s="6"/>
      <c r="BK252" s="6"/>
      <c r="BL252" s="6"/>
      <c r="BM252" s="6"/>
      <c r="BN252" s="6"/>
    </row>
    <row r="253" spans="1:67" x14ac:dyDescent="0.2"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Z253" s="18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B253" s="18"/>
      <c r="BE253" s="6"/>
      <c r="BF253" s="6"/>
      <c r="BG253" s="6"/>
      <c r="BH253" s="6"/>
      <c r="BI253" s="6"/>
      <c r="BJ253" s="6"/>
      <c r="BK253" s="6"/>
      <c r="BL253" s="6"/>
      <c r="BM253" s="6"/>
      <c r="BN253" s="6"/>
    </row>
    <row r="254" spans="1:67" x14ac:dyDescent="0.2"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Z254" s="18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B254" s="18"/>
      <c r="BE254" s="6"/>
      <c r="BF254" s="6"/>
      <c r="BG254" s="6"/>
      <c r="BH254" s="6"/>
      <c r="BI254" s="6"/>
      <c r="BJ254" s="6"/>
      <c r="BK254" s="6"/>
      <c r="BL254" s="6"/>
      <c r="BM254" s="6"/>
      <c r="BN254" s="6"/>
    </row>
    <row r="255" spans="1:67" x14ac:dyDescent="0.2"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Z255" s="18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B255" s="18"/>
      <c r="BE255" s="6"/>
      <c r="BF255" s="6"/>
      <c r="BG255" s="6"/>
      <c r="BH255" s="6"/>
      <c r="BI255" s="6"/>
      <c r="BJ255" s="6"/>
      <c r="BK255" s="6"/>
      <c r="BL255" s="6"/>
      <c r="BM255" s="6"/>
      <c r="BN255" s="6"/>
    </row>
    <row r="256" spans="1:67" x14ac:dyDescent="0.2"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Z256" s="18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B256" s="18"/>
      <c r="BE256" s="6"/>
      <c r="BF256" s="6"/>
      <c r="BG256" s="6"/>
      <c r="BH256" s="6"/>
      <c r="BI256" s="6"/>
      <c r="BJ256" s="6"/>
      <c r="BK256" s="6"/>
      <c r="BL256" s="6"/>
      <c r="BM256" s="6"/>
      <c r="BN256" s="6"/>
    </row>
    <row r="257" spans="5:66" x14ac:dyDescent="0.2"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Z257" s="18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B257" s="18"/>
      <c r="BE257" s="6"/>
      <c r="BF257" s="6"/>
      <c r="BG257" s="6"/>
      <c r="BH257" s="6"/>
      <c r="BI257" s="6"/>
      <c r="BJ257" s="6"/>
      <c r="BK257" s="6"/>
      <c r="BL257" s="6"/>
      <c r="BM257" s="6"/>
      <c r="BN257" s="6"/>
    </row>
    <row r="258" spans="5:66" x14ac:dyDescent="0.2"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Z258" s="18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B258" s="18"/>
      <c r="BE258" s="6"/>
      <c r="BF258" s="6"/>
      <c r="BG258" s="6"/>
      <c r="BH258" s="6"/>
      <c r="BI258" s="6"/>
      <c r="BJ258" s="6"/>
      <c r="BK258" s="6"/>
      <c r="BL258" s="6"/>
      <c r="BM258" s="6"/>
      <c r="BN258" s="6"/>
    </row>
    <row r="259" spans="5:66" x14ac:dyDescent="0.2"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Z259" s="18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B259" s="18"/>
      <c r="BE259" s="6"/>
      <c r="BF259" s="6"/>
      <c r="BG259" s="6"/>
      <c r="BH259" s="6"/>
      <c r="BI259" s="6"/>
      <c r="BJ259" s="6"/>
      <c r="BK259" s="6"/>
      <c r="BL259" s="6"/>
      <c r="BM259" s="6"/>
      <c r="BN259" s="6"/>
    </row>
    <row r="260" spans="5:66" x14ac:dyDescent="0.2"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Z260" s="18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B260" s="18"/>
      <c r="BE260" s="6"/>
      <c r="BF260" s="6"/>
      <c r="BG260" s="6"/>
      <c r="BH260" s="6"/>
      <c r="BI260" s="6"/>
      <c r="BJ260" s="6"/>
      <c r="BK260" s="6"/>
      <c r="BL260" s="6"/>
      <c r="BM260" s="6"/>
      <c r="BN260" s="6"/>
    </row>
    <row r="261" spans="5:66" x14ac:dyDescent="0.2"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Z261" s="18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B261" s="18"/>
      <c r="BE261" s="6"/>
      <c r="BF261" s="6"/>
      <c r="BG261" s="6"/>
      <c r="BH261" s="6"/>
      <c r="BI261" s="6"/>
      <c r="BJ261" s="6"/>
      <c r="BK261" s="6"/>
      <c r="BL261" s="6"/>
      <c r="BM261" s="6"/>
      <c r="BN261" s="6"/>
    </row>
    <row r="262" spans="5:66" x14ac:dyDescent="0.2"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Z262" s="18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B262" s="18"/>
      <c r="BE262" s="6"/>
      <c r="BF262" s="6"/>
      <c r="BG262" s="6"/>
      <c r="BH262" s="6"/>
      <c r="BI262" s="6"/>
      <c r="BJ262" s="6"/>
      <c r="BK262" s="6"/>
      <c r="BL262" s="6"/>
      <c r="BM262" s="6"/>
      <c r="BN262" s="6"/>
    </row>
    <row r="263" spans="5:66" x14ac:dyDescent="0.2"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Z263" s="18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B263" s="18"/>
      <c r="BE263" s="6"/>
      <c r="BF263" s="6"/>
      <c r="BG263" s="6"/>
      <c r="BH263" s="6"/>
      <c r="BI263" s="6"/>
      <c r="BJ263" s="6"/>
      <c r="BK263" s="6"/>
      <c r="BL263" s="6"/>
      <c r="BM263" s="6"/>
      <c r="BN263" s="6"/>
    </row>
    <row r="264" spans="5:66" x14ac:dyDescent="0.2"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Z264" s="18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B264" s="18"/>
      <c r="BE264" s="6"/>
      <c r="BF264" s="6"/>
      <c r="BG264" s="6"/>
      <c r="BH264" s="6"/>
      <c r="BI264" s="6"/>
      <c r="BJ264" s="6"/>
      <c r="BK264" s="6"/>
      <c r="BL264" s="6"/>
      <c r="BM264" s="6"/>
      <c r="BN264" s="6"/>
    </row>
    <row r="265" spans="5:66" x14ac:dyDescent="0.2"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Z265" s="18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B265" s="18"/>
      <c r="BE265" s="6"/>
      <c r="BF265" s="6"/>
      <c r="BG265" s="6"/>
      <c r="BH265" s="6"/>
      <c r="BI265" s="6"/>
      <c r="BJ265" s="6"/>
      <c r="BK265" s="6"/>
      <c r="BL265" s="6"/>
      <c r="BM265" s="6"/>
      <c r="BN265" s="6"/>
    </row>
    <row r="266" spans="5:66" x14ac:dyDescent="0.2"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Z266" s="18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B266" s="18"/>
      <c r="BE266" s="6"/>
      <c r="BF266" s="6"/>
      <c r="BG266" s="6"/>
      <c r="BH266" s="6"/>
      <c r="BI266" s="6"/>
      <c r="BJ266" s="6"/>
      <c r="BK266" s="6"/>
      <c r="BL266" s="6"/>
      <c r="BM266" s="6"/>
      <c r="BN266" s="6"/>
    </row>
    <row r="267" spans="5:66" x14ac:dyDescent="0.2"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Z267" s="18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B267" s="18"/>
      <c r="BE267" s="6"/>
      <c r="BF267" s="6"/>
      <c r="BG267" s="6"/>
      <c r="BH267" s="6"/>
      <c r="BI267" s="6"/>
      <c r="BJ267" s="6"/>
      <c r="BK267" s="6"/>
      <c r="BL267" s="6"/>
      <c r="BM267" s="6"/>
      <c r="BN267" s="6"/>
    </row>
    <row r="268" spans="5:66" x14ac:dyDescent="0.2"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Z268" s="18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B268" s="18"/>
      <c r="BE268" s="6"/>
      <c r="BF268" s="6"/>
      <c r="BG268" s="6"/>
      <c r="BH268" s="6"/>
      <c r="BI268" s="6"/>
      <c r="BJ268" s="6"/>
      <c r="BK268" s="6"/>
      <c r="BL268" s="6"/>
      <c r="BM268" s="6"/>
      <c r="BN268" s="6"/>
    </row>
    <row r="269" spans="5:66" x14ac:dyDescent="0.2"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Z269" s="18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B269" s="18"/>
      <c r="BE269" s="6"/>
      <c r="BF269" s="6"/>
      <c r="BG269" s="6"/>
      <c r="BH269" s="6"/>
      <c r="BI269" s="6"/>
      <c r="BJ269" s="6"/>
      <c r="BK269" s="6"/>
      <c r="BL269" s="6"/>
      <c r="BM269" s="6"/>
      <c r="BN269" s="6"/>
    </row>
    <row r="270" spans="5:66" x14ac:dyDescent="0.2"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Z270" s="18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B270" s="18"/>
      <c r="BE270" s="6"/>
      <c r="BF270" s="6"/>
      <c r="BG270" s="6"/>
      <c r="BH270" s="6"/>
      <c r="BI270" s="6"/>
      <c r="BJ270" s="6"/>
      <c r="BK270" s="6"/>
      <c r="BL270" s="6"/>
      <c r="BM270" s="6"/>
      <c r="BN270" s="6"/>
    </row>
    <row r="271" spans="5:66" x14ac:dyDescent="0.2">
      <c r="Z271" s="18"/>
      <c r="BB271" s="18"/>
      <c r="BE271" s="8"/>
      <c r="BG271" s="8"/>
      <c r="BI271" s="8"/>
      <c r="BK271" s="8"/>
    </row>
    <row r="272" spans="5:66" x14ac:dyDescent="0.2">
      <c r="Z272" s="18"/>
      <c r="BB272" s="18"/>
      <c r="BE272" s="8"/>
      <c r="BG272" s="8"/>
      <c r="BI272" s="8"/>
      <c r="BK272" s="8"/>
    </row>
    <row r="273" spans="26:63" x14ac:dyDescent="0.2">
      <c r="Z273" s="18"/>
      <c r="BB273" s="18"/>
      <c r="BE273" s="8"/>
      <c r="BG273" s="8"/>
      <c r="BI273" s="8"/>
      <c r="BK273" s="8"/>
    </row>
    <row r="274" spans="26:63" x14ac:dyDescent="0.2">
      <c r="Z274" s="18"/>
      <c r="BB274" s="18"/>
      <c r="BE274" s="8"/>
      <c r="BG274" s="8"/>
      <c r="BI274" s="8"/>
      <c r="BK274" s="8"/>
    </row>
    <row r="275" spans="26:63" x14ac:dyDescent="0.2">
      <c r="Z275" s="18"/>
      <c r="BB275" s="18"/>
      <c r="BE275" s="8"/>
      <c r="BG275" s="8"/>
      <c r="BI275" s="8"/>
      <c r="BK275" s="8"/>
    </row>
    <row r="276" spans="26:63" x14ac:dyDescent="0.2">
      <c r="Z276" s="18"/>
      <c r="BB276" s="18"/>
      <c r="BE276" s="8"/>
      <c r="BG276" s="8"/>
      <c r="BI276" s="8"/>
      <c r="BK276" s="8"/>
    </row>
    <row r="277" spans="26:63" x14ac:dyDescent="0.2">
      <c r="Z277" s="18"/>
      <c r="BB277" s="18"/>
      <c r="BE277" s="8"/>
      <c r="BG277" s="8"/>
      <c r="BI277" s="8"/>
      <c r="BK277" s="8"/>
    </row>
    <row r="278" spans="26:63" x14ac:dyDescent="0.2">
      <c r="Z278" s="18"/>
      <c r="BB278" s="18"/>
      <c r="BE278" s="8"/>
      <c r="BG278" s="8"/>
      <c r="BI278" s="8"/>
      <c r="BK278" s="8"/>
    </row>
    <row r="279" spans="26:63" x14ac:dyDescent="0.2">
      <c r="Z279" s="18"/>
      <c r="BB279" s="18"/>
      <c r="BE279" s="8"/>
      <c r="BG279" s="8"/>
      <c r="BI279" s="8"/>
      <c r="BK279" s="8"/>
    </row>
    <row r="280" spans="26:63" x14ac:dyDescent="0.2">
      <c r="Z280" s="18"/>
      <c r="BB280" s="18"/>
      <c r="BE280" s="8"/>
      <c r="BG280" s="8"/>
      <c r="BI280" s="8"/>
      <c r="BK280" s="8"/>
    </row>
    <row r="281" spans="26:63" x14ac:dyDescent="0.2">
      <c r="Z281" s="18"/>
      <c r="BB281" s="18"/>
      <c r="BE281" s="8"/>
      <c r="BG281" s="8"/>
      <c r="BI281" s="8"/>
      <c r="BK281" s="8"/>
    </row>
    <row r="282" spans="26:63" x14ac:dyDescent="0.2">
      <c r="Z282" s="18"/>
      <c r="BB282" s="18"/>
      <c r="BE282" s="8"/>
      <c r="BG282" s="8"/>
      <c r="BI282" s="8"/>
      <c r="BK282" s="8"/>
    </row>
    <row r="283" spans="26:63" x14ac:dyDescent="0.2">
      <c r="Z283" s="18"/>
      <c r="BB283" s="18"/>
      <c r="BE283" s="8"/>
      <c r="BG283" s="8"/>
      <c r="BI283" s="8"/>
      <c r="BK283" s="8"/>
    </row>
    <row r="284" spans="26:63" x14ac:dyDescent="0.2">
      <c r="Z284" s="18"/>
      <c r="BB284" s="18"/>
      <c r="BE284" s="8"/>
      <c r="BG284" s="8"/>
      <c r="BI284" s="8"/>
      <c r="BK284" s="8"/>
    </row>
    <row r="285" spans="26:63" x14ac:dyDescent="0.2">
      <c r="Z285" s="18"/>
      <c r="BB285" s="18"/>
      <c r="BE285" s="8"/>
      <c r="BG285" s="8"/>
      <c r="BI285" s="8"/>
      <c r="BK285" s="8"/>
    </row>
    <row r="286" spans="26:63" x14ac:dyDescent="0.2">
      <c r="Z286" s="18"/>
      <c r="BB286" s="18"/>
      <c r="BE286" s="8"/>
      <c r="BG286" s="8"/>
      <c r="BI286" s="8"/>
      <c r="BK286" s="8"/>
    </row>
    <row r="287" spans="26:63" x14ac:dyDescent="0.2">
      <c r="Z287" s="18"/>
      <c r="BB287" s="18"/>
      <c r="BE287" s="8"/>
      <c r="BG287" s="8"/>
      <c r="BI287" s="8"/>
      <c r="BK287" s="8"/>
    </row>
    <row r="288" spans="26:63" x14ac:dyDescent="0.2">
      <c r="Z288" s="18"/>
      <c r="BB288" s="18"/>
      <c r="BE288" s="8"/>
      <c r="BG288" s="8"/>
      <c r="BI288" s="8"/>
      <c r="BK288" s="8"/>
    </row>
    <row r="289" spans="26:63" x14ac:dyDescent="0.2">
      <c r="Z289" s="18"/>
      <c r="BB289" s="18"/>
      <c r="BE289" s="8"/>
      <c r="BG289" s="8"/>
      <c r="BI289" s="8"/>
      <c r="BK289" s="8"/>
    </row>
    <row r="290" spans="26:63" x14ac:dyDescent="0.2">
      <c r="Z290" s="18"/>
      <c r="BB290" s="18"/>
      <c r="BE290" s="8"/>
      <c r="BG290" s="8"/>
      <c r="BI290" s="8"/>
      <c r="BK290" s="8"/>
    </row>
    <row r="291" spans="26:63" x14ac:dyDescent="0.2">
      <c r="Z291" s="18"/>
      <c r="BB291" s="18"/>
      <c r="BE291" s="8"/>
      <c r="BG291" s="8"/>
      <c r="BI291" s="8"/>
      <c r="BK291" s="8"/>
    </row>
    <row r="292" spans="26:63" x14ac:dyDescent="0.2">
      <c r="Z292" s="18"/>
      <c r="BB292" s="18"/>
      <c r="BE292" s="8"/>
      <c r="BG292" s="8"/>
      <c r="BI292" s="8"/>
      <c r="BK292" s="8"/>
    </row>
    <row r="293" spans="26:63" x14ac:dyDescent="0.2">
      <c r="Z293" s="18"/>
      <c r="BB293" s="18"/>
      <c r="BE293" s="8"/>
      <c r="BG293" s="8"/>
      <c r="BI293" s="8"/>
      <c r="BK293" s="8"/>
    </row>
    <row r="294" spans="26:63" x14ac:dyDescent="0.2">
      <c r="Z294" s="18"/>
      <c r="BB294" s="18"/>
      <c r="BE294" s="8"/>
      <c r="BG294" s="8"/>
      <c r="BI294" s="8"/>
      <c r="BK294" s="8"/>
    </row>
    <row r="295" spans="26:63" x14ac:dyDescent="0.2">
      <c r="Z295" s="18"/>
      <c r="BB295" s="18"/>
      <c r="BE295" s="8"/>
      <c r="BG295" s="8"/>
      <c r="BI295" s="8"/>
      <c r="BK295" s="8"/>
    </row>
    <row r="296" spans="26:63" x14ac:dyDescent="0.2">
      <c r="Z296" s="18"/>
      <c r="BB296" s="18"/>
      <c r="BE296" s="8"/>
      <c r="BG296" s="8"/>
      <c r="BI296" s="8"/>
      <c r="BK296" s="8"/>
    </row>
    <row r="297" spans="26:63" x14ac:dyDescent="0.2">
      <c r="Z297" s="18"/>
      <c r="BB297" s="18"/>
      <c r="BE297" s="8"/>
      <c r="BG297" s="8"/>
      <c r="BI297" s="8"/>
      <c r="BK297" s="8"/>
    </row>
    <row r="298" spans="26:63" x14ac:dyDescent="0.2">
      <c r="Z298" s="18"/>
      <c r="BB298" s="18"/>
      <c r="BE298" s="8"/>
      <c r="BG298" s="8"/>
      <c r="BI298" s="8"/>
      <c r="BK298" s="8"/>
    </row>
    <row r="299" spans="26:63" x14ac:dyDescent="0.2">
      <c r="Z299" s="18"/>
      <c r="BB299" s="18"/>
      <c r="BE299" s="8"/>
      <c r="BG299" s="8"/>
      <c r="BI299" s="8"/>
      <c r="BK299" s="8"/>
    </row>
    <row r="300" spans="26:63" x14ac:dyDescent="0.2">
      <c r="Z300" s="18"/>
      <c r="BB300" s="18"/>
      <c r="BE300" s="8"/>
      <c r="BG300" s="8"/>
      <c r="BI300" s="8"/>
      <c r="BK300" s="8"/>
    </row>
    <row r="301" spans="26:63" x14ac:dyDescent="0.2">
      <c r="Z301" s="18"/>
      <c r="BB301" s="18"/>
      <c r="BE301" s="8"/>
      <c r="BG301" s="8"/>
      <c r="BI301" s="8"/>
      <c r="BK301" s="8"/>
    </row>
    <row r="302" spans="26:63" x14ac:dyDescent="0.2">
      <c r="Z302" s="18"/>
      <c r="BB302" s="18"/>
      <c r="BE302" s="8"/>
      <c r="BG302" s="8"/>
      <c r="BI302" s="8"/>
      <c r="BK302" s="8"/>
    </row>
    <row r="303" spans="26:63" x14ac:dyDescent="0.2">
      <c r="Z303" s="18"/>
      <c r="BB303" s="18"/>
      <c r="BE303" s="8"/>
      <c r="BG303" s="8"/>
      <c r="BI303" s="8"/>
      <c r="BK303" s="8"/>
    </row>
    <row r="304" spans="26:63" x14ac:dyDescent="0.2">
      <c r="Z304" s="18"/>
      <c r="BB304" s="18"/>
      <c r="BE304" s="8"/>
      <c r="BG304" s="8"/>
      <c r="BI304" s="8"/>
      <c r="BK304" s="8"/>
    </row>
    <row r="305" spans="26:63" x14ac:dyDescent="0.2">
      <c r="Z305" s="18"/>
      <c r="BB305" s="18"/>
      <c r="BE305" s="8"/>
      <c r="BG305" s="8"/>
      <c r="BI305" s="8"/>
      <c r="BK305" s="8"/>
    </row>
    <row r="306" spans="26:63" x14ac:dyDescent="0.2">
      <c r="Z306" s="18"/>
      <c r="BB306" s="18"/>
      <c r="BE306" s="8"/>
      <c r="BG306" s="8"/>
      <c r="BI306" s="8"/>
      <c r="BK306" s="8"/>
    </row>
    <row r="307" spans="26:63" x14ac:dyDescent="0.2">
      <c r="Z307" s="18"/>
      <c r="BB307" s="18"/>
      <c r="BE307" s="8"/>
      <c r="BG307" s="8"/>
      <c r="BI307" s="8"/>
      <c r="BK307" s="8"/>
    </row>
    <row r="308" spans="26:63" x14ac:dyDescent="0.2">
      <c r="Z308" s="18"/>
      <c r="BB308" s="18"/>
      <c r="BE308" s="8"/>
      <c r="BG308" s="8"/>
      <c r="BI308" s="8"/>
      <c r="BK308" s="8"/>
    </row>
    <row r="309" spans="26:63" x14ac:dyDescent="0.2">
      <c r="Z309" s="18"/>
      <c r="BB309" s="18"/>
      <c r="BE309" s="8"/>
      <c r="BG309" s="8"/>
      <c r="BI309" s="8"/>
      <c r="BK309" s="8"/>
    </row>
    <row r="310" spans="26:63" x14ac:dyDescent="0.2">
      <c r="Z310" s="18"/>
      <c r="BB310" s="18"/>
      <c r="BE310" s="8"/>
      <c r="BG310" s="8"/>
      <c r="BI310" s="8"/>
      <c r="BK310" s="8"/>
    </row>
    <row r="311" spans="26:63" x14ac:dyDescent="0.2">
      <c r="Z311" s="18"/>
      <c r="BB311" s="18"/>
      <c r="BE311" s="8"/>
      <c r="BG311" s="8"/>
      <c r="BI311" s="8"/>
      <c r="BK311" s="8"/>
    </row>
    <row r="312" spans="26:63" x14ac:dyDescent="0.2">
      <c r="Z312" s="18"/>
      <c r="BB312" s="18"/>
    </row>
    <row r="313" spans="26:63" x14ac:dyDescent="0.2">
      <c r="Z313" s="18"/>
      <c r="BB313" s="18"/>
    </row>
    <row r="314" spans="26:63" x14ac:dyDescent="0.2">
      <c r="Z314" s="18"/>
      <c r="BB314" s="18"/>
    </row>
    <row r="315" spans="26:63" x14ac:dyDescent="0.2">
      <c r="Z315" s="18"/>
      <c r="BB315" s="18"/>
    </row>
  </sheetData>
  <mergeCells count="1">
    <mergeCell ref="Q6:U6"/>
  </mergeCells>
  <pageMargins left="0.75" right="0.75" top="0.5" bottom="0.5" header="0.3" footer="0.25"/>
  <pageSetup scale="74" firstPageNumber="114" pageOrder="overThenDown" orientation="portrait" useFirstPageNumber="1" r:id="rId1"/>
  <headerFooter>
    <oddFooter>&amp;C&amp;"Times New Roman,Regular"&amp;11&amp;P</oddFooter>
  </headerFooter>
  <colBreaks count="2" manualBreakCount="2">
    <brk id="14" max="260" man="1"/>
    <brk id="38" max="24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17"/>
  <sheetViews>
    <sheetView view="pageBreakPreview" zoomScaleNormal="100" zoomScaleSheetLayoutView="100" workbookViewId="0">
      <pane xSplit="3" ySplit="8" topLeftCell="D247" activePane="bottomRight" state="frozen"/>
      <selection pane="topRight" activeCell="D1" sqref="D1"/>
      <selection pane="bottomLeft" activeCell="A10" sqref="A10"/>
      <selection pane="bottomRight" activeCell="E243" sqref="E243:U243"/>
    </sheetView>
  </sheetViews>
  <sheetFormatPr defaultColWidth="9.140625" defaultRowHeight="12.75" customHeight="1" x14ac:dyDescent="0.2"/>
  <cols>
    <col min="1" max="1" width="16.28515625" style="20" customWidth="1"/>
    <col min="2" max="2" width="2.5703125" style="14" customWidth="1"/>
    <col min="3" max="3" width="10.140625" style="20" bestFit="1" customWidth="1"/>
    <col min="4" max="4" width="1.42578125" style="20" customWidth="1"/>
    <col min="5" max="5" width="11.42578125" style="20" bestFit="1" customWidth="1"/>
    <col min="6" max="6" width="1.42578125" style="20" customWidth="1"/>
    <col min="7" max="7" width="9.28515625" style="20" bestFit="1" customWidth="1"/>
    <col min="8" max="8" width="1.42578125" style="20" customWidth="1"/>
    <col min="9" max="9" width="9.28515625" style="20" bestFit="1" customWidth="1"/>
    <col min="10" max="10" width="1.42578125" style="20" customWidth="1"/>
    <col min="11" max="11" width="10.140625" style="20" bestFit="1" customWidth="1"/>
    <col min="12" max="12" width="1.42578125" style="20" customWidth="1"/>
    <col min="13" max="13" width="9.28515625" style="20" bestFit="1" customWidth="1"/>
    <col min="14" max="14" width="1.42578125" style="20" customWidth="1"/>
    <col min="15" max="15" width="10.42578125" style="20" bestFit="1" customWidth="1"/>
    <col min="16" max="16" width="1.42578125" style="20" customWidth="1"/>
    <col min="17" max="17" width="10.140625" style="20" bestFit="1" customWidth="1"/>
    <col min="18" max="18" width="1.42578125" style="20" customWidth="1"/>
    <col min="19" max="19" width="11.42578125" style="20" bestFit="1" customWidth="1"/>
    <col min="20" max="20" width="1.42578125" style="20" customWidth="1"/>
    <col min="21" max="21" width="10.140625" style="7" bestFit="1" customWidth="1"/>
    <col min="22" max="22" width="1.7109375" style="20" customWidth="1"/>
    <col min="23" max="23" width="11.85546875" style="7" bestFit="1" customWidth="1"/>
    <col min="24" max="24" width="1.7109375" style="20" customWidth="1"/>
    <col min="25" max="25" width="13.140625" style="20" bestFit="1" customWidth="1"/>
    <col min="26" max="26" width="1.7109375" style="20" customWidth="1"/>
    <col min="27" max="27" width="13.28515625" style="20" bestFit="1" customWidth="1"/>
    <col min="28" max="28" width="1.7109375" style="20" customWidth="1"/>
    <col min="29" max="30" width="11.5703125" style="20" bestFit="1" customWidth="1"/>
    <col min="31" max="16384" width="9.140625" style="20"/>
  </cols>
  <sheetData>
    <row r="1" spans="1:25" s="70" customFormat="1" ht="12.75" customHeight="1" x14ac:dyDescent="0.2">
      <c r="A1" s="69" t="s">
        <v>419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29"/>
      <c r="U1" s="29"/>
      <c r="W1" s="29"/>
    </row>
    <row r="2" spans="1:25" s="70" customFormat="1" ht="12.75" customHeight="1" x14ac:dyDescent="0.2">
      <c r="A2" s="69" t="s">
        <v>504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29"/>
      <c r="U2" s="29"/>
      <c r="W2" s="29"/>
    </row>
    <row r="3" spans="1:25" ht="12.75" customHeight="1" x14ac:dyDescent="0.2">
      <c r="A3" s="24" t="s">
        <v>287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7"/>
    </row>
    <row r="4" spans="1:25" ht="12.75" customHeight="1" x14ac:dyDescent="0.2">
      <c r="A4" s="24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7"/>
    </row>
    <row r="5" spans="1:25" ht="12.75" customHeight="1" x14ac:dyDescent="0.2">
      <c r="A5" s="24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7"/>
    </row>
    <row r="6" spans="1:25" s="52" customFormat="1" ht="12.75" customHeight="1" x14ac:dyDescent="0.2">
      <c r="A6" s="68"/>
      <c r="C6" s="68"/>
      <c r="D6" s="68"/>
      <c r="E6" s="68" t="s">
        <v>294</v>
      </c>
      <c r="F6" s="68"/>
      <c r="G6" s="68" t="s">
        <v>326</v>
      </c>
      <c r="H6" s="68"/>
      <c r="I6" s="68"/>
      <c r="J6" s="68"/>
      <c r="K6" s="68"/>
      <c r="L6" s="68"/>
      <c r="M6" s="68"/>
      <c r="N6" s="68"/>
      <c r="O6" s="68"/>
      <c r="P6" s="68"/>
      <c r="Q6" s="68" t="s">
        <v>374</v>
      </c>
      <c r="R6" s="68"/>
      <c r="S6" s="68" t="s">
        <v>5</v>
      </c>
      <c r="T6" s="63"/>
      <c r="U6" s="63" t="s">
        <v>437</v>
      </c>
      <c r="W6" s="63"/>
    </row>
    <row r="7" spans="1:25" s="52" customFormat="1" ht="12.75" customHeight="1" x14ac:dyDescent="0.2">
      <c r="A7" s="68"/>
      <c r="C7" s="68"/>
      <c r="D7" s="68"/>
      <c r="E7" s="68" t="s">
        <v>354</v>
      </c>
      <c r="F7" s="68"/>
      <c r="G7" s="68" t="s">
        <v>375</v>
      </c>
      <c r="H7" s="68"/>
      <c r="I7" s="68" t="s">
        <v>376</v>
      </c>
      <c r="J7" s="68"/>
      <c r="K7" s="68" t="s">
        <v>361</v>
      </c>
      <c r="L7" s="68"/>
      <c r="M7" s="68" t="s">
        <v>3</v>
      </c>
      <c r="N7" s="68"/>
      <c r="O7" s="68" t="s">
        <v>377</v>
      </c>
      <c r="P7" s="68"/>
      <c r="Q7" s="68" t="s">
        <v>292</v>
      </c>
      <c r="R7" s="68"/>
      <c r="S7" s="68" t="s">
        <v>350</v>
      </c>
      <c r="T7" s="63"/>
      <c r="U7" s="63" t="s">
        <v>438</v>
      </c>
      <c r="W7" s="63" t="s">
        <v>322</v>
      </c>
    </row>
    <row r="8" spans="1:25" s="52" customFormat="1" ht="12.75" customHeight="1" x14ac:dyDescent="0.2">
      <c r="A8" s="67" t="s">
        <v>6</v>
      </c>
      <c r="C8" s="67" t="s">
        <v>7</v>
      </c>
      <c r="D8" s="68"/>
      <c r="E8" s="27" t="s">
        <v>360</v>
      </c>
      <c r="F8" s="68"/>
      <c r="G8" s="27" t="s">
        <v>360</v>
      </c>
      <c r="H8" s="68"/>
      <c r="I8" s="27" t="s">
        <v>378</v>
      </c>
      <c r="J8" s="68"/>
      <c r="K8" s="27" t="s">
        <v>379</v>
      </c>
      <c r="L8" s="68"/>
      <c r="M8" s="27" t="s">
        <v>380</v>
      </c>
      <c r="N8" s="68"/>
      <c r="O8" s="27" t="s">
        <v>381</v>
      </c>
      <c r="P8" s="68"/>
      <c r="Q8" s="27" t="s">
        <v>362</v>
      </c>
      <c r="R8" s="68"/>
      <c r="S8" s="27" t="s">
        <v>362</v>
      </c>
      <c r="T8" s="63"/>
      <c r="U8" s="67" t="s">
        <v>439</v>
      </c>
      <c r="W8" s="63" t="s">
        <v>433</v>
      </c>
    </row>
    <row r="9" spans="1:25" ht="12.75" customHeight="1" x14ac:dyDescent="0.2">
      <c r="A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7"/>
    </row>
    <row r="10" spans="1:25" s="6" customFormat="1" ht="12.75" hidden="1" customHeight="1" x14ac:dyDescent="0.2">
      <c r="A10" s="6" t="s">
        <v>10</v>
      </c>
      <c r="C10" s="6" t="s">
        <v>11</v>
      </c>
      <c r="E10" s="6">
        <v>228843318</v>
      </c>
      <c r="G10" s="6">
        <v>8591829</v>
      </c>
      <c r="I10" s="6">
        <v>0</v>
      </c>
      <c r="K10" s="6">
        <f>9845763+5582645+3129427</f>
        <v>18557835</v>
      </c>
      <c r="M10" s="6">
        <v>0</v>
      </c>
      <c r="O10" s="6">
        <v>0</v>
      </c>
      <c r="Q10" s="6">
        <f>50080000+246230000+27165000+2000000</f>
        <v>325475000</v>
      </c>
      <c r="S10" s="6">
        <f t="shared" ref="S10" si="0">SUM(E10:Q10)</f>
        <v>581467982</v>
      </c>
      <c r="U10" s="6">
        <v>26704000</v>
      </c>
      <c r="W10" s="6">
        <f>+S10-'Stmt net assets'!Q10-U10</f>
        <v>-152778126</v>
      </c>
    </row>
    <row r="11" spans="1:25" ht="12.75" customHeight="1" x14ac:dyDescent="0.2">
      <c r="A11" s="6" t="s">
        <v>12</v>
      </c>
      <c r="C11" s="6" t="s">
        <v>13</v>
      </c>
      <c r="D11" s="6"/>
      <c r="E11" s="22">
        <v>1270000</v>
      </c>
      <c r="F11" s="22"/>
      <c r="G11" s="22">
        <v>135000</v>
      </c>
      <c r="H11" s="22"/>
      <c r="I11" s="22">
        <v>0</v>
      </c>
      <c r="J11" s="22"/>
      <c r="K11" s="22">
        <v>304960</v>
      </c>
      <c r="L11" s="22"/>
      <c r="M11" s="22">
        <v>0</v>
      </c>
      <c r="N11" s="22"/>
      <c r="O11" s="22">
        <v>2687544</v>
      </c>
      <c r="P11" s="22"/>
      <c r="Q11" s="22">
        <f>347041+12479</f>
        <v>359520</v>
      </c>
      <c r="R11" s="22"/>
      <c r="S11" s="22">
        <f>SUM(E11:Q11)</f>
        <v>4757024</v>
      </c>
      <c r="T11" s="9"/>
      <c r="U11" s="22">
        <v>1070398</v>
      </c>
      <c r="W11" s="7">
        <f>+S11-'Stmt net assets'!Q11-U11</f>
        <v>0</v>
      </c>
    </row>
    <row r="12" spans="1:25" ht="12.75" customHeight="1" x14ac:dyDescent="0.2">
      <c r="A12" s="6" t="s">
        <v>14</v>
      </c>
      <c r="C12" s="6" t="s">
        <v>15</v>
      </c>
      <c r="D12" s="6"/>
      <c r="E12" s="11">
        <v>2362866</v>
      </c>
      <c r="F12" s="11"/>
      <c r="G12" s="11">
        <v>0</v>
      </c>
      <c r="H12" s="11"/>
      <c r="I12" s="11">
        <v>0</v>
      </c>
      <c r="J12" s="11"/>
      <c r="K12" s="11">
        <v>466650</v>
      </c>
      <c r="L12" s="11"/>
      <c r="M12" s="11">
        <v>10836</v>
      </c>
      <c r="N12" s="11"/>
      <c r="O12" s="11">
        <v>477256</v>
      </c>
      <c r="P12" s="11"/>
      <c r="Q12" s="11">
        <v>44216</v>
      </c>
      <c r="R12" s="11"/>
      <c r="S12" s="11">
        <f t="shared" ref="S12:S67" si="1">SUM(E12:Q12)</f>
        <v>3361824</v>
      </c>
      <c r="T12" s="7"/>
      <c r="U12" s="11">
        <v>403088</v>
      </c>
      <c r="W12" s="7">
        <f>+S12-'Stmt net assets'!Q12-U12</f>
        <v>0</v>
      </c>
    </row>
    <row r="13" spans="1:25" ht="12.75" customHeight="1" x14ac:dyDescent="0.2">
      <c r="A13" s="6" t="s">
        <v>16</v>
      </c>
      <c r="C13" s="6" t="s">
        <v>16</v>
      </c>
      <c r="D13" s="6"/>
      <c r="E13" s="11">
        <f>1866000+400000</f>
        <v>2266000</v>
      </c>
      <c r="F13" s="11"/>
      <c r="G13" s="11">
        <v>0</v>
      </c>
      <c r="H13" s="11"/>
      <c r="I13" s="11">
        <v>0</v>
      </c>
      <c r="J13" s="11"/>
      <c r="K13" s="11">
        <v>203736</v>
      </c>
      <c r="L13" s="11"/>
      <c r="M13" s="11">
        <v>0</v>
      </c>
      <c r="N13" s="11"/>
      <c r="O13" s="11">
        <v>686232</v>
      </c>
      <c r="P13" s="11"/>
      <c r="Q13" s="11">
        <v>0</v>
      </c>
      <c r="R13" s="11"/>
      <c r="S13" s="11">
        <f t="shared" si="1"/>
        <v>3155968</v>
      </c>
      <c r="T13" s="7"/>
      <c r="U13" s="11">
        <v>428965</v>
      </c>
      <c r="W13" s="7">
        <f>+S13-'Stmt net assets'!Q13-U13</f>
        <v>0</v>
      </c>
    </row>
    <row r="14" spans="1:25" ht="12.75" customHeight="1" x14ac:dyDescent="0.2">
      <c r="A14" s="6" t="s">
        <v>17</v>
      </c>
      <c r="C14" s="6" t="s">
        <v>17</v>
      </c>
      <c r="D14" s="6"/>
      <c r="E14" s="11">
        <v>160944</v>
      </c>
      <c r="F14" s="11"/>
      <c r="G14" s="11">
        <v>73369</v>
      </c>
      <c r="H14" s="11"/>
      <c r="I14" s="11">
        <v>0</v>
      </c>
      <c r="J14" s="11"/>
      <c r="K14" s="11">
        <v>0</v>
      </c>
      <c r="L14" s="11"/>
      <c r="M14" s="11">
        <v>87192</v>
      </c>
      <c r="N14" s="11"/>
      <c r="O14" s="11">
        <v>2315114</v>
      </c>
      <c r="P14" s="11"/>
      <c r="Q14" s="11">
        <v>403706</v>
      </c>
      <c r="R14" s="11"/>
      <c r="S14" s="11">
        <f t="shared" si="1"/>
        <v>3040325</v>
      </c>
      <c r="T14" s="7"/>
      <c r="U14" s="11">
        <v>1221722</v>
      </c>
      <c r="W14" s="7">
        <f>+S14-'Stmt net assets'!Q14-U14</f>
        <v>0</v>
      </c>
      <c r="Y14" s="7"/>
    </row>
    <row r="15" spans="1:25" ht="12.75" customHeight="1" x14ac:dyDescent="0.2">
      <c r="A15" s="6" t="s">
        <v>18</v>
      </c>
      <c r="C15" s="6" t="s">
        <v>18</v>
      </c>
      <c r="D15" s="6"/>
      <c r="E15" s="11">
        <f>1870000+43897</f>
        <v>1913897</v>
      </c>
      <c r="F15" s="11"/>
      <c r="G15" s="11">
        <v>0</v>
      </c>
      <c r="H15" s="11"/>
      <c r="I15" s="11">
        <v>220000</v>
      </c>
      <c r="J15" s="11"/>
      <c r="K15" s="11">
        <v>0</v>
      </c>
      <c r="L15" s="11"/>
      <c r="M15" s="11">
        <v>0</v>
      </c>
      <c r="N15" s="11"/>
      <c r="O15" s="11">
        <v>1099572</v>
      </c>
      <c r="P15" s="11"/>
      <c r="Q15" s="11">
        <v>1174</v>
      </c>
      <c r="R15" s="11"/>
      <c r="S15" s="11">
        <f t="shared" si="1"/>
        <v>3234643</v>
      </c>
      <c r="T15" s="7"/>
      <c r="U15" s="11">
        <v>1161261</v>
      </c>
      <c r="W15" s="7">
        <f>+S15-'Stmt net assets'!Q15-U15</f>
        <v>0</v>
      </c>
    </row>
    <row r="16" spans="1:25" ht="12.75" customHeight="1" x14ac:dyDescent="0.2">
      <c r="A16" s="6" t="s">
        <v>19</v>
      </c>
      <c r="C16" s="6" t="s">
        <v>20</v>
      </c>
      <c r="D16" s="6"/>
      <c r="E16" s="11">
        <v>7744074</v>
      </c>
      <c r="F16" s="11"/>
      <c r="G16" s="11">
        <v>0</v>
      </c>
      <c r="H16" s="11"/>
      <c r="I16" s="11">
        <v>0</v>
      </c>
      <c r="J16" s="11"/>
      <c r="K16" s="11">
        <v>340937</v>
      </c>
      <c r="L16" s="11"/>
      <c r="M16" s="11">
        <v>63082</v>
      </c>
      <c r="N16" s="11"/>
      <c r="O16" s="11">
        <v>1006115</v>
      </c>
      <c r="P16" s="11"/>
      <c r="Q16" s="11">
        <v>431937</v>
      </c>
      <c r="R16" s="11"/>
      <c r="S16" s="11">
        <f t="shared" si="1"/>
        <v>9586145</v>
      </c>
      <c r="T16" s="7"/>
      <c r="U16" s="11">
        <v>809954</v>
      </c>
      <c r="W16" s="7">
        <f>+S16-'Stmt net assets'!Q16-U16</f>
        <v>0</v>
      </c>
    </row>
    <row r="17" spans="1:25" ht="12.75" customHeight="1" x14ac:dyDescent="0.2">
      <c r="A17" s="6" t="s">
        <v>21</v>
      </c>
      <c r="C17" s="6" t="s">
        <v>15</v>
      </c>
      <c r="D17" s="6"/>
      <c r="E17" s="11">
        <v>54172750</v>
      </c>
      <c r="F17" s="11"/>
      <c r="G17" s="11">
        <v>7300683</v>
      </c>
      <c r="H17" s="11"/>
      <c r="I17" s="11">
        <v>0</v>
      </c>
      <c r="J17" s="11"/>
      <c r="K17" s="11">
        <v>263028</v>
      </c>
      <c r="L17" s="11"/>
      <c r="M17" s="11">
        <v>0</v>
      </c>
      <c r="N17" s="11"/>
      <c r="O17" s="11">
        <v>2069717</v>
      </c>
      <c r="P17" s="11"/>
      <c r="Q17" s="11">
        <v>0</v>
      </c>
      <c r="R17" s="11"/>
      <c r="S17" s="11">
        <f t="shared" si="1"/>
        <v>63806178</v>
      </c>
      <c r="T17" s="7"/>
      <c r="U17" s="11">
        <v>2550731</v>
      </c>
      <c r="W17" s="7">
        <f>+S17-'Stmt net assets'!Q17-U17</f>
        <v>0</v>
      </c>
    </row>
    <row r="18" spans="1:25" ht="12.75" customHeight="1" x14ac:dyDescent="0.2">
      <c r="A18" s="6" t="s">
        <v>22</v>
      </c>
      <c r="C18" s="6" t="s">
        <v>15</v>
      </c>
      <c r="D18" s="6"/>
      <c r="E18" s="11">
        <v>8595954</v>
      </c>
      <c r="F18" s="11"/>
      <c r="G18" s="11">
        <v>1928697</v>
      </c>
      <c r="H18" s="11"/>
      <c r="I18" s="11">
        <v>938972</v>
      </c>
      <c r="J18" s="11"/>
      <c r="K18" s="11">
        <f>76666+115000</f>
        <v>191666</v>
      </c>
      <c r="L18" s="11"/>
      <c r="M18" s="11">
        <v>0</v>
      </c>
      <c r="N18" s="11"/>
      <c r="O18" s="11">
        <v>1604406</v>
      </c>
      <c r="P18" s="11"/>
      <c r="Q18" s="11">
        <f>645014+92006+20000</f>
        <v>757020</v>
      </c>
      <c r="R18" s="11"/>
      <c r="S18" s="11">
        <f t="shared" si="1"/>
        <v>14016715</v>
      </c>
      <c r="T18" s="7"/>
      <c r="U18" s="11">
        <v>1790029</v>
      </c>
      <c r="W18" s="7">
        <f>+S18-'Stmt net assets'!Q18-U18</f>
        <v>0</v>
      </c>
    </row>
    <row r="19" spans="1:25" ht="12.75" customHeight="1" x14ac:dyDescent="0.2">
      <c r="A19" s="6" t="s">
        <v>23</v>
      </c>
      <c r="C19" s="6" t="s">
        <v>11</v>
      </c>
      <c r="D19" s="6"/>
      <c r="E19" s="11">
        <v>2670376</v>
      </c>
      <c r="F19" s="11"/>
      <c r="G19" s="11">
        <v>38868</v>
      </c>
      <c r="H19" s="11"/>
      <c r="I19" s="11">
        <v>0</v>
      </c>
      <c r="J19" s="11"/>
      <c r="K19" s="11">
        <f>520000+117139</f>
        <v>637139</v>
      </c>
      <c r="L19" s="11"/>
      <c r="M19" s="11">
        <v>310376</v>
      </c>
      <c r="N19" s="11"/>
      <c r="O19" s="11">
        <v>3610577</v>
      </c>
      <c r="P19" s="11"/>
      <c r="Q19" s="11">
        <v>0</v>
      </c>
      <c r="R19" s="11"/>
      <c r="S19" s="11">
        <f t="shared" si="1"/>
        <v>7267336</v>
      </c>
      <c r="T19" s="7"/>
      <c r="U19" s="11">
        <v>2417241</v>
      </c>
      <c r="W19" s="7">
        <f>+S19-'Stmt net assets'!Q19-U19</f>
        <v>0</v>
      </c>
    </row>
    <row r="20" spans="1:25" ht="12.75" customHeight="1" x14ac:dyDescent="0.2">
      <c r="A20" s="6" t="s">
        <v>24</v>
      </c>
      <c r="C20" s="6" t="s">
        <v>25</v>
      </c>
      <c r="D20" s="6"/>
      <c r="E20" s="11">
        <f>7660000+2695000</f>
        <v>10355000</v>
      </c>
      <c r="F20" s="11"/>
      <c r="G20" s="11">
        <v>0</v>
      </c>
      <c r="H20" s="11"/>
      <c r="I20" s="11">
        <v>0</v>
      </c>
      <c r="J20" s="11"/>
      <c r="K20" s="11">
        <v>0</v>
      </c>
      <c r="L20" s="11"/>
      <c r="M20" s="11">
        <v>0</v>
      </c>
      <c r="N20" s="11"/>
      <c r="O20" s="11">
        <f>87277+914209</f>
        <v>1001486</v>
      </c>
      <c r="P20" s="11"/>
      <c r="Q20" s="11">
        <v>192053</v>
      </c>
      <c r="R20" s="11"/>
      <c r="S20" s="11">
        <f t="shared" si="1"/>
        <v>11548539</v>
      </c>
      <c r="T20" s="7"/>
      <c r="U20" s="11">
        <v>2084019</v>
      </c>
      <c r="W20" s="7">
        <f>+S20-'Stmt net assets'!Q20-U20</f>
        <v>0</v>
      </c>
    </row>
    <row r="21" spans="1:25" ht="12.75" customHeight="1" x14ac:dyDescent="0.2">
      <c r="A21" s="6" t="s">
        <v>26</v>
      </c>
      <c r="C21" s="6" t="s">
        <v>25</v>
      </c>
      <c r="D21" s="6"/>
      <c r="E21" s="11">
        <f>18049273+630993</f>
        <v>18680266</v>
      </c>
      <c r="F21" s="11"/>
      <c r="G21" s="11">
        <v>445000</v>
      </c>
      <c r="H21" s="11"/>
      <c r="I21" s="11">
        <v>0</v>
      </c>
      <c r="J21" s="11"/>
      <c r="K21" s="11">
        <v>0</v>
      </c>
      <c r="L21" s="11"/>
      <c r="M21" s="11">
        <v>0</v>
      </c>
      <c r="N21" s="11"/>
      <c r="O21" s="11">
        <v>2788739</v>
      </c>
      <c r="P21" s="11"/>
      <c r="Q21" s="11">
        <v>0</v>
      </c>
      <c r="R21" s="11"/>
      <c r="S21" s="11">
        <f t="shared" si="1"/>
        <v>21914005</v>
      </c>
      <c r="T21" s="7"/>
      <c r="U21" s="11">
        <v>2689592</v>
      </c>
      <c r="W21" s="7">
        <f>+S21-'Stmt net assets'!Q21-U21</f>
        <v>0</v>
      </c>
      <c r="Y21" s="7"/>
    </row>
    <row r="22" spans="1:25" ht="12.75" customHeight="1" x14ac:dyDescent="0.2">
      <c r="A22" s="6" t="s">
        <v>27</v>
      </c>
      <c r="C22" s="6" t="s">
        <v>28</v>
      </c>
      <c r="D22" s="6"/>
      <c r="E22" s="11">
        <v>4152723</v>
      </c>
      <c r="F22" s="11"/>
      <c r="G22" s="11">
        <v>2886434</v>
      </c>
      <c r="H22" s="11"/>
      <c r="I22" s="11">
        <v>0</v>
      </c>
      <c r="J22" s="11"/>
      <c r="K22" s="11">
        <v>0</v>
      </c>
      <c r="L22" s="11"/>
      <c r="M22" s="11">
        <v>435809</v>
      </c>
      <c r="N22" s="11"/>
      <c r="O22" s="11">
        <v>1185495</v>
      </c>
      <c r="P22" s="11"/>
      <c r="Q22" s="11">
        <v>0</v>
      </c>
      <c r="R22" s="11"/>
      <c r="S22" s="11">
        <f t="shared" si="1"/>
        <v>8660461</v>
      </c>
      <c r="T22" s="7"/>
      <c r="U22" s="11">
        <v>1812444</v>
      </c>
      <c r="W22" s="7">
        <f>+S22-'Stmt net assets'!Q22-U22</f>
        <v>0</v>
      </c>
    </row>
    <row r="23" spans="1:25" ht="12.75" customHeight="1" x14ac:dyDescent="0.2">
      <c r="A23" s="6" t="s">
        <v>29</v>
      </c>
      <c r="C23" s="6" t="s">
        <v>25</v>
      </c>
      <c r="D23" s="6"/>
      <c r="E23" s="11">
        <v>10984030</v>
      </c>
      <c r="F23" s="11"/>
      <c r="G23" s="11">
        <v>170000</v>
      </c>
      <c r="H23" s="11"/>
      <c r="I23" s="11">
        <v>0</v>
      </c>
      <c r="J23" s="11"/>
      <c r="K23" s="11">
        <v>733253</v>
      </c>
      <c r="L23" s="11"/>
      <c r="M23" s="11">
        <v>44475</v>
      </c>
      <c r="N23" s="11"/>
      <c r="O23" s="11">
        <v>1370272</v>
      </c>
      <c r="P23" s="11"/>
      <c r="Q23" s="11">
        <v>176794</v>
      </c>
      <c r="R23" s="11"/>
      <c r="S23" s="11">
        <f t="shared" si="1"/>
        <v>13478824</v>
      </c>
      <c r="T23" s="7"/>
      <c r="U23" s="11">
        <v>1433041</v>
      </c>
      <c r="W23" s="7">
        <f>+S23-'Stmt net assets'!Q23-U23</f>
        <v>0</v>
      </c>
    </row>
    <row r="24" spans="1:25" ht="12.75" customHeight="1" x14ac:dyDescent="0.2">
      <c r="A24" s="6" t="s">
        <v>30</v>
      </c>
      <c r="C24" s="6" t="s">
        <v>25</v>
      </c>
      <c r="D24" s="6"/>
      <c r="E24" s="11">
        <v>2031400</v>
      </c>
      <c r="F24" s="11"/>
      <c r="G24" s="11">
        <v>0</v>
      </c>
      <c r="H24" s="11"/>
      <c r="I24" s="11">
        <v>0</v>
      </c>
      <c r="J24" s="11"/>
      <c r="K24" s="11">
        <v>696158</v>
      </c>
      <c r="L24" s="11"/>
      <c r="M24" s="11">
        <v>509943</v>
      </c>
      <c r="N24" s="11"/>
      <c r="O24" s="11">
        <v>1752936</v>
      </c>
      <c r="P24" s="11"/>
      <c r="Q24" s="11">
        <v>526267</v>
      </c>
      <c r="R24" s="11"/>
      <c r="S24" s="11">
        <f t="shared" si="1"/>
        <v>5516704</v>
      </c>
      <c r="T24" s="7"/>
      <c r="U24" s="11">
        <v>1857621</v>
      </c>
      <c r="W24" s="7">
        <f>+S24-'Stmt net assets'!Q24-U24</f>
        <v>0</v>
      </c>
    </row>
    <row r="25" spans="1:25" ht="12.75" customHeight="1" x14ac:dyDescent="0.2">
      <c r="A25" s="6" t="s">
        <v>32</v>
      </c>
      <c r="C25" s="6" t="s">
        <v>28</v>
      </c>
      <c r="D25" s="6"/>
      <c r="E25" s="11">
        <v>0</v>
      </c>
      <c r="F25" s="11"/>
      <c r="G25" s="11">
        <v>0</v>
      </c>
      <c r="H25" s="11"/>
      <c r="I25" s="11">
        <v>0</v>
      </c>
      <c r="J25" s="11"/>
      <c r="K25" s="11">
        <v>0</v>
      </c>
      <c r="L25" s="11"/>
      <c r="M25" s="11">
        <v>0</v>
      </c>
      <c r="N25" s="11"/>
      <c r="O25" s="11">
        <v>196383</v>
      </c>
      <c r="P25" s="11"/>
      <c r="Q25" s="11">
        <v>0</v>
      </c>
      <c r="R25" s="11"/>
      <c r="S25" s="11">
        <f t="shared" si="1"/>
        <v>196383</v>
      </c>
      <c r="T25" s="7"/>
      <c r="U25" s="11">
        <v>110128</v>
      </c>
      <c r="W25" s="7">
        <f>+S25-'Stmt net assets'!Q25-U25</f>
        <v>0</v>
      </c>
    </row>
    <row r="26" spans="1:25" ht="12.75" customHeight="1" x14ac:dyDescent="0.2">
      <c r="A26" s="6" t="s">
        <v>33</v>
      </c>
      <c r="C26" s="6" t="s">
        <v>34</v>
      </c>
      <c r="D26" s="6"/>
      <c r="E26" s="11">
        <v>0</v>
      </c>
      <c r="F26" s="11"/>
      <c r="G26" s="11">
        <v>0</v>
      </c>
      <c r="H26" s="11"/>
      <c r="I26" s="11">
        <v>0</v>
      </c>
      <c r="J26" s="11"/>
      <c r="K26" s="11">
        <f>195000+85445</f>
        <v>280445</v>
      </c>
      <c r="L26" s="11"/>
      <c r="M26" s="11">
        <v>0</v>
      </c>
      <c r="N26" s="11"/>
      <c r="O26" s="11">
        <v>1113628</v>
      </c>
      <c r="P26" s="11"/>
      <c r="Q26" s="11">
        <f>210000+551577+12188</f>
        <v>773765</v>
      </c>
      <c r="R26" s="11"/>
      <c r="S26" s="11">
        <f t="shared" si="1"/>
        <v>2167838</v>
      </c>
      <c r="T26" s="7"/>
      <c r="U26" s="11">
        <v>555275</v>
      </c>
      <c r="W26" s="7">
        <f>+S26-'Stmt net assets'!Q26-U26</f>
        <v>0</v>
      </c>
    </row>
    <row r="27" spans="1:25" ht="12.75" customHeight="1" x14ac:dyDescent="0.2">
      <c r="A27" s="6" t="s">
        <v>35</v>
      </c>
      <c r="C27" s="6" t="s">
        <v>36</v>
      </c>
      <c r="D27" s="6"/>
      <c r="E27" s="11">
        <v>0</v>
      </c>
      <c r="F27" s="11"/>
      <c r="G27" s="11">
        <v>975000</v>
      </c>
      <c r="H27" s="11"/>
      <c r="I27" s="11">
        <v>0</v>
      </c>
      <c r="J27" s="11"/>
      <c r="K27" s="11">
        <v>0</v>
      </c>
      <c r="L27" s="11"/>
      <c r="M27" s="11">
        <v>76325</v>
      </c>
      <c r="N27" s="11"/>
      <c r="O27" s="11">
        <v>517947</v>
      </c>
      <c r="P27" s="11"/>
      <c r="Q27" s="11">
        <v>0</v>
      </c>
      <c r="R27" s="11"/>
      <c r="S27" s="11">
        <f t="shared" si="1"/>
        <v>1569272</v>
      </c>
      <c r="T27" s="7"/>
      <c r="U27" s="11">
        <v>296380</v>
      </c>
      <c r="W27" s="7">
        <f>+S27-'Stmt net assets'!Q27-U27</f>
        <v>0</v>
      </c>
    </row>
    <row r="28" spans="1:25" ht="12.75" customHeight="1" x14ac:dyDescent="0.2">
      <c r="A28" s="6" t="s">
        <v>37</v>
      </c>
      <c r="C28" s="6" t="s">
        <v>38</v>
      </c>
      <c r="D28" s="6"/>
      <c r="E28" s="11">
        <v>0</v>
      </c>
      <c r="F28" s="11"/>
      <c r="G28" s="11">
        <v>0</v>
      </c>
      <c r="H28" s="11"/>
      <c r="I28" s="11">
        <v>0</v>
      </c>
      <c r="J28" s="11"/>
      <c r="K28" s="11">
        <v>106571</v>
      </c>
      <c r="L28" s="11"/>
      <c r="M28" s="11">
        <v>682553</v>
      </c>
      <c r="N28" s="11"/>
      <c r="O28" s="11">
        <v>29039</v>
      </c>
      <c r="P28" s="11"/>
      <c r="Q28" s="11">
        <v>18749</v>
      </c>
      <c r="R28" s="11"/>
      <c r="S28" s="11">
        <f t="shared" si="1"/>
        <v>836912</v>
      </c>
      <c r="T28" s="7"/>
      <c r="U28" s="11">
        <v>162508</v>
      </c>
      <c r="W28" s="7">
        <f>+S28-'Stmt net assets'!Q28-U28</f>
        <v>0</v>
      </c>
    </row>
    <row r="29" spans="1:25" ht="12.75" customHeight="1" x14ac:dyDescent="0.2">
      <c r="A29" s="6" t="s">
        <v>39</v>
      </c>
      <c r="C29" s="6" t="s">
        <v>25</v>
      </c>
      <c r="D29" s="6"/>
      <c r="E29" s="11">
        <f>8235000+50000</f>
        <v>8285000</v>
      </c>
      <c r="F29" s="11"/>
      <c r="G29" s="11">
        <v>0</v>
      </c>
      <c r="H29" s="11"/>
      <c r="I29" s="11">
        <v>6112550</v>
      </c>
      <c r="J29" s="11"/>
      <c r="K29" s="11">
        <f>1754769+202650</f>
        <v>1957419</v>
      </c>
      <c r="L29" s="11"/>
      <c r="M29" s="11">
        <v>164023</v>
      </c>
      <c r="N29" s="11"/>
      <c r="O29" s="11">
        <v>1165969</v>
      </c>
      <c r="P29" s="11"/>
      <c r="Q29" s="11">
        <f>78356+212664</f>
        <v>291020</v>
      </c>
      <c r="R29" s="11"/>
      <c r="S29" s="11">
        <f t="shared" si="1"/>
        <v>17975981</v>
      </c>
      <c r="T29" s="7"/>
      <c r="U29" s="11">
        <v>7285663</v>
      </c>
      <c r="W29" s="7">
        <f>+S29-'Stmt net assets'!Q29-U29</f>
        <v>0</v>
      </c>
    </row>
    <row r="30" spans="1:25" ht="12.75" customHeight="1" x14ac:dyDescent="0.2">
      <c r="A30" s="6" t="s">
        <v>40</v>
      </c>
      <c r="C30" s="6" t="s">
        <v>41</v>
      </c>
      <c r="D30" s="6"/>
      <c r="E30" s="11">
        <v>17434702</v>
      </c>
      <c r="F30" s="11"/>
      <c r="G30" s="11">
        <v>0</v>
      </c>
      <c r="H30" s="11"/>
      <c r="I30" s="11">
        <v>0</v>
      </c>
      <c r="J30" s="11"/>
      <c r="K30" s="11">
        <v>4386158</v>
      </c>
      <c r="L30" s="11"/>
      <c r="M30" s="11">
        <v>13008</v>
      </c>
      <c r="N30" s="11"/>
      <c r="O30" s="11">
        <v>330409</v>
      </c>
      <c r="P30" s="11"/>
      <c r="Q30" s="11">
        <v>342085</v>
      </c>
      <c r="R30" s="11"/>
      <c r="S30" s="11">
        <f t="shared" si="1"/>
        <v>22506362</v>
      </c>
      <c r="T30" s="7"/>
      <c r="U30" s="11">
        <v>1289512</v>
      </c>
      <c r="W30" s="7">
        <f>+S30-'Stmt net assets'!Q30-U30</f>
        <v>0</v>
      </c>
    </row>
    <row r="31" spans="1:25" ht="12.75" customHeight="1" x14ac:dyDescent="0.2">
      <c r="A31" s="6" t="s">
        <v>42</v>
      </c>
      <c r="C31" s="6" t="s">
        <v>43</v>
      </c>
      <c r="D31" s="6"/>
      <c r="E31" s="11">
        <v>29744462</v>
      </c>
      <c r="F31" s="11"/>
      <c r="G31" s="11">
        <v>0</v>
      </c>
      <c r="H31" s="11"/>
      <c r="I31" s="11">
        <v>0</v>
      </c>
      <c r="J31" s="11"/>
      <c r="K31" s="11">
        <f>17336816+1750307</f>
        <v>19087123</v>
      </c>
      <c r="L31" s="11"/>
      <c r="M31" s="11">
        <v>1500000</v>
      </c>
      <c r="N31" s="11"/>
      <c r="O31" s="11">
        <v>1739754</v>
      </c>
      <c r="P31" s="11"/>
      <c r="Q31" s="11">
        <v>0</v>
      </c>
      <c r="R31" s="11"/>
      <c r="S31" s="11">
        <f t="shared" si="1"/>
        <v>52071339</v>
      </c>
      <c r="T31" s="7"/>
      <c r="U31" s="11">
        <f>4343390-136933</f>
        <v>4206457</v>
      </c>
      <c r="W31" s="7">
        <f>+S31-'Stmt net assets'!Q31-U31</f>
        <v>0</v>
      </c>
    </row>
    <row r="32" spans="1:25" ht="12.75" customHeight="1" x14ac:dyDescent="0.2">
      <c r="A32" s="6" t="s">
        <v>44</v>
      </c>
      <c r="C32" s="6" t="s">
        <v>45</v>
      </c>
      <c r="D32" s="6"/>
      <c r="E32" s="11">
        <v>6875000</v>
      </c>
      <c r="F32" s="11"/>
      <c r="G32" s="11">
        <v>0</v>
      </c>
      <c r="H32" s="11"/>
      <c r="I32" s="11">
        <v>4895000</v>
      </c>
      <c r="J32" s="11"/>
      <c r="K32" s="11">
        <v>19079510</v>
      </c>
      <c r="L32" s="11"/>
      <c r="M32" s="11">
        <v>70982</v>
      </c>
      <c r="N32" s="11"/>
      <c r="O32" s="11">
        <v>1544659</v>
      </c>
      <c r="P32" s="11"/>
      <c r="Q32" s="11">
        <v>0</v>
      </c>
      <c r="R32" s="11"/>
      <c r="S32" s="11">
        <f t="shared" si="1"/>
        <v>32465151</v>
      </c>
      <c r="T32" s="7"/>
      <c r="U32" s="11">
        <v>6929947</v>
      </c>
      <c r="W32" s="7">
        <f>+S32-'Stmt net assets'!Q32-U32</f>
        <v>0</v>
      </c>
    </row>
    <row r="33" spans="1:25" ht="12.75" customHeight="1" x14ac:dyDescent="0.2">
      <c r="A33" s="6" t="s">
        <v>46</v>
      </c>
      <c r="C33" s="6" t="s">
        <v>25</v>
      </c>
      <c r="D33" s="6"/>
      <c r="E33" s="11">
        <v>7321387</v>
      </c>
      <c r="F33" s="11"/>
      <c r="G33" s="11">
        <v>4559758</v>
      </c>
      <c r="H33" s="11"/>
      <c r="I33" s="11">
        <v>0</v>
      </c>
      <c r="J33" s="11"/>
      <c r="K33" s="11">
        <v>442183</v>
      </c>
      <c r="L33" s="11"/>
      <c r="M33" s="11">
        <v>0</v>
      </c>
      <c r="N33" s="11"/>
      <c r="O33" s="11">
        <v>828721</v>
      </c>
      <c r="P33" s="11"/>
      <c r="Q33" s="11">
        <v>0</v>
      </c>
      <c r="R33" s="11"/>
      <c r="S33" s="11">
        <f t="shared" si="1"/>
        <v>13152049</v>
      </c>
      <c r="T33" s="7"/>
      <c r="U33" s="11">
        <v>1182597</v>
      </c>
      <c r="W33" s="7">
        <f>+S33-'Stmt net assets'!Q33-U33</f>
        <v>0</v>
      </c>
    </row>
    <row r="34" spans="1:25" ht="12.75" customHeight="1" x14ac:dyDescent="0.2">
      <c r="A34" s="6" t="s">
        <v>47</v>
      </c>
      <c r="C34" s="6" t="s">
        <v>25</v>
      </c>
      <c r="D34" s="6"/>
      <c r="E34" s="11">
        <v>4105635</v>
      </c>
      <c r="F34" s="11"/>
      <c r="G34" s="11">
        <v>2087490</v>
      </c>
      <c r="H34" s="11"/>
      <c r="I34" s="11">
        <v>0</v>
      </c>
      <c r="J34" s="11"/>
      <c r="K34" s="11">
        <f>1012313+130000+35856</f>
        <v>1178169</v>
      </c>
      <c r="L34" s="11"/>
      <c r="M34" s="11">
        <v>110524</v>
      </c>
      <c r="N34" s="11"/>
      <c r="O34" s="11">
        <v>1418313</v>
      </c>
      <c r="P34" s="11"/>
      <c r="Q34" s="11">
        <v>0</v>
      </c>
      <c r="R34" s="11"/>
      <c r="S34" s="11">
        <f t="shared" si="1"/>
        <v>8900131</v>
      </c>
      <c r="T34" s="7"/>
      <c r="U34" s="11">
        <v>1718549</v>
      </c>
      <c r="W34" s="7">
        <f>+S34-'Stmt net assets'!Q34-U34</f>
        <v>0</v>
      </c>
    </row>
    <row r="35" spans="1:25" ht="12.75" customHeight="1" x14ac:dyDescent="0.2">
      <c r="A35" s="6" t="s">
        <v>48</v>
      </c>
      <c r="C35" s="6" t="s">
        <v>25</v>
      </c>
      <c r="D35" s="6"/>
      <c r="E35" s="11">
        <v>2480000</v>
      </c>
      <c r="F35" s="11"/>
      <c r="G35" s="11">
        <v>0</v>
      </c>
      <c r="H35" s="11"/>
      <c r="I35" s="11">
        <v>289000</v>
      </c>
      <c r="J35" s="11"/>
      <c r="K35" s="11">
        <f>1705665+112232</f>
        <v>1817897</v>
      </c>
      <c r="L35" s="11"/>
      <c r="M35" s="11">
        <v>1616919</v>
      </c>
      <c r="N35" s="11"/>
      <c r="O35" s="11">
        <v>1889304</v>
      </c>
      <c r="P35" s="11"/>
      <c r="Q35" s="11">
        <f>1022899+24004</f>
        <v>1046903</v>
      </c>
      <c r="R35" s="11"/>
      <c r="S35" s="11">
        <f t="shared" si="1"/>
        <v>9140023</v>
      </c>
      <c r="T35" s="7"/>
      <c r="U35" s="11">
        <v>1941252</v>
      </c>
      <c r="W35" s="7">
        <f>+S35-'Stmt net assets'!Q35-U35</f>
        <v>0</v>
      </c>
    </row>
    <row r="36" spans="1:25" ht="12.75" customHeight="1" x14ac:dyDescent="0.2">
      <c r="A36" s="6" t="s">
        <v>49</v>
      </c>
      <c r="C36" s="6" t="s">
        <v>25</v>
      </c>
      <c r="D36" s="6"/>
      <c r="E36" s="11">
        <v>4209187</v>
      </c>
      <c r="F36" s="11"/>
      <c r="G36" s="11">
        <v>0</v>
      </c>
      <c r="H36" s="11"/>
      <c r="I36" s="11">
        <v>0</v>
      </c>
      <c r="J36" s="11"/>
      <c r="K36" s="11">
        <v>137425</v>
      </c>
      <c r="L36" s="11"/>
      <c r="M36" s="11">
        <v>1470014</v>
      </c>
      <c r="N36" s="11"/>
      <c r="O36" s="11">
        <v>1510261</v>
      </c>
      <c r="P36" s="11"/>
      <c r="Q36" s="11">
        <f>46618+7073972</f>
        <v>7120590</v>
      </c>
      <c r="R36" s="11"/>
      <c r="S36" s="11">
        <f t="shared" si="1"/>
        <v>14447477</v>
      </c>
      <c r="T36" s="7"/>
      <c r="U36" s="11">
        <v>543828</v>
      </c>
      <c r="W36" s="7">
        <f>+S36-'Stmt net assets'!Q36-U36</f>
        <v>0</v>
      </c>
    </row>
    <row r="37" spans="1:25" ht="12.75" customHeight="1" x14ac:dyDescent="0.2">
      <c r="A37" s="6" t="s">
        <v>458</v>
      </c>
      <c r="C37" s="6" t="s">
        <v>64</v>
      </c>
      <c r="D37" s="6"/>
      <c r="E37" s="11">
        <v>0</v>
      </c>
      <c r="F37" s="11"/>
      <c r="G37" s="11">
        <v>0</v>
      </c>
      <c r="H37" s="11"/>
      <c r="I37" s="11">
        <f>200000+884000</f>
        <v>1084000</v>
      </c>
      <c r="J37" s="11"/>
      <c r="K37" s="11">
        <v>12058</v>
      </c>
      <c r="L37" s="11"/>
      <c r="M37" s="11">
        <v>200565</v>
      </c>
      <c r="N37" s="11"/>
      <c r="O37" s="11">
        <v>122707</v>
      </c>
      <c r="P37" s="11"/>
      <c r="Q37" s="11">
        <v>0</v>
      </c>
      <c r="R37" s="11"/>
      <c r="S37" s="11">
        <f t="shared" si="1"/>
        <v>1419330</v>
      </c>
      <c r="T37" s="7"/>
      <c r="U37" s="11">
        <v>368153</v>
      </c>
      <c r="W37" s="7">
        <f>+S37-'Stmt net assets'!Q37-U37</f>
        <v>0</v>
      </c>
    </row>
    <row r="38" spans="1:25" ht="12.75" customHeight="1" x14ac:dyDescent="0.2">
      <c r="A38" s="6" t="s">
        <v>50</v>
      </c>
      <c r="C38" s="6" t="s">
        <v>51</v>
      </c>
      <c r="D38" s="6"/>
      <c r="E38" s="11">
        <v>1427594</v>
      </c>
      <c r="F38" s="11"/>
      <c r="G38" s="11">
        <v>1404023</v>
      </c>
      <c r="H38" s="11"/>
      <c r="I38" s="11">
        <v>0</v>
      </c>
      <c r="J38" s="11"/>
      <c r="K38" s="11">
        <v>288930</v>
      </c>
      <c r="L38" s="11"/>
      <c r="M38" s="11">
        <v>54059</v>
      </c>
      <c r="N38" s="11"/>
      <c r="O38" s="11">
        <v>448521</v>
      </c>
      <c r="P38" s="11"/>
      <c r="Q38" s="11">
        <v>0</v>
      </c>
      <c r="R38" s="11"/>
      <c r="S38" s="11">
        <f t="shared" si="1"/>
        <v>3623127</v>
      </c>
      <c r="T38" s="7"/>
      <c r="U38" s="11">
        <v>278141</v>
      </c>
      <c r="W38" s="7">
        <f>+S38-'Stmt net assets'!Q38-U38</f>
        <v>0</v>
      </c>
    </row>
    <row r="39" spans="1:25" ht="12.75" customHeight="1" x14ac:dyDescent="0.2">
      <c r="A39" s="6" t="s">
        <v>52</v>
      </c>
      <c r="C39" s="6" t="s">
        <v>53</v>
      </c>
      <c r="D39" s="6"/>
      <c r="E39" s="11">
        <v>4898921</v>
      </c>
      <c r="F39" s="11"/>
      <c r="G39" s="11">
        <v>0</v>
      </c>
      <c r="H39" s="11"/>
      <c r="I39" s="11">
        <v>500000</v>
      </c>
      <c r="J39" s="11"/>
      <c r="K39" s="11">
        <v>0</v>
      </c>
      <c r="L39" s="11"/>
      <c r="M39" s="11">
        <v>0</v>
      </c>
      <c r="N39" s="11"/>
      <c r="O39" s="11">
        <v>1085962</v>
      </c>
      <c r="P39" s="11"/>
      <c r="Q39" s="11">
        <v>0</v>
      </c>
      <c r="R39" s="11"/>
      <c r="S39" s="11">
        <f t="shared" si="1"/>
        <v>6484883</v>
      </c>
      <c r="T39" s="7"/>
      <c r="U39" s="11">
        <v>982144</v>
      </c>
      <c r="W39" s="7">
        <f>+S39-'Stmt net assets'!Q39-U39</f>
        <v>0</v>
      </c>
    </row>
    <row r="40" spans="1:25" ht="12.75" customHeight="1" x14ac:dyDescent="0.2">
      <c r="A40" s="6" t="s">
        <v>54</v>
      </c>
      <c r="C40" s="6" t="s">
        <v>55</v>
      </c>
      <c r="D40" s="6"/>
      <c r="E40" s="11">
        <v>0</v>
      </c>
      <c r="F40" s="11"/>
      <c r="G40" s="11">
        <f>56000+24000</f>
        <v>80000</v>
      </c>
      <c r="H40" s="11"/>
      <c r="I40" s="11">
        <v>0</v>
      </c>
      <c r="J40" s="11"/>
      <c r="K40" s="11">
        <v>164000</v>
      </c>
      <c r="L40" s="11"/>
      <c r="M40" s="11">
        <v>0</v>
      </c>
      <c r="N40" s="11"/>
      <c r="O40" s="11">
        <v>693129</v>
      </c>
      <c r="P40" s="11"/>
      <c r="Q40" s="11">
        <f>127713+145810</f>
        <v>273523</v>
      </c>
      <c r="R40" s="11"/>
      <c r="S40" s="11">
        <f t="shared" si="1"/>
        <v>1210652</v>
      </c>
      <c r="T40" s="7"/>
      <c r="U40" s="11">
        <v>295706</v>
      </c>
      <c r="W40" s="7">
        <f>+S40-'Stmt net assets'!Q40-U40</f>
        <v>0</v>
      </c>
    </row>
    <row r="41" spans="1:25" ht="12.75" customHeight="1" x14ac:dyDescent="0.2">
      <c r="A41" s="6" t="s">
        <v>56</v>
      </c>
      <c r="C41" s="6" t="s">
        <v>57</v>
      </c>
      <c r="D41" s="6"/>
      <c r="E41" s="11">
        <v>3882214</v>
      </c>
      <c r="F41" s="11"/>
      <c r="G41" s="11">
        <v>0</v>
      </c>
      <c r="H41" s="11"/>
      <c r="I41" s="11">
        <v>0</v>
      </c>
      <c r="J41" s="11"/>
      <c r="K41" s="11">
        <f>67711+6697</f>
        <v>74408</v>
      </c>
      <c r="L41" s="11"/>
      <c r="M41" s="11">
        <v>203713</v>
      </c>
      <c r="N41" s="11"/>
      <c r="O41" s="11">
        <v>839926</v>
      </c>
      <c r="P41" s="11"/>
      <c r="Q41" s="11">
        <v>456534</v>
      </c>
      <c r="R41" s="11"/>
      <c r="S41" s="11">
        <f t="shared" si="1"/>
        <v>5456795</v>
      </c>
      <c r="T41" s="7"/>
      <c r="U41" s="11">
        <v>279129</v>
      </c>
      <c r="W41" s="7">
        <f>+S41-'Stmt net assets'!Q41-U41</f>
        <v>0</v>
      </c>
    </row>
    <row r="42" spans="1:25" ht="12.75" customHeight="1" x14ac:dyDescent="0.2">
      <c r="A42" s="7" t="s">
        <v>509</v>
      </c>
      <c r="C42" s="6" t="s">
        <v>59</v>
      </c>
      <c r="D42" s="6"/>
      <c r="E42" s="11">
        <v>0</v>
      </c>
      <c r="F42" s="11"/>
      <c r="G42" s="11">
        <v>0</v>
      </c>
      <c r="H42" s="11"/>
      <c r="I42" s="11">
        <v>0</v>
      </c>
      <c r="J42" s="11"/>
      <c r="K42" s="11">
        <v>0</v>
      </c>
      <c r="L42" s="11"/>
      <c r="M42" s="11">
        <v>0</v>
      </c>
      <c r="N42" s="11"/>
      <c r="O42" s="11">
        <v>276919</v>
      </c>
      <c r="P42" s="11"/>
      <c r="Q42" s="11">
        <v>510069</v>
      </c>
      <c r="R42" s="11"/>
      <c r="S42" s="11">
        <f t="shared" ref="S42" si="2">SUM(E42:Q42)</f>
        <v>786988</v>
      </c>
      <c r="T42" s="7"/>
      <c r="U42" s="11">
        <v>60436</v>
      </c>
      <c r="W42" s="7">
        <f>+S42-'Stmt net assets'!Q42-U42</f>
        <v>0</v>
      </c>
    </row>
    <row r="43" spans="1:25" ht="12.75" customHeight="1" x14ac:dyDescent="0.2">
      <c r="A43" s="7" t="s">
        <v>470</v>
      </c>
      <c r="C43" s="6" t="s">
        <v>13</v>
      </c>
      <c r="D43" s="6"/>
      <c r="E43" s="11">
        <v>1093279</v>
      </c>
      <c r="F43" s="11"/>
      <c r="G43" s="11">
        <v>0</v>
      </c>
      <c r="H43" s="11"/>
      <c r="I43" s="11">
        <v>0</v>
      </c>
      <c r="J43" s="11"/>
      <c r="K43" s="11">
        <v>0</v>
      </c>
      <c r="L43" s="11"/>
      <c r="M43" s="11">
        <v>84501</v>
      </c>
      <c r="N43" s="11"/>
      <c r="O43" s="11">
        <v>54458</v>
      </c>
      <c r="P43" s="11"/>
      <c r="Q43" s="11">
        <v>0</v>
      </c>
      <c r="R43" s="11"/>
      <c r="S43" s="11">
        <f t="shared" si="1"/>
        <v>1232238</v>
      </c>
      <c r="T43" s="7"/>
      <c r="U43" s="11">
        <v>77576</v>
      </c>
      <c r="W43" s="7">
        <f>+S43-'Stmt net assets'!Q43-U43</f>
        <v>0</v>
      </c>
    </row>
    <row r="44" spans="1:25" ht="12.75" customHeight="1" x14ac:dyDescent="0.2">
      <c r="A44" s="7" t="s">
        <v>493</v>
      </c>
      <c r="B44" s="10"/>
      <c r="C44" s="7" t="s">
        <v>41</v>
      </c>
      <c r="D44" s="6"/>
      <c r="E44" s="11">
        <v>5645000</v>
      </c>
      <c r="F44" s="11"/>
      <c r="G44" s="11">
        <v>0</v>
      </c>
      <c r="H44" s="11"/>
      <c r="I44" s="11">
        <v>1500000</v>
      </c>
      <c r="J44" s="11"/>
      <c r="K44" s="11">
        <v>2087592</v>
      </c>
      <c r="L44" s="11"/>
      <c r="M44" s="11">
        <v>35504</v>
      </c>
      <c r="N44" s="11"/>
      <c r="O44" s="11">
        <v>81721</v>
      </c>
      <c r="P44" s="11"/>
      <c r="Q44" s="11">
        <f>35430-7380</f>
        <v>28050</v>
      </c>
      <c r="R44" s="11"/>
      <c r="S44" s="11">
        <f t="shared" ref="S44" si="3">SUM(E44:Q44)</f>
        <v>9377867</v>
      </c>
      <c r="T44" s="7"/>
      <c r="U44" s="11">
        <v>2345951</v>
      </c>
      <c r="W44" s="7">
        <f>+S44-'Stmt net assets'!Q44-U44</f>
        <v>0</v>
      </c>
    </row>
    <row r="45" spans="1:25" ht="12.75" customHeight="1" x14ac:dyDescent="0.2">
      <c r="A45" s="6" t="s">
        <v>58</v>
      </c>
      <c r="C45" s="6" t="s">
        <v>59</v>
      </c>
      <c r="D45" s="6"/>
      <c r="E45" s="11">
        <v>872314</v>
      </c>
      <c r="F45" s="11"/>
      <c r="G45" s="11">
        <v>0</v>
      </c>
      <c r="H45" s="11"/>
      <c r="I45" s="11">
        <v>0</v>
      </c>
      <c r="J45" s="11"/>
      <c r="K45" s="11">
        <v>119352</v>
      </c>
      <c r="L45" s="11"/>
      <c r="M45" s="11">
        <v>0</v>
      </c>
      <c r="N45" s="11"/>
      <c r="O45" s="11">
        <v>217473</v>
      </c>
      <c r="P45" s="11"/>
      <c r="Q45" s="11">
        <v>0</v>
      </c>
      <c r="R45" s="11"/>
      <c r="S45" s="11">
        <f t="shared" si="1"/>
        <v>1209139</v>
      </c>
      <c r="T45" s="7"/>
      <c r="U45" s="11">
        <v>365251</v>
      </c>
      <c r="W45" s="7">
        <f>+S45-'Stmt net assets'!Q45-U45</f>
        <v>0</v>
      </c>
    </row>
    <row r="46" spans="1:25" ht="12.75" hidden="1" customHeight="1" x14ac:dyDescent="0.2">
      <c r="A46" s="7" t="s">
        <v>60</v>
      </c>
      <c r="C46" s="6" t="s">
        <v>13</v>
      </c>
      <c r="D46" s="6"/>
      <c r="E46" s="11">
        <f>2735000+3030000+5775165</f>
        <v>11540165</v>
      </c>
      <c r="F46" s="11"/>
      <c r="G46" s="11">
        <v>0</v>
      </c>
      <c r="H46" s="11"/>
      <c r="I46" s="11">
        <v>0</v>
      </c>
      <c r="J46" s="11"/>
      <c r="K46" s="11">
        <f>560565+11500+427992+49143+139635+187500+419900</f>
        <v>1796235</v>
      </c>
      <c r="L46" s="11"/>
      <c r="M46" s="11">
        <v>197607</v>
      </c>
      <c r="N46" s="11"/>
      <c r="O46" s="11">
        <v>6831946</v>
      </c>
      <c r="P46" s="11"/>
      <c r="Q46" s="11">
        <v>0</v>
      </c>
      <c r="R46" s="11"/>
      <c r="S46" s="11">
        <f t="shared" si="1"/>
        <v>20365953</v>
      </c>
      <c r="T46" s="7"/>
      <c r="U46" s="11">
        <v>3880026</v>
      </c>
      <c r="W46" s="7">
        <f>+S46-'Stmt net assets'!Q46-U46</f>
        <v>-1814128</v>
      </c>
      <c r="Y46" s="7"/>
    </row>
    <row r="47" spans="1:25" ht="12.75" hidden="1" customHeight="1" x14ac:dyDescent="0.2">
      <c r="A47" s="6" t="s">
        <v>479</v>
      </c>
      <c r="C47" s="6" t="s">
        <v>109</v>
      </c>
      <c r="D47" s="6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>
        <f t="shared" si="1"/>
        <v>0</v>
      </c>
      <c r="T47" s="7"/>
      <c r="U47" s="11"/>
      <c r="W47" s="7">
        <f>+S47-'Stmt net assets'!Q47-U47</f>
        <v>0</v>
      </c>
      <c r="Y47" s="7"/>
    </row>
    <row r="48" spans="1:25" ht="12.75" customHeight="1" x14ac:dyDescent="0.2">
      <c r="A48" s="6" t="s">
        <v>61</v>
      </c>
      <c r="C48" s="6" t="s">
        <v>62</v>
      </c>
      <c r="D48" s="6"/>
      <c r="E48" s="11">
        <v>2515957</v>
      </c>
      <c r="F48" s="11"/>
      <c r="G48" s="11">
        <v>0</v>
      </c>
      <c r="H48" s="11"/>
      <c r="I48" s="11">
        <f>1050000+926000</f>
        <v>1976000</v>
      </c>
      <c r="J48" s="11"/>
      <c r="K48" s="11">
        <v>130592</v>
      </c>
      <c r="L48" s="11"/>
      <c r="M48" s="11">
        <v>431169</v>
      </c>
      <c r="N48" s="11"/>
      <c r="O48" s="11">
        <v>462716</v>
      </c>
      <c r="P48" s="11"/>
      <c r="Q48" s="11">
        <v>0</v>
      </c>
      <c r="R48" s="11"/>
      <c r="S48" s="11">
        <f>SUM(E48:Q48)</f>
        <v>5516434</v>
      </c>
      <c r="T48" s="7"/>
      <c r="U48" s="11">
        <v>1463831</v>
      </c>
      <c r="W48" s="7">
        <f>+S48-'Stmt net assets'!Q48-U48</f>
        <v>0</v>
      </c>
    </row>
    <row r="49" spans="1:27" ht="12.75" customHeight="1" x14ac:dyDescent="0.2">
      <c r="A49" s="6" t="s">
        <v>63</v>
      </c>
      <c r="C49" s="6" t="s">
        <v>64</v>
      </c>
      <c r="D49" s="6"/>
      <c r="E49" s="11">
        <v>474777</v>
      </c>
      <c r="F49" s="11"/>
      <c r="G49" s="11">
        <v>5870000</v>
      </c>
      <c r="H49" s="11"/>
      <c r="I49" s="11">
        <v>679337</v>
      </c>
      <c r="J49" s="11"/>
      <c r="K49" s="11">
        <v>0</v>
      </c>
      <c r="L49" s="11"/>
      <c r="M49" s="11">
        <v>0</v>
      </c>
      <c r="N49" s="11"/>
      <c r="O49" s="11">
        <v>723877</v>
      </c>
      <c r="P49" s="11"/>
      <c r="Q49" s="11">
        <v>0</v>
      </c>
      <c r="R49" s="11"/>
      <c r="S49" s="11">
        <f t="shared" si="1"/>
        <v>7747991</v>
      </c>
      <c r="T49" s="7"/>
      <c r="U49" s="11">
        <v>624356</v>
      </c>
      <c r="W49" s="7">
        <f>+S49-'Stmt net assets'!Q49-U49</f>
        <v>0</v>
      </c>
    </row>
    <row r="50" spans="1:27" ht="12.75" hidden="1" customHeight="1" x14ac:dyDescent="0.2">
      <c r="A50" s="19" t="s">
        <v>65</v>
      </c>
      <c r="B50" s="21"/>
      <c r="C50" s="19" t="s">
        <v>373</v>
      </c>
      <c r="D50" s="19"/>
      <c r="E50" s="11">
        <v>740000</v>
      </c>
      <c r="F50" s="11"/>
      <c r="G50" s="11">
        <v>0</v>
      </c>
      <c r="H50" s="11"/>
      <c r="I50" s="11">
        <v>0</v>
      </c>
      <c r="J50" s="11"/>
      <c r="K50" s="11">
        <v>984736</v>
      </c>
      <c r="L50" s="11"/>
      <c r="M50" s="11">
        <v>0</v>
      </c>
      <c r="N50" s="11"/>
      <c r="O50" s="11">
        <v>532933</v>
      </c>
      <c r="P50" s="11"/>
      <c r="Q50" s="11">
        <v>0</v>
      </c>
      <c r="R50" s="11"/>
      <c r="S50" s="11">
        <f t="shared" si="1"/>
        <v>2257669</v>
      </c>
      <c r="T50" s="7"/>
      <c r="U50" s="11">
        <v>466372</v>
      </c>
      <c r="W50" s="7">
        <f>+S50-'Stmt net assets'!Q50-U50</f>
        <v>0</v>
      </c>
      <c r="AA50" s="62"/>
    </row>
    <row r="51" spans="1:27" ht="12.75" customHeight="1" x14ac:dyDescent="0.2">
      <c r="A51" s="19" t="s">
        <v>66</v>
      </c>
      <c r="B51" s="21"/>
      <c r="C51" s="19" t="s">
        <v>43</v>
      </c>
      <c r="D51" s="19"/>
      <c r="E51" s="11">
        <v>0</v>
      </c>
      <c r="F51" s="11"/>
      <c r="G51" s="11">
        <v>0</v>
      </c>
      <c r="H51" s="11"/>
      <c r="I51" s="11">
        <v>455000</v>
      </c>
      <c r="J51" s="11"/>
      <c r="K51" s="11">
        <v>0</v>
      </c>
      <c r="L51" s="11"/>
      <c r="M51" s="11">
        <v>0</v>
      </c>
      <c r="N51" s="11"/>
      <c r="O51" s="11">
        <v>114255</v>
      </c>
      <c r="P51" s="11"/>
      <c r="Q51" s="11">
        <v>0</v>
      </c>
      <c r="R51" s="11"/>
      <c r="S51" s="11">
        <f t="shared" si="1"/>
        <v>569255</v>
      </c>
      <c r="T51" s="7"/>
      <c r="U51" s="11">
        <v>10151</v>
      </c>
      <c r="W51" s="7">
        <f>+S51-'Stmt net assets'!Q51-U51</f>
        <v>0</v>
      </c>
    </row>
    <row r="52" spans="1:27" ht="12.75" hidden="1" customHeight="1" x14ac:dyDescent="0.2">
      <c r="A52" s="6" t="s">
        <v>67</v>
      </c>
      <c r="C52" s="6" t="s">
        <v>68</v>
      </c>
      <c r="D52" s="6"/>
      <c r="E52" s="11">
        <v>75000</v>
      </c>
      <c r="F52" s="11"/>
      <c r="G52" s="11">
        <v>0</v>
      </c>
      <c r="H52" s="11"/>
      <c r="I52" s="11">
        <v>0</v>
      </c>
      <c r="J52" s="11"/>
      <c r="K52" s="11">
        <v>37838</v>
      </c>
      <c r="L52" s="11"/>
      <c r="M52" s="11">
        <v>270679</v>
      </c>
      <c r="N52" s="11"/>
      <c r="O52" s="11">
        <v>1983747</v>
      </c>
      <c r="P52" s="11"/>
      <c r="Q52" s="11">
        <f>463056+375000</f>
        <v>838056</v>
      </c>
      <c r="R52" s="11"/>
      <c r="S52" s="11">
        <f t="shared" si="1"/>
        <v>3205320</v>
      </c>
      <c r="T52" s="7"/>
      <c r="U52" s="11">
        <v>1060011</v>
      </c>
      <c r="W52" s="7">
        <f>+S52-'Stmt net assets'!Q52-U52</f>
        <v>0</v>
      </c>
    </row>
    <row r="53" spans="1:27" ht="12.75" customHeight="1" x14ac:dyDescent="0.2">
      <c r="A53" s="6" t="s">
        <v>69</v>
      </c>
      <c r="C53" s="6" t="s">
        <v>43</v>
      </c>
      <c r="D53" s="6"/>
      <c r="E53" s="11">
        <v>478284000</v>
      </c>
      <c r="F53" s="11"/>
      <c r="G53" s="11">
        <v>92674000</v>
      </c>
      <c r="H53" s="11"/>
      <c r="I53" s="11">
        <v>12887000</v>
      </c>
      <c r="J53" s="11"/>
      <c r="K53" s="11">
        <v>2425000</v>
      </c>
      <c r="L53" s="11"/>
      <c r="M53" s="11">
        <v>284000</v>
      </c>
      <c r="N53" s="11"/>
      <c r="O53" s="11">
        <v>97581000</v>
      </c>
      <c r="P53" s="11"/>
      <c r="Q53" s="11">
        <f>61945000+106581000+67838000+564000</f>
        <v>236928000</v>
      </c>
      <c r="R53" s="11"/>
      <c r="S53" s="11">
        <f t="shared" si="1"/>
        <v>921063000</v>
      </c>
      <c r="T53" s="7"/>
      <c r="U53" s="11">
        <v>109992000</v>
      </c>
      <c r="W53" s="7">
        <f>+S53-'Stmt net assets'!Q53-U53</f>
        <v>0</v>
      </c>
    </row>
    <row r="54" spans="1:27" ht="12.75" customHeight="1" x14ac:dyDescent="0.2">
      <c r="A54" s="7" t="s">
        <v>459</v>
      </c>
      <c r="C54" s="7" t="s">
        <v>460</v>
      </c>
      <c r="D54" s="7"/>
      <c r="E54" s="11">
        <v>3092797</v>
      </c>
      <c r="F54" s="11"/>
      <c r="G54" s="11">
        <v>0</v>
      </c>
      <c r="H54" s="11"/>
      <c r="I54" s="11">
        <v>0</v>
      </c>
      <c r="J54" s="11"/>
      <c r="K54" s="11">
        <v>0</v>
      </c>
      <c r="L54" s="11"/>
      <c r="M54" s="11">
        <v>197238</v>
      </c>
      <c r="N54" s="11"/>
      <c r="O54" s="11">
        <v>417912</v>
      </c>
      <c r="P54" s="11"/>
      <c r="Q54" s="11">
        <v>0</v>
      </c>
      <c r="R54" s="11"/>
      <c r="S54" s="11">
        <f t="shared" si="1"/>
        <v>3707947</v>
      </c>
      <c r="T54" s="7"/>
      <c r="U54" s="11">
        <v>679055</v>
      </c>
      <c r="W54" s="7">
        <f>+S54-'Stmt net assets'!Q54-U54</f>
        <v>0</v>
      </c>
      <c r="AA54" s="62"/>
    </row>
    <row r="55" spans="1:27" ht="12.75" customHeight="1" x14ac:dyDescent="0.2">
      <c r="A55" s="6" t="s">
        <v>70</v>
      </c>
      <c r="C55" s="6" t="s">
        <v>64</v>
      </c>
      <c r="D55" s="6"/>
      <c r="E55" s="11">
        <v>5198620</v>
      </c>
      <c r="F55" s="11"/>
      <c r="G55" s="11">
        <v>0</v>
      </c>
      <c r="H55" s="11"/>
      <c r="I55" s="11">
        <f>83094+185433</f>
        <v>268527</v>
      </c>
      <c r="J55" s="11"/>
      <c r="K55" s="11">
        <v>0</v>
      </c>
      <c r="L55" s="11"/>
      <c r="M55" s="11">
        <v>466648</v>
      </c>
      <c r="N55" s="11"/>
      <c r="O55" s="11">
        <v>242014</v>
      </c>
      <c r="P55" s="11"/>
      <c r="Q55" s="11">
        <v>0</v>
      </c>
      <c r="R55" s="11"/>
      <c r="S55" s="11">
        <f t="shared" si="1"/>
        <v>6175809</v>
      </c>
      <c r="T55" s="7"/>
      <c r="U55" s="11">
        <v>513370</v>
      </c>
      <c r="W55" s="7">
        <f>+S55-'Stmt net assets'!Q55-U55</f>
        <v>0</v>
      </c>
    </row>
    <row r="56" spans="1:27" ht="12.75" customHeight="1" x14ac:dyDescent="0.2">
      <c r="A56" s="6" t="s">
        <v>71</v>
      </c>
      <c r="B56" s="20"/>
      <c r="C56" s="6" t="s">
        <v>25</v>
      </c>
      <c r="D56" s="6"/>
      <c r="E56" s="11">
        <f>308700000+4270000+50020000+92380000</f>
        <v>455370000</v>
      </c>
      <c r="F56" s="11"/>
      <c r="G56" s="11">
        <v>0</v>
      </c>
      <c r="H56" s="11"/>
      <c r="I56" s="11">
        <v>1000000</v>
      </c>
      <c r="J56" s="11"/>
      <c r="K56" s="11">
        <v>0</v>
      </c>
      <c r="L56" s="11"/>
      <c r="M56" s="11">
        <v>16236000</v>
      </c>
      <c r="N56" s="11"/>
      <c r="O56" s="11">
        <v>2925000</v>
      </c>
      <c r="P56" s="11"/>
      <c r="Q56" s="11">
        <f>10575000+38955000+6364000+10765000+123605000+48199000+45724000+3772000-9509000+20725000</f>
        <v>299175000</v>
      </c>
      <c r="R56" s="11"/>
      <c r="S56" s="11">
        <f t="shared" si="1"/>
        <v>774706000</v>
      </c>
      <c r="T56" s="7"/>
      <c r="U56" s="11">
        <v>78016000</v>
      </c>
      <c r="W56" s="7">
        <f>+S56-'Stmt net assets'!Q56-U56</f>
        <v>0</v>
      </c>
    </row>
    <row r="57" spans="1:27" ht="12.75" customHeight="1" x14ac:dyDescent="0.2">
      <c r="A57" s="6" t="s">
        <v>72</v>
      </c>
      <c r="C57" s="6" t="s">
        <v>25</v>
      </c>
      <c r="D57" s="6"/>
      <c r="E57" s="11">
        <v>11949619</v>
      </c>
      <c r="F57" s="11"/>
      <c r="G57" s="11">
        <v>2613206</v>
      </c>
      <c r="H57" s="11"/>
      <c r="I57" s="11">
        <v>0</v>
      </c>
      <c r="J57" s="11"/>
      <c r="K57" s="11">
        <v>1286753</v>
      </c>
      <c r="L57" s="11"/>
      <c r="M57" s="11">
        <v>283615</v>
      </c>
      <c r="N57" s="11"/>
      <c r="O57" s="11">
        <v>6169044</v>
      </c>
      <c r="P57" s="11"/>
      <c r="Q57" s="11">
        <v>748582</v>
      </c>
      <c r="R57" s="11"/>
      <c r="S57" s="11">
        <f t="shared" si="1"/>
        <v>23050819</v>
      </c>
      <c r="T57" s="7"/>
      <c r="U57" s="11">
        <v>4800859</v>
      </c>
      <c r="W57" s="7">
        <f>+S57-'Stmt net assets'!Q57-U57</f>
        <v>0</v>
      </c>
    </row>
    <row r="58" spans="1:27" s="21" customFormat="1" ht="12.75" customHeight="1" x14ac:dyDescent="0.2">
      <c r="A58" s="6" t="s">
        <v>73</v>
      </c>
      <c r="B58" s="14"/>
      <c r="C58" s="6" t="s">
        <v>74</v>
      </c>
      <c r="D58" s="6"/>
      <c r="E58" s="11">
        <v>1705000</v>
      </c>
      <c r="F58" s="11"/>
      <c r="G58" s="11">
        <v>0</v>
      </c>
      <c r="H58" s="11"/>
      <c r="I58" s="11">
        <v>235000</v>
      </c>
      <c r="J58" s="11"/>
      <c r="K58" s="11">
        <v>80286</v>
      </c>
      <c r="L58" s="11"/>
      <c r="M58" s="11">
        <v>16588</v>
      </c>
      <c r="N58" s="11"/>
      <c r="O58" s="11">
        <v>158577</v>
      </c>
      <c r="P58" s="11"/>
      <c r="Q58" s="11">
        <f>66813+1704250</f>
        <v>1771063</v>
      </c>
      <c r="R58" s="11"/>
      <c r="S58" s="11">
        <f t="shared" si="1"/>
        <v>3966514</v>
      </c>
      <c r="T58" s="7"/>
      <c r="U58" s="11">
        <v>388804</v>
      </c>
      <c r="V58" s="20"/>
      <c r="W58" s="7">
        <f>+S58-'Stmt net assets'!Q58-U58</f>
        <v>0</v>
      </c>
    </row>
    <row r="59" spans="1:27" ht="12.75" hidden="1" customHeight="1" x14ac:dyDescent="0.2">
      <c r="A59" s="6" t="s">
        <v>75</v>
      </c>
      <c r="C59" s="6" t="s">
        <v>41</v>
      </c>
      <c r="D59" s="6"/>
      <c r="E59" s="11">
        <f>5917000+1048208000+8630000+1100000+24436000+25531000</f>
        <v>1113822000</v>
      </c>
      <c r="F59" s="11"/>
      <c r="G59" s="11"/>
      <c r="H59" s="11"/>
      <c r="I59" s="11">
        <f>8001000+2151000+67955000</f>
        <v>78107000</v>
      </c>
      <c r="J59" s="11"/>
      <c r="K59" s="11">
        <v>0</v>
      </c>
      <c r="L59" s="11"/>
      <c r="M59" s="11">
        <v>0</v>
      </c>
      <c r="N59" s="11"/>
      <c r="O59" s="11">
        <v>0</v>
      </c>
      <c r="P59" s="11"/>
      <c r="Q59" s="11">
        <v>0</v>
      </c>
      <c r="R59" s="11"/>
      <c r="S59" s="11">
        <f t="shared" si="1"/>
        <v>1191929000</v>
      </c>
      <c r="T59" s="7"/>
      <c r="U59" s="11"/>
      <c r="W59" s="7">
        <f>+S59-'Stmt net assets'!Q59-U59</f>
        <v>-61253000</v>
      </c>
      <c r="AA59" s="7"/>
    </row>
    <row r="60" spans="1:27" ht="12.75" customHeight="1" x14ac:dyDescent="0.2">
      <c r="A60" s="6" t="s">
        <v>92</v>
      </c>
      <c r="C60" s="6" t="s">
        <v>92</v>
      </c>
      <c r="D60" s="6"/>
      <c r="E60" s="11">
        <v>0</v>
      </c>
      <c r="F60" s="11"/>
      <c r="G60" s="11">
        <v>0</v>
      </c>
      <c r="H60" s="11"/>
      <c r="I60" s="11">
        <v>0</v>
      </c>
      <c r="J60" s="11"/>
      <c r="K60" s="11">
        <v>322766</v>
      </c>
      <c r="L60" s="11"/>
      <c r="M60" s="11">
        <v>0</v>
      </c>
      <c r="N60" s="11"/>
      <c r="O60" s="11">
        <v>169189</v>
      </c>
      <c r="P60" s="11"/>
      <c r="Q60" s="11">
        <v>0</v>
      </c>
      <c r="R60" s="11"/>
      <c r="S60" s="11">
        <f t="shared" si="1"/>
        <v>491955</v>
      </c>
      <c r="T60" s="7"/>
      <c r="U60" s="11">
        <v>79149</v>
      </c>
      <c r="W60" s="7">
        <f>+S60-'Stmt net assets'!Q60-U60</f>
        <v>0</v>
      </c>
      <c r="AA60" s="62"/>
    </row>
    <row r="61" spans="1:27" ht="12.75" customHeight="1" x14ac:dyDescent="0.2">
      <c r="A61" s="6" t="s">
        <v>76</v>
      </c>
      <c r="C61" s="6" t="s">
        <v>17</v>
      </c>
      <c r="D61" s="6"/>
      <c r="E61" s="11">
        <v>1105175</v>
      </c>
      <c r="F61" s="11"/>
      <c r="G61" s="11">
        <v>0</v>
      </c>
      <c r="H61" s="11"/>
      <c r="I61" s="11">
        <v>343000</v>
      </c>
      <c r="J61" s="11"/>
      <c r="K61" s="11">
        <f>622506+1026597+34008</f>
        <v>1683111</v>
      </c>
      <c r="L61" s="11"/>
      <c r="M61" s="11">
        <v>18969</v>
      </c>
      <c r="N61" s="11"/>
      <c r="O61" s="11">
        <v>698612</v>
      </c>
      <c r="P61" s="11"/>
      <c r="Q61" s="11">
        <v>0</v>
      </c>
      <c r="R61" s="11"/>
      <c r="S61" s="11">
        <f t="shared" si="1"/>
        <v>3848867</v>
      </c>
      <c r="T61" s="7"/>
      <c r="U61" s="11">
        <v>550116</v>
      </c>
      <c r="W61" s="7">
        <f>+S61-'Stmt net assets'!Q61-U61</f>
        <v>0</v>
      </c>
    </row>
    <row r="62" spans="1:27" ht="12.75" customHeight="1" x14ac:dyDescent="0.2">
      <c r="A62" s="6" t="s">
        <v>77</v>
      </c>
      <c r="B62" s="20"/>
      <c r="C62" s="6" t="s">
        <v>78</v>
      </c>
      <c r="D62" s="6"/>
      <c r="E62" s="11">
        <v>0</v>
      </c>
      <c r="F62" s="11"/>
      <c r="G62" s="11">
        <v>0</v>
      </c>
      <c r="H62" s="11"/>
      <c r="I62" s="11">
        <v>0</v>
      </c>
      <c r="J62" s="11"/>
      <c r="K62" s="11">
        <v>0</v>
      </c>
      <c r="L62" s="11"/>
      <c r="M62" s="11">
        <v>0</v>
      </c>
      <c r="N62" s="11"/>
      <c r="O62" s="11">
        <v>267649</v>
      </c>
      <c r="P62" s="11"/>
      <c r="Q62" s="11">
        <v>0</v>
      </c>
      <c r="R62" s="11"/>
      <c r="S62" s="11">
        <f t="shared" si="1"/>
        <v>267649</v>
      </c>
      <c r="T62" s="7"/>
      <c r="U62" s="11">
        <v>57911</v>
      </c>
      <c r="W62" s="7">
        <f>+S62-'Stmt net assets'!Q62-U62</f>
        <v>0</v>
      </c>
    </row>
    <row r="63" spans="1:27" s="21" customFormat="1" ht="12.75" customHeight="1" x14ac:dyDescent="0.2">
      <c r="A63" s="6" t="s">
        <v>79</v>
      </c>
      <c r="B63" s="14"/>
      <c r="C63" s="6" t="s">
        <v>79</v>
      </c>
      <c r="D63" s="6"/>
      <c r="E63" s="11">
        <v>0</v>
      </c>
      <c r="F63" s="11"/>
      <c r="G63" s="11">
        <v>0</v>
      </c>
      <c r="H63" s="11"/>
      <c r="I63" s="11">
        <v>0</v>
      </c>
      <c r="J63" s="11"/>
      <c r="K63" s="11">
        <v>195455</v>
      </c>
      <c r="L63" s="11"/>
      <c r="M63" s="11">
        <v>5491</v>
      </c>
      <c r="N63" s="11"/>
      <c r="O63" s="11">
        <v>528916</v>
      </c>
      <c r="P63" s="11"/>
      <c r="Q63" s="11">
        <v>0</v>
      </c>
      <c r="R63" s="11"/>
      <c r="S63" s="11">
        <f t="shared" si="1"/>
        <v>729862</v>
      </c>
      <c r="T63" s="7"/>
      <c r="U63" s="11">
        <v>62010</v>
      </c>
      <c r="V63" s="20"/>
      <c r="W63" s="7">
        <f>+S63-'Stmt net assets'!Q63-U63</f>
        <v>0</v>
      </c>
    </row>
    <row r="64" spans="1:27" ht="12.75" hidden="1" customHeight="1" x14ac:dyDescent="0.2">
      <c r="A64" s="10" t="s">
        <v>461</v>
      </c>
      <c r="B64" s="10"/>
      <c r="C64" s="10" t="s">
        <v>55</v>
      </c>
      <c r="D64" s="6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>
        <f t="shared" si="1"/>
        <v>0</v>
      </c>
      <c r="T64" s="7"/>
      <c r="U64" s="11"/>
      <c r="W64" s="7">
        <f>+S64-'Stmt net assets'!Q64-U64</f>
        <v>0</v>
      </c>
    </row>
    <row r="65" spans="1:25" ht="12.75" hidden="1" customHeight="1" x14ac:dyDescent="0.2">
      <c r="A65" s="6" t="s">
        <v>80</v>
      </c>
      <c r="C65" s="6" t="s">
        <v>11</v>
      </c>
      <c r="D65" s="6"/>
      <c r="E65" s="11">
        <v>3635404</v>
      </c>
      <c r="F65" s="11"/>
      <c r="G65" s="11">
        <v>0</v>
      </c>
      <c r="H65" s="11"/>
      <c r="I65" s="11">
        <v>0</v>
      </c>
      <c r="J65" s="11"/>
      <c r="K65" s="11">
        <v>1556828</v>
      </c>
      <c r="L65" s="11"/>
      <c r="M65" s="11">
        <v>6117423</v>
      </c>
      <c r="N65" s="11"/>
      <c r="O65" s="11">
        <v>1064969</v>
      </c>
      <c r="P65" s="11"/>
      <c r="Q65" s="11">
        <v>0</v>
      </c>
      <c r="R65" s="11"/>
      <c r="S65" s="11">
        <f t="shared" si="1"/>
        <v>12374624</v>
      </c>
      <c r="T65" s="7"/>
      <c r="U65" s="11">
        <v>2931351</v>
      </c>
      <c r="W65" s="7">
        <f>+S65-'Stmt net assets'!Q65-U65</f>
        <v>-1346218</v>
      </c>
    </row>
    <row r="66" spans="1:25" ht="12.75" customHeight="1" x14ac:dyDescent="0.2">
      <c r="A66" s="6" t="s">
        <v>81</v>
      </c>
      <c r="C66" s="6" t="s">
        <v>64</v>
      </c>
      <c r="D66" s="6"/>
      <c r="E66" s="11">
        <f>44993429+32235000+5243643</f>
        <v>82472072</v>
      </c>
      <c r="F66" s="11"/>
      <c r="G66" s="11">
        <v>377200</v>
      </c>
      <c r="H66" s="11"/>
      <c r="I66" s="11">
        <v>0</v>
      </c>
      <c r="J66" s="11"/>
      <c r="K66" s="11">
        <f>128782+2860000</f>
        <v>2988782</v>
      </c>
      <c r="L66" s="11"/>
      <c r="M66" s="11">
        <v>0</v>
      </c>
      <c r="N66" s="11"/>
      <c r="O66" s="11">
        <v>9401560</v>
      </c>
      <c r="P66" s="11"/>
      <c r="Q66" s="11">
        <f>93450+7009887+5844466</f>
        <v>12947803</v>
      </c>
      <c r="R66" s="11"/>
      <c r="S66" s="11">
        <f t="shared" si="1"/>
        <v>108187417</v>
      </c>
      <c r="T66" s="7"/>
      <c r="U66" s="11">
        <v>18446927</v>
      </c>
      <c r="W66" s="7">
        <f>+S66-'Stmt net assets'!Q66-U66</f>
        <v>0</v>
      </c>
    </row>
    <row r="67" spans="1:25" ht="12.75" customHeight="1" x14ac:dyDescent="0.2">
      <c r="A67" s="6" t="s">
        <v>82</v>
      </c>
      <c r="C67" s="6" t="s">
        <v>43</v>
      </c>
      <c r="D67" s="6"/>
      <c r="E67" s="11">
        <v>2000000</v>
      </c>
      <c r="F67" s="11"/>
      <c r="G67" s="11">
        <v>0</v>
      </c>
      <c r="H67" s="11"/>
      <c r="I67" s="11">
        <v>118183</v>
      </c>
      <c r="J67" s="11"/>
      <c r="K67" s="11">
        <v>0</v>
      </c>
      <c r="L67" s="11"/>
      <c r="M67" s="11">
        <v>0</v>
      </c>
      <c r="N67" s="11"/>
      <c r="O67" s="11">
        <v>128416</v>
      </c>
      <c r="P67" s="11"/>
      <c r="Q67" s="11">
        <f>30000+120000+236112+131740+84481</f>
        <v>602333</v>
      </c>
      <c r="R67" s="11"/>
      <c r="S67" s="11">
        <f t="shared" si="1"/>
        <v>2848932</v>
      </c>
      <c r="T67" s="7"/>
      <c r="U67" s="11">
        <v>150032</v>
      </c>
      <c r="W67" s="7">
        <f>+S67-'Stmt net assets'!Q67-U67</f>
        <v>0</v>
      </c>
    </row>
    <row r="68" spans="1:25" ht="12.75" customHeight="1" x14ac:dyDescent="0.2">
      <c r="A68" s="6" t="s">
        <v>83</v>
      </c>
      <c r="C68" s="6" t="s">
        <v>83</v>
      </c>
      <c r="D68" s="6"/>
      <c r="E68" s="11">
        <v>3925000</v>
      </c>
      <c r="F68" s="11"/>
      <c r="G68" s="11">
        <v>27729</v>
      </c>
      <c r="H68" s="11"/>
      <c r="I68" s="11">
        <v>0</v>
      </c>
      <c r="J68" s="11"/>
      <c r="K68" s="11">
        <v>1112332</v>
      </c>
      <c r="L68" s="11"/>
      <c r="M68" s="11">
        <v>0</v>
      </c>
      <c r="N68" s="11"/>
      <c r="O68" s="11">
        <v>688699</v>
      </c>
      <c r="P68" s="11"/>
      <c r="Q68" s="11">
        <v>39933</v>
      </c>
      <c r="R68" s="11"/>
      <c r="S68" s="11">
        <f t="shared" ref="S68:S86" si="4">SUM(E68:Q68)</f>
        <v>5793693</v>
      </c>
      <c r="T68" s="7"/>
      <c r="U68" s="11">
        <v>518246</v>
      </c>
      <c r="W68" s="7">
        <f>+S68-'Stmt net assets'!Q68-U68</f>
        <v>0</v>
      </c>
    </row>
    <row r="69" spans="1:25" ht="12.75" hidden="1" customHeight="1" x14ac:dyDescent="0.2">
      <c r="A69" s="6" t="s">
        <v>84</v>
      </c>
      <c r="C69" s="6" t="s">
        <v>84</v>
      </c>
      <c r="D69" s="6"/>
      <c r="E69" s="11">
        <f>3630000+2412834+144377-3590</f>
        <v>6183621</v>
      </c>
      <c r="F69" s="11"/>
      <c r="G69" s="11">
        <v>0</v>
      </c>
      <c r="H69" s="11"/>
      <c r="I69" s="11">
        <v>0</v>
      </c>
      <c r="J69" s="11"/>
      <c r="K69" s="11">
        <v>0</v>
      </c>
      <c r="L69" s="11"/>
      <c r="M69" s="11">
        <v>0</v>
      </c>
      <c r="N69" s="11"/>
      <c r="O69" s="11">
        <v>5501218</v>
      </c>
      <c r="P69" s="11"/>
      <c r="Q69" s="11">
        <f>19265000+282469</f>
        <v>19547469</v>
      </c>
      <c r="R69" s="11"/>
      <c r="S69" s="11">
        <f t="shared" si="4"/>
        <v>31232308</v>
      </c>
      <c r="T69" s="7"/>
      <c r="U69" s="11">
        <v>1786472</v>
      </c>
      <c r="W69" s="7">
        <f>+S69-'Stmt net assets'!Q69-U69</f>
        <v>0</v>
      </c>
    </row>
    <row r="70" spans="1:25" ht="12.75" customHeight="1" x14ac:dyDescent="0.2">
      <c r="A70" s="6" t="s">
        <v>85</v>
      </c>
      <c r="C70" s="6" t="s">
        <v>86</v>
      </c>
      <c r="D70" s="6"/>
      <c r="E70" s="11">
        <v>0</v>
      </c>
      <c r="F70" s="11"/>
      <c r="G70" s="11">
        <v>0</v>
      </c>
      <c r="H70" s="11"/>
      <c r="I70" s="11">
        <v>0</v>
      </c>
      <c r="J70" s="11"/>
      <c r="K70" s="11">
        <v>0</v>
      </c>
      <c r="L70" s="11"/>
      <c r="M70" s="11">
        <v>43280</v>
      </c>
      <c r="N70" s="11"/>
      <c r="O70" s="11">
        <v>522496</v>
      </c>
      <c r="P70" s="11"/>
      <c r="Q70" s="11">
        <v>0</v>
      </c>
      <c r="R70" s="11"/>
      <c r="S70" s="11">
        <f t="shared" si="4"/>
        <v>565776</v>
      </c>
      <c r="T70" s="7"/>
      <c r="U70" s="11">
        <v>178980</v>
      </c>
      <c r="W70" s="7">
        <f>+S70-'Stmt net assets'!Q70-U70</f>
        <v>0</v>
      </c>
    </row>
    <row r="71" spans="1:25" ht="13.5" customHeight="1" x14ac:dyDescent="0.2">
      <c r="A71" s="6" t="s">
        <v>393</v>
      </c>
      <c r="B71" s="20"/>
      <c r="C71" s="6" t="s">
        <v>87</v>
      </c>
      <c r="D71" s="6"/>
      <c r="E71" s="11">
        <f>2570000+34102</f>
        <v>2604102</v>
      </c>
      <c r="F71" s="11"/>
      <c r="G71" s="11">
        <v>0</v>
      </c>
      <c r="H71" s="11"/>
      <c r="I71" s="11">
        <v>0</v>
      </c>
      <c r="J71" s="11"/>
      <c r="K71" s="11">
        <f>762898+95000</f>
        <v>857898</v>
      </c>
      <c r="L71" s="11"/>
      <c r="M71" s="11">
        <v>0</v>
      </c>
      <c r="N71" s="11"/>
      <c r="O71" s="11">
        <v>1189427</v>
      </c>
      <c r="P71" s="11"/>
      <c r="Q71" s="11">
        <v>259750</v>
      </c>
      <c r="R71" s="11"/>
      <c r="S71" s="11">
        <f t="shared" si="4"/>
        <v>4911177</v>
      </c>
      <c r="T71" s="7"/>
      <c r="U71" s="11">
        <v>412407</v>
      </c>
      <c r="W71" s="7">
        <f>+S71-'Stmt net assets'!Q71-U71</f>
        <v>0</v>
      </c>
    </row>
    <row r="72" spans="1:25" s="53" customFormat="1" ht="12.75" customHeight="1" x14ac:dyDescent="0.2">
      <c r="A72" s="6" t="s">
        <v>88</v>
      </c>
      <c r="B72" s="42"/>
      <c r="C72" s="6" t="s">
        <v>41</v>
      </c>
      <c r="D72" s="6"/>
      <c r="E72" s="11">
        <f>37350000+1058742</f>
        <v>38408742</v>
      </c>
      <c r="F72" s="11"/>
      <c r="G72" s="11">
        <v>0</v>
      </c>
      <c r="H72" s="11"/>
      <c r="I72" s="11">
        <v>0</v>
      </c>
      <c r="J72" s="11"/>
      <c r="K72" s="11">
        <v>2113974</v>
      </c>
      <c r="L72" s="11"/>
      <c r="M72" s="11">
        <v>0</v>
      </c>
      <c r="N72" s="11"/>
      <c r="O72" s="11">
        <v>3946298</v>
      </c>
      <c r="P72" s="11"/>
      <c r="Q72" s="11">
        <f>501000+1763187</f>
        <v>2264187</v>
      </c>
      <c r="R72" s="11"/>
      <c r="S72" s="11">
        <f t="shared" si="4"/>
        <v>46733201</v>
      </c>
      <c r="T72" s="7"/>
      <c r="U72" s="11">
        <v>6519610</v>
      </c>
      <c r="W72" s="7">
        <f>+S72-'Stmt net assets'!Q72-U72</f>
        <v>0</v>
      </c>
      <c r="Y72" s="7"/>
    </row>
    <row r="73" spans="1:25" ht="12.75" customHeight="1" x14ac:dyDescent="0.2">
      <c r="A73" s="10" t="s">
        <v>482</v>
      </c>
      <c r="B73" s="10"/>
      <c r="C73" s="10" t="s">
        <v>25</v>
      </c>
      <c r="D73" s="6"/>
      <c r="E73" s="11">
        <v>0</v>
      </c>
      <c r="F73" s="11"/>
      <c r="G73" s="11">
        <v>0</v>
      </c>
      <c r="H73" s="11"/>
      <c r="I73" s="11">
        <v>0</v>
      </c>
      <c r="J73" s="11"/>
      <c r="K73" s="11">
        <v>2995976</v>
      </c>
      <c r="L73" s="11"/>
      <c r="M73" s="11">
        <v>59913</v>
      </c>
      <c r="N73" s="11"/>
      <c r="O73" s="11">
        <v>1622068</v>
      </c>
      <c r="P73" s="11"/>
      <c r="Q73" s="11">
        <v>1344378</v>
      </c>
      <c r="R73" s="11"/>
      <c r="S73" s="11">
        <f t="shared" si="4"/>
        <v>6022335</v>
      </c>
      <c r="T73" s="7"/>
      <c r="U73" s="11">
        <v>383950</v>
      </c>
      <c r="W73" s="7">
        <f>+S73-'Stmt net assets'!Q73-U73</f>
        <v>0</v>
      </c>
    </row>
    <row r="74" spans="1:25" ht="12.75" customHeight="1" x14ac:dyDescent="0.2">
      <c r="A74" s="7" t="s">
        <v>91</v>
      </c>
      <c r="B74" s="10"/>
      <c r="C74" s="7" t="s">
        <v>92</v>
      </c>
      <c r="D74" s="6"/>
      <c r="E74" s="11">
        <v>0</v>
      </c>
      <c r="F74" s="11"/>
      <c r="G74" s="11">
        <v>0</v>
      </c>
      <c r="H74" s="11"/>
      <c r="I74" s="11">
        <v>0</v>
      </c>
      <c r="J74" s="11"/>
      <c r="K74" s="11">
        <f>91200+327901+16763+690542+550000</f>
        <v>1676406</v>
      </c>
      <c r="L74" s="11"/>
      <c r="M74" s="11">
        <v>162296</v>
      </c>
      <c r="N74" s="11"/>
      <c r="O74" s="11">
        <v>264921</v>
      </c>
      <c r="P74" s="11"/>
      <c r="Q74" s="11">
        <v>787658</v>
      </c>
      <c r="R74" s="11"/>
      <c r="S74" s="11">
        <f t="shared" si="4"/>
        <v>2891281</v>
      </c>
      <c r="T74" s="7"/>
      <c r="U74" s="11">
        <v>848582</v>
      </c>
      <c r="W74" s="7">
        <f>+S74-'Stmt net assets'!Q74-U74</f>
        <v>0</v>
      </c>
      <c r="X74" s="53"/>
    </row>
    <row r="75" spans="1:25" ht="12.75" hidden="1" customHeight="1" x14ac:dyDescent="0.2">
      <c r="A75" s="6" t="s">
        <v>93</v>
      </c>
      <c r="B75" s="20"/>
      <c r="C75" s="6" t="s">
        <v>92</v>
      </c>
      <c r="D75" s="6"/>
      <c r="E75" s="11">
        <v>0</v>
      </c>
      <c r="F75" s="11"/>
      <c r="G75" s="11">
        <v>0</v>
      </c>
      <c r="H75" s="11"/>
      <c r="I75" s="11">
        <v>108188</v>
      </c>
      <c r="J75" s="11"/>
      <c r="K75" s="11">
        <f>273858+264792+452088</f>
        <v>990738</v>
      </c>
      <c r="L75" s="11"/>
      <c r="M75" s="11">
        <v>4269</v>
      </c>
      <c r="N75" s="11"/>
      <c r="O75" s="11">
        <v>228297</v>
      </c>
      <c r="P75" s="11"/>
      <c r="Q75" s="11">
        <v>0</v>
      </c>
      <c r="R75" s="11"/>
      <c r="S75" s="11">
        <f t="shared" si="4"/>
        <v>1331492</v>
      </c>
      <c r="T75" s="7"/>
      <c r="U75" s="11">
        <v>187259</v>
      </c>
      <c r="W75" s="7">
        <f>+S75-'Stmt net assets'!Q75-U75</f>
        <v>0</v>
      </c>
    </row>
    <row r="76" spans="1:25" ht="12.75" customHeight="1" x14ac:dyDescent="0.2">
      <c r="A76" s="6" t="s">
        <v>89</v>
      </c>
      <c r="C76" s="6" t="s">
        <v>90</v>
      </c>
      <c r="D76" s="6"/>
      <c r="E76" s="11">
        <v>14645000</v>
      </c>
      <c r="F76" s="11"/>
      <c r="G76" s="11">
        <v>0</v>
      </c>
      <c r="H76" s="11"/>
      <c r="I76" s="11">
        <v>0</v>
      </c>
      <c r="J76" s="11"/>
      <c r="K76" s="11">
        <v>324037</v>
      </c>
      <c r="L76" s="11"/>
      <c r="M76" s="11">
        <v>16959</v>
      </c>
      <c r="N76" s="11"/>
      <c r="O76" s="11">
        <v>1278931</v>
      </c>
      <c r="P76" s="11"/>
      <c r="Q76" s="11">
        <f>98854+85520</f>
        <v>184374</v>
      </c>
      <c r="R76" s="11"/>
      <c r="S76" s="11">
        <f t="shared" si="4"/>
        <v>16449301</v>
      </c>
      <c r="T76" s="7"/>
      <c r="U76" s="11">
        <v>1268408</v>
      </c>
      <c r="W76" s="7">
        <f>+S76-'Stmt net assets'!Q76-U76</f>
        <v>0</v>
      </c>
      <c r="Y76" s="7"/>
    </row>
    <row r="77" spans="1:25" ht="12.75" customHeight="1" x14ac:dyDescent="0.2">
      <c r="A77" s="6" t="s">
        <v>94</v>
      </c>
      <c r="C77" s="6" t="s">
        <v>95</v>
      </c>
      <c r="D77" s="6"/>
      <c r="E77" s="11">
        <v>617542</v>
      </c>
      <c r="F77" s="11"/>
      <c r="G77" s="11">
        <v>0</v>
      </c>
      <c r="H77" s="11"/>
      <c r="I77" s="11">
        <v>0</v>
      </c>
      <c r="J77" s="11"/>
      <c r="K77" s="11">
        <f>357500+281250</f>
        <v>638750</v>
      </c>
      <c r="L77" s="11"/>
      <c r="M77" s="11">
        <v>0</v>
      </c>
      <c r="N77" s="11"/>
      <c r="O77" s="11">
        <v>593248</v>
      </c>
      <c r="P77" s="11"/>
      <c r="Q77" s="11">
        <v>115287</v>
      </c>
      <c r="R77" s="11"/>
      <c r="S77" s="11">
        <f t="shared" si="4"/>
        <v>1964827</v>
      </c>
      <c r="T77" s="7"/>
      <c r="U77" s="11">
        <v>457507</v>
      </c>
      <c r="W77" s="7">
        <f>+S77-'Stmt net assets'!Q77-U77</f>
        <v>0</v>
      </c>
    </row>
    <row r="78" spans="1:25" ht="12.75" customHeight="1" x14ac:dyDescent="0.2">
      <c r="A78" s="6" t="s">
        <v>96</v>
      </c>
      <c r="C78" s="6" t="s">
        <v>15</v>
      </c>
      <c r="D78" s="6"/>
      <c r="E78" s="11">
        <v>21971800</v>
      </c>
      <c r="F78" s="11"/>
      <c r="G78" s="11">
        <v>2901969</v>
      </c>
      <c r="H78" s="11"/>
      <c r="I78" s="11">
        <v>0</v>
      </c>
      <c r="J78" s="11"/>
      <c r="K78" s="11">
        <v>3421206</v>
      </c>
      <c r="L78" s="11"/>
      <c r="M78" s="11">
        <v>0</v>
      </c>
      <c r="N78" s="11"/>
      <c r="O78" s="11">
        <v>4614172</v>
      </c>
      <c r="P78" s="11"/>
      <c r="Q78" s="11">
        <v>0</v>
      </c>
      <c r="R78" s="11"/>
      <c r="S78" s="11">
        <f t="shared" si="4"/>
        <v>32909147</v>
      </c>
      <c r="T78" s="7"/>
      <c r="U78" s="11">
        <f>1599733+89525+392560</f>
        <v>2081818</v>
      </c>
      <c r="W78" s="7">
        <f>+S78-'Stmt net assets'!Q78-U78</f>
        <v>0</v>
      </c>
      <c r="X78" s="53"/>
    </row>
    <row r="79" spans="1:25" ht="12.75" customHeight="1" x14ac:dyDescent="0.2">
      <c r="A79" s="6" t="s">
        <v>97</v>
      </c>
      <c r="C79" s="6" t="s">
        <v>64</v>
      </c>
      <c r="D79" s="6"/>
      <c r="E79" s="11">
        <v>0</v>
      </c>
      <c r="F79" s="11"/>
      <c r="G79" s="11">
        <v>0</v>
      </c>
      <c r="H79" s="11"/>
      <c r="I79" s="11">
        <v>0</v>
      </c>
      <c r="J79" s="11"/>
      <c r="K79" s="11">
        <v>0</v>
      </c>
      <c r="L79" s="11"/>
      <c r="M79" s="11">
        <v>0</v>
      </c>
      <c r="N79" s="11"/>
      <c r="O79" s="11">
        <v>475507</v>
      </c>
      <c r="P79" s="11"/>
      <c r="Q79" s="11">
        <v>0</v>
      </c>
      <c r="R79" s="11"/>
      <c r="S79" s="11">
        <f t="shared" si="4"/>
        <v>475507</v>
      </c>
      <c r="T79" s="7"/>
      <c r="U79" s="11">
        <v>282430</v>
      </c>
      <c r="W79" s="7">
        <f>+S79-'Stmt net assets'!Q79-U79</f>
        <v>0</v>
      </c>
    </row>
    <row r="80" spans="1:25" ht="12.75" customHeight="1" x14ac:dyDescent="0.2">
      <c r="A80" s="6" t="s">
        <v>98</v>
      </c>
      <c r="C80" s="6" t="s">
        <v>25</v>
      </c>
      <c r="D80" s="6"/>
      <c r="E80" s="11">
        <v>22890262</v>
      </c>
      <c r="F80" s="11"/>
      <c r="G80" s="11">
        <f>785000+7727</f>
        <v>792727</v>
      </c>
      <c r="H80" s="11"/>
      <c r="I80" s="11">
        <v>0</v>
      </c>
      <c r="J80" s="11"/>
      <c r="K80" s="11">
        <v>1419818</v>
      </c>
      <c r="L80" s="11"/>
      <c r="M80" s="11">
        <v>271420</v>
      </c>
      <c r="N80" s="11"/>
      <c r="O80" s="11">
        <v>7264820</v>
      </c>
      <c r="P80" s="11"/>
      <c r="Q80" s="11">
        <f>695000+146717</f>
        <v>841717</v>
      </c>
      <c r="R80" s="11"/>
      <c r="S80" s="11">
        <f t="shared" si="4"/>
        <v>33480764</v>
      </c>
      <c r="T80" s="7"/>
      <c r="U80" s="11">
        <v>3576790</v>
      </c>
      <c r="W80" s="7">
        <f>+S80-'Stmt net assets'!Q80-U80</f>
        <v>0</v>
      </c>
    </row>
    <row r="81" spans="1:23" ht="12" customHeight="1" x14ac:dyDescent="0.2">
      <c r="A81" s="6" t="s">
        <v>99</v>
      </c>
      <c r="C81" s="6" t="s">
        <v>28</v>
      </c>
      <c r="D81" s="6"/>
      <c r="E81" s="11">
        <v>350350</v>
      </c>
      <c r="F81" s="11"/>
      <c r="G81" s="11">
        <v>1190000</v>
      </c>
      <c r="H81" s="11"/>
      <c r="I81" s="11">
        <v>1621979</v>
      </c>
      <c r="J81" s="11"/>
      <c r="K81" s="11">
        <v>0</v>
      </c>
      <c r="L81" s="11"/>
      <c r="M81" s="11">
        <v>262874</v>
      </c>
      <c r="N81" s="11"/>
      <c r="O81" s="11">
        <v>1203249</v>
      </c>
      <c r="P81" s="11"/>
      <c r="Q81" s="11">
        <v>2496292</v>
      </c>
      <c r="R81" s="11"/>
      <c r="S81" s="11">
        <f t="shared" si="4"/>
        <v>7124744</v>
      </c>
      <c r="T81" s="7"/>
      <c r="U81" s="11">
        <v>2448627</v>
      </c>
      <c r="W81" s="7">
        <f>+S81-'Stmt net assets'!Q81-U81</f>
        <v>0</v>
      </c>
    </row>
    <row r="82" spans="1:23" ht="12.75" customHeight="1" x14ac:dyDescent="0.2">
      <c r="A82" s="6" t="s">
        <v>100</v>
      </c>
      <c r="C82" s="6" t="s">
        <v>101</v>
      </c>
      <c r="D82" s="6"/>
      <c r="E82" s="11">
        <v>21751719</v>
      </c>
      <c r="F82" s="11"/>
      <c r="G82" s="11">
        <v>0</v>
      </c>
      <c r="H82" s="11"/>
      <c r="I82" s="11">
        <v>0</v>
      </c>
      <c r="J82" s="11"/>
      <c r="K82" s="11">
        <v>0</v>
      </c>
      <c r="L82" s="11"/>
      <c r="M82" s="11">
        <v>115972</v>
      </c>
      <c r="N82" s="11"/>
      <c r="O82" s="11">
        <v>4397340</v>
      </c>
      <c r="P82" s="11"/>
      <c r="Q82" s="11">
        <v>0</v>
      </c>
      <c r="R82" s="11"/>
      <c r="S82" s="11">
        <f t="shared" si="4"/>
        <v>26265031</v>
      </c>
      <c r="T82" s="7"/>
      <c r="U82" s="11">
        <v>1839211</v>
      </c>
      <c r="W82" s="7">
        <f>+S82-'Stmt net assets'!Q82-U82</f>
        <v>0</v>
      </c>
    </row>
    <row r="83" spans="1:23" ht="12.75" customHeight="1" x14ac:dyDescent="0.2">
      <c r="A83" s="6" t="s">
        <v>102</v>
      </c>
      <c r="C83" s="6" t="s">
        <v>11</v>
      </c>
      <c r="D83" s="6"/>
      <c r="E83" s="11">
        <v>4725000</v>
      </c>
      <c r="F83" s="11"/>
      <c r="G83" s="11">
        <v>0</v>
      </c>
      <c r="H83" s="11"/>
      <c r="I83" s="11">
        <v>0</v>
      </c>
      <c r="J83" s="11"/>
      <c r="K83" s="11">
        <v>168574</v>
      </c>
      <c r="L83" s="11"/>
      <c r="M83" s="11">
        <v>0</v>
      </c>
      <c r="N83" s="11"/>
      <c r="O83" s="11">
        <v>1353153</v>
      </c>
      <c r="P83" s="11"/>
      <c r="Q83" s="11">
        <v>184808</v>
      </c>
      <c r="R83" s="11"/>
      <c r="S83" s="11">
        <f t="shared" si="4"/>
        <v>6431535</v>
      </c>
      <c r="T83" s="7"/>
      <c r="U83" s="11">
        <v>908857</v>
      </c>
      <c r="W83" s="7">
        <f>+S83-'Stmt net assets'!Q83-U83</f>
        <v>0</v>
      </c>
    </row>
    <row r="84" spans="1:23" ht="12.75" customHeight="1" x14ac:dyDescent="0.2">
      <c r="A84" s="6" t="s">
        <v>103</v>
      </c>
      <c r="C84" s="6" t="s">
        <v>25</v>
      </c>
      <c r="D84" s="6"/>
      <c r="E84" s="11">
        <v>24060599</v>
      </c>
      <c r="F84" s="11"/>
      <c r="G84" s="11">
        <v>0</v>
      </c>
      <c r="H84" s="11"/>
      <c r="I84" s="11">
        <v>750000</v>
      </c>
      <c r="J84" s="11"/>
      <c r="K84" s="11">
        <f>120134+688312+216944+130821</f>
        <v>1156211</v>
      </c>
      <c r="L84" s="11"/>
      <c r="M84" s="11">
        <v>376757</v>
      </c>
      <c r="N84" s="11"/>
      <c r="O84" s="11">
        <v>1525665</v>
      </c>
      <c r="P84" s="11"/>
      <c r="Q84" s="11">
        <v>0</v>
      </c>
      <c r="R84" s="11"/>
      <c r="S84" s="11">
        <f t="shared" si="4"/>
        <v>27869232</v>
      </c>
      <c r="T84" s="7"/>
      <c r="U84" s="11">
        <v>1823435</v>
      </c>
      <c r="W84" s="7">
        <f>+S84-'Stmt net assets'!Q84-U84</f>
        <v>0</v>
      </c>
    </row>
    <row r="85" spans="1:23" ht="12.75" customHeight="1" x14ac:dyDescent="0.2">
      <c r="A85" s="6" t="s">
        <v>104</v>
      </c>
      <c r="C85" s="6" t="s">
        <v>105</v>
      </c>
      <c r="D85" s="6"/>
      <c r="E85" s="11">
        <f>9262675</f>
        <v>9262675</v>
      </c>
      <c r="F85" s="11"/>
      <c r="G85" s="11">
        <f>214655</f>
        <v>214655</v>
      </c>
      <c r="H85" s="11"/>
      <c r="I85" s="11">
        <v>0</v>
      </c>
      <c r="J85" s="11"/>
      <c r="K85" s="11">
        <f>183823</f>
        <v>183823</v>
      </c>
      <c r="L85" s="11"/>
      <c r="M85" s="11">
        <v>0</v>
      </c>
      <c r="N85" s="11"/>
      <c r="O85" s="11">
        <f>4193592</f>
        <v>4193592</v>
      </c>
      <c r="P85" s="11"/>
      <c r="Q85" s="11">
        <f>1076468+27893-38645</f>
        <v>1065716</v>
      </c>
      <c r="R85" s="11"/>
      <c r="S85" s="11">
        <f t="shared" si="4"/>
        <v>14920461</v>
      </c>
      <c r="T85" s="7"/>
      <c r="U85" s="11">
        <v>2276627</v>
      </c>
      <c r="W85" s="7">
        <f>+S85-'Stmt net assets'!Q85-U85</f>
        <v>0</v>
      </c>
    </row>
    <row r="86" spans="1:23" ht="12.75" customHeight="1" x14ac:dyDescent="0.2">
      <c r="A86" s="6" t="s">
        <v>106</v>
      </c>
      <c r="C86" s="6" t="s">
        <v>43</v>
      </c>
      <c r="D86" s="6"/>
      <c r="E86" s="11">
        <f>1890000+108504</f>
        <v>1998504</v>
      </c>
      <c r="F86" s="11"/>
      <c r="G86" s="11">
        <v>0</v>
      </c>
      <c r="H86" s="11"/>
      <c r="I86" s="11">
        <v>375000</v>
      </c>
      <c r="J86" s="11"/>
      <c r="K86" s="11">
        <v>3907</v>
      </c>
      <c r="L86" s="11"/>
      <c r="M86" s="11">
        <v>69231</v>
      </c>
      <c r="N86" s="11"/>
      <c r="O86" s="11">
        <v>441810</v>
      </c>
      <c r="P86" s="11"/>
      <c r="Q86" s="11">
        <v>0</v>
      </c>
      <c r="R86" s="11"/>
      <c r="S86" s="11">
        <f t="shared" si="4"/>
        <v>2888452</v>
      </c>
      <c r="T86" s="7"/>
      <c r="U86" s="11">
        <v>386424</v>
      </c>
      <c r="W86" s="7">
        <f>+S86-'Stmt net assets'!Q86-U86</f>
        <v>0</v>
      </c>
    </row>
    <row r="87" spans="1:23" ht="12.75" customHeight="1" x14ac:dyDescent="0.2">
      <c r="A87" s="6"/>
      <c r="C87" s="6"/>
      <c r="D87" s="6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"/>
      <c r="U87" s="11" t="s">
        <v>478</v>
      </c>
    </row>
    <row r="88" spans="1:23" s="70" customFormat="1" ht="12.75" customHeight="1" x14ac:dyDescent="0.2">
      <c r="A88" s="69" t="s">
        <v>419</v>
      </c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29"/>
      <c r="U88" s="29"/>
      <c r="W88" s="29"/>
    </row>
    <row r="89" spans="1:23" s="70" customFormat="1" ht="12.75" customHeight="1" x14ac:dyDescent="0.2">
      <c r="A89" s="69" t="s">
        <v>504</v>
      </c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29"/>
      <c r="U89" s="29"/>
      <c r="W89" s="29"/>
    </row>
    <row r="90" spans="1:23" ht="12.75" customHeight="1" x14ac:dyDescent="0.2">
      <c r="A90" s="24" t="s">
        <v>287</v>
      </c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7"/>
    </row>
    <row r="91" spans="1:23" ht="12.75" customHeight="1" x14ac:dyDescent="0.2">
      <c r="A91" s="24" t="s">
        <v>478</v>
      </c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7"/>
    </row>
    <row r="92" spans="1:23" ht="12.75" customHeight="1" x14ac:dyDescent="0.2">
      <c r="A92" s="24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7"/>
    </row>
    <row r="93" spans="1:23" s="52" customFormat="1" ht="12.75" customHeight="1" x14ac:dyDescent="0.2">
      <c r="A93" s="88"/>
      <c r="C93" s="88"/>
      <c r="D93" s="88"/>
      <c r="E93" s="88" t="s">
        <v>294</v>
      </c>
      <c r="F93" s="88"/>
      <c r="G93" s="88" t="s">
        <v>326</v>
      </c>
      <c r="H93" s="88"/>
      <c r="I93" s="88"/>
      <c r="J93" s="88"/>
      <c r="K93" s="88"/>
      <c r="L93" s="88"/>
      <c r="M93" s="88"/>
      <c r="N93" s="88"/>
      <c r="O93" s="88"/>
      <c r="P93" s="88"/>
      <c r="Q93" s="88" t="s">
        <v>374</v>
      </c>
      <c r="R93" s="88"/>
      <c r="S93" s="88" t="s">
        <v>5</v>
      </c>
      <c r="T93" s="63"/>
      <c r="U93" s="63" t="s">
        <v>437</v>
      </c>
      <c r="W93" s="63"/>
    </row>
    <row r="94" spans="1:23" s="52" customFormat="1" ht="12.75" customHeight="1" x14ac:dyDescent="0.2">
      <c r="A94" s="88"/>
      <c r="C94" s="88"/>
      <c r="D94" s="88"/>
      <c r="E94" s="88" t="s">
        <v>354</v>
      </c>
      <c r="F94" s="88"/>
      <c r="G94" s="88" t="s">
        <v>375</v>
      </c>
      <c r="H94" s="88"/>
      <c r="I94" s="88" t="s">
        <v>376</v>
      </c>
      <c r="J94" s="88"/>
      <c r="K94" s="88" t="s">
        <v>361</v>
      </c>
      <c r="L94" s="88"/>
      <c r="M94" s="88" t="s">
        <v>3</v>
      </c>
      <c r="N94" s="88"/>
      <c r="O94" s="88" t="s">
        <v>377</v>
      </c>
      <c r="P94" s="88"/>
      <c r="Q94" s="88" t="s">
        <v>292</v>
      </c>
      <c r="R94" s="88"/>
      <c r="S94" s="88" t="s">
        <v>350</v>
      </c>
      <c r="T94" s="63"/>
      <c r="U94" s="63" t="s">
        <v>438</v>
      </c>
      <c r="W94" s="63" t="s">
        <v>322</v>
      </c>
    </row>
    <row r="95" spans="1:23" s="52" customFormat="1" ht="12.75" customHeight="1" x14ac:dyDescent="0.2">
      <c r="A95" s="87" t="s">
        <v>6</v>
      </c>
      <c r="C95" s="87" t="s">
        <v>7</v>
      </c>
      <c r="D95" s="88"/>
      <c r="E95" s="27" t="s">
        <v>360</v>
      </c>
      <c r="F95" s="88"/>
      <c r="G95" s="27" t="s">
        <v>360</v>
      </c>
      <c r="H95" s="88"/>
      <c r="I95" s="27" t="s">
        <v>378</v>
      </c>
      <c r="J95" s="88"/>
      <c r="K95" s="27" t="s">
        <v>379</v>
      </c>
      <c r="L95" s="88"/>
      <c r="M95" s="27" t="s">
        <v>380</v>
      </c>
      <c r="N95" s="88"/>
      <c r="O95" s="27" t="s">
        <v>381</v>
      </c>
      <c r="P95" s="88"/>
      <c r="Q95" s="27" t="s">
        <v>362</v>
      </c>
      <c r="R95" s="88"/>
      <c r="S95" s="27" t="s">
        <v>362</v>
      </c>
      <c r="T95" s="63"/>
      <c r="U95" s="87" t="s">
        <v>439</v>
      </c>
      <c r="W95" s="63" t="s">
        <v>433</v>
      </c>
    </row>
    <row r="96" spans="1:23" ht="12.75" customHeight="1" x14ac:dyDescent="0.2">
      <c r="A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7"/>
    </row>
    <row r="97" spans="1:23" ht="12.75" customHeight="1" x14ac:dyDescent="0.2">
      <c r="A97" s="6" t="s">
        <v>107</v>
      </c>
      <c r="B97" s="20"/>
      <c r="C97" s="6" t="s">
        <v>108</v>
      </c>
      <c r="D97" s="6"/>
      <c r="E97" s="22">
        <v>0</v>
      </c>
      <c r="F97" s="22"/>
      <c r="G97" s="22">
        <v>158930</v>
      </c>
      <c r="H97" s="22"/>
      <c r="I97" s="22">
        <v>51565</v>
      </c>
      <c r="J97" s="22"/>
      <c r="K97" s="22">
        <v>132562</v>
      </c>
      <c r="L97" s="22"/>
      <c r="M97" s="22">
        <v>69046</v>
      </c>
      <c r="N97" s="22"/>
      <c r="O97" s="22">
        <v>1273678</v>
      </c>
      <c r="P97" s="22"/>
      <c r="Q97" s="22">
        <v>0</v>
      </c>
      <c r="R97" s="22"/>
      <c r="S97" s="22">
        <f t="shared" ref="S97:S133" si="5">SUM(E97:Q97)</f>
        <v>1685781</v>
      </c>
      <c r="T97" s="9"/>
      <c r="U97" s="22">
        <v>347193</v>
      </c>
      <c r="W97" s="7">
        <f>+S97-'Stmt net assets'!Q97-U97</f>
        <v>0</v>
      </c>
    </row>
    <row r="98" spans="1:23" ht="12.75" customHeight="1" x14ac:dyDescent="0.2">
      <c r="A98" s="7" t="s">
        <v>41</v>
      </c>
      <c r="B98" s="20"/>
      <c r="C98" s="6" t="s">
        <v>109</v>
      </c>
      <c r="D98" s="6"/>
      <c r="E98" s="11">
        <v>5984282</v>
      </c>
      <c r="F98" s="11"/>
      <c r="G98" s="11">
        <v>1507000</v>
      </c>
      <c r="H98" s="11"/>
      <c r="I98" s="11">
        <v>0</v>
      </c>
      <c r="J98" s="11"/>
      <c r="K98" s="11">
        <v>0</v>
      </c>
      <c r="L98" s="11"/>
      <c r="M98" s="11">
        <v>179138</v>
      </c>
      <c r="N98" s="11"/>
      <c r="O98" s="11">
        <v>619762</v>
      </c>
      <c r="P98" s="11"/>
      <c r="Q98" s="11">
        <v>62206</v>
      </c>
      <c r="R98" s="11"/>
      <c r="S98" s="11">
        <f t="shared" si="5"/>
        <v>8352388</v>
      </c>
      <c r="T98" s="7"/>
      <c r="U98" s="11">
        <v>684777</v>
      </c>
      <c r="W98" s="7">
        <f>+S98-'Stmt net assets'!Q98-U98</f>
        <v>0</v>
      </c>
    </row>
    <row r="99" spans="1:23" ht="12.75" customHeight="1" x14ac:dyDescent="0.2">
      <c r="A99" s="6" t="s">
        <v>110</v>
      </c>
      <c r="C99" s="6" t="s">
        <v>74</v>
      </c>
      <c r="D99" s="6"/>
      <c r="E99" s="11">
        <f>2195000</f>
        <v>2195000</v>
      </c>
      <c r="F99" s="11"/>
      <c r="G99" s="11">
        <v>0</v>
      </c>
      <c r="H99" s="11"/>
      <c r="I99" s="11">
        <v>0</v>
      </c>
      <c r="J99" s="11"/>
      <c r="K99" s="11">
        <v>0</v>
      </c>
      <c r="L99" s="11"/>
      <c r="M99" s="11">
        <v>0</v>
      </c>
      <c r="N99" s="11"/>
      <c r="O99" s="11">
        <v>805558</v>
      </c>
      <c r="P99" s="11"/>
      <c r="Q99" s="11">
        <f>745000+64533</f>
        <v>809533</v>
      </c>
      <c r="R99" s="11"/>
      <c r="S99" s="11">
        <f t="shared" si="5"/>
        <v>3810091</v>
      </c>
      <c r="T99" s="7"/>
      <c r="U99" s="11">
        <v>462824</v>
      </c>
      <c r="W99" s="7">
        <f>+S99-'Stmt net assets'!Q99-U99</f>
        <v>0</v>
      </c>
    </row>
    <row r="100" spans="1:23" ht="12.75" hidden="1" customHeight="1" x14ac:dyDescent="0.2">
      <c r="A100" s="6" t="s">
        <v>111</v>
      </c>
      <c r="C100" s="6" t="s">
        <v>41</v>
      </c>
      <c r="D100" s="6"/>
      <c r="E100" s="11">
        <v>19127815</v>
      </c>
      <c r="F100" s="11"/>
      <c r="G100" s="11">
        <v>0</v>
      </c>
      <c r="H100" s="11"/>
      <c r="I100" s="11">
        <v>0</v>
      </c>
      <c r="J100" s="11"/>
      <c r="K100" s="11">
        <f>526425+984504+136681</f>
        <v>1647610</v>
      </c>
      <c r="L100" s="11"/>
      <c r="M100" s="11">
        <v>0</v>
      </c>
      <c r="N100" s="11"/>
      <c r="O100" s="11">
        <v>2010773</v>
      </c>
      <c r="P100" s="11"/>
      <c r="Q100" s="11">
        <v>0</v>
      </c>
      <c r="R100" s="11"/>
      <c r="S100" s="11">
        <f t="shared" si="5"/>
        <v>22786198</v>
      </c>
      <c r="T100" s="7"/>
      <c r="U100" s="11">
        <v>1574011</v>
      </c>
      <c r="W100" s="7">
        <f>+S100-'Stmt net assets'!Q100-U100</f>
        <v>0</v>
      </c>
    </row>
    <row r="101" spans="1:23" ht="12.75" customHeight="1" x14ac:dyDescent="0.2">
      <c r="A101" s="6" t="s">
        <v>483</v>
      </c>
      <c r="C101" s="6" t="s">
        <v>55</v>
      </c>
      <c r="D101" s="6"/>
      <c r="E101" s="11">
        <v>700000</v>
      </c>
      <c r="F101" s="11"/>
      <c r="G101" s="11">
        <v>0</v>
      </c>
      <c r="H101" s="11"/>
      <c r="I101" s="11">
        <v>770000</v>
      </c>
      <c r="J101" s="11"/>
      <c r="K101" s="11">
        <f>91608+360000</f>
        <v>451608</v>
      </c>
      <c r="L101" s="11"/>
      <c r="M101" s="11">
        <v>0</v>
      </c>
      <c r="N101" s="11"/>
      <c r="O101" s="11">
        <v>699554</v>
      </c>
      <c r="P101" s="11"/>
      <c r="Q101" s="11">
        <f>24165+91595</f>
        <v>115760</v>
      </c>
      <c r="R101" s="11"/>
      <c r="S101" s="11">
        <f t="shared" si="5"/>
        <v>2736922</v>
      </c>
      <c r="T101" s="7"/>
      <c r="U101" s="11">
        <v>1385417</v>
      </c>
      <c r="W101" s="7">
        <f>+S101-'Stmt net assets'!Q101-U101</f>
        <v>0</v>
      </c>
    </row>
    <row r="102" spans="1:23" ht="12.75" customHeight="1" x14ac:dyDescent="0.2">
      <c r="A102" s="6" t="s">
        <v>112</v>
      </c>
      <c r="C102" s="6" t="s">
        <v>25</v>
      </c>
      <c r="D102" s="6"/>
      <c r="E102" s="11">
        <v>26090068</v>
      </c>
      <c r="F102" s="11"/>
      <c r="G102" s="11">
        <v>474991</v>
      </c>
      <c r="H102" s="11"/>
      <c r="I102" s="11">
        <v>0</v>
      </c>
      <c r="J102" s="11"/>
      <c r="K102" s="11">
        <v>0</v>
      </c>
      <c r="L102" s="11"/>
      <c r="M102" s="11">
        <v>0</v>
      </c>
      <c r="N102" s="11"/>
      <c r="O102" s="11">
        <v>4414867</v>
      </c>
      <c r="P102" s="11"/>
      <c r="Q102" s="11">
        <f>607137+576465</f>
        <v>1183602</v>
      </c>
      <c r="R102" s="11"/>
      <c r="S102" s="11">
        <f t="shared" si="5"/>
        <v>32163528</v>
      </c>
      <c r="T102" s="7"/>
      <c r="U102" s="11">
        <v>2622306</v>
      </c>
      <c r="W102" s="7">
        <f>+S102-'Stmt net assets'!Q102-U102</f>
        <v>0</v>
      </c>
    </row>
    <row r="103" spans="1:23" ht="12.75" customHeight="1" x14ac:dyDescent="0.2">
      <c r="A103" s="6" t="s">
        <v>113</v>
      </c>
      <c r="B103" s="20"/>
      <c r="C103" s="6" t="s">
        <v>17</v>
      </c>
      <c r="D103" s="6"/>
      <c r="E103" s="11">
        <v>1919061</v>
      </c>
      <c r="F103" s="11"/>
      <c r="G103" s="11">
        <v>295000</v>
      </c>
      <c r="H103" s="11"/>
      <c r="I103" s="11">
        <v>81000</v>
      </c>
      <c r="J103" s="11"/>
      <c r="K103" s="11">
        <v>787596</v>
      </c>
      <c r="L103" s="11"/>
      <c r="M103" s="11">
        <v>205806</v>
      </c>
      <c r="N103" s="11"/>
      <c r="O103" s="11">
        <v>146619</v>
      </c>
      <c r="P103" s="11"/>
      <c r="Q103" s="11">
        <v>0</v>
      </c>
      <c r="R103" s="11"/>
      <c r="S103" s="11">
        <f t="shared" si="5"/>
        <v>3435082</v>
      </c>
      <c r="T103" s="7"/>
      <c r="U103" s="11">
        <v>606846</v>
      </c>
      <c r="W103" s="7">
        <f>+S103-'Stmt net assets'!Q103-U103</f>
        <v>0</v>
      </c>
    </row>
    <row r="104" spans="1:23" ht="12.75" customHeight="1" x14ac:dyDescent="0.2">
      <c r="A104" s="6" t="s">
        <v>114</v>
      </c>
      <c r="C104" s="6" t="s">
        <v>78</v>
      </c>
      <c r="D104" s="6"/>
      <c r="E104" s="11">
        <v>0</v>
      </c>
      <c r="F104" s="11"/>
      <c r="G104" s="11">
        <v>0</v>
      </c>
      <c r="H104" s="11"/>
      <c r="I104" s="11">
        <v>0</v>
      </c>
      <c r="J104" s="11"/>
      <c r="K104" s="11">
        <f>60164</f>
        <v>60164</v>
      </c>
      <c r="L104" s="11"/>
      <c r="M104" s="11">
        <f>228270</f>
        <v>228270</v>
      </c>
      <c r="N104" s="11"/>
      <c r="O104" s="11">
        <f>507084</f>
        <v>507084</v>
      </c>
      <c r="P104" s="11"/>
      <c r="Q104" s="11">
        <v>246913</v>
      </c>
      <c r="R104" s="11"/>
      <c r="S104" s="11">
        <f t="shared" si="5"/>
        <v>1042431</v>
      </c>
      <c r="T104" s="7"/>
      <c r="U104" s="11">
        <v>122656</v>
      </c>
      <c r="W104" s="7">
        <f>+S104-'Stmt net assets'!Q104-U104</f>
        <v>0</v>
      </c>
    </row>
    <row r="105" spans="1:23" ht="12.75" customHeight="1" x14ac:dyDescent="0.2">
      <c r="A105" s="7" t="s">
        <v>115</v>
      </c>
      <c r="C105" s="6" t="s">
        <v>41</v>
      </c>
      <c r="D105" s="6"/>
      <c r="E105" s="11">
        <v>0</v>
      </c>
      <c r="F105" s="11"/>
      <c r="G105" s="11">
        <v>0</v>
      </c>
      <c r="H105" s="11"/>
      <c r="I105" s="11">
        <v>0</v>
      </c>
      <c r="J105" s="11"/>
      <c r="K105" s="11">
        <v>4167449</v>
      </c>
      <c r="L105" s="11"/>
      <c r="M105" s="11">
        <v>0</v>
      </c>
      <c r="N105" s="11"/>
      <c r="O105" s="11">
        <v>920708</v>
      </c>
      <c r="P105" s="11"/>
      <c r="Q105" s="11">
        <v>0</v>
      </c>
      <c r="R105" s="11"/>
      <c r="S105" s="11">
        <f t="shared" si="5"/>
        <v>5088157</v>
      </c>
      <c r="T105" s="7"/>
      <c r="U105" s="11">
        <v>707763</v>
      </c>
      <c r="W105" s="7">
        <f>+S105-'Stmt net assets'!Q105-U105</f>
        <v>0</v>
      </c>
    </row>
    <row r="106" spans="1:23" ht="12.75" customHeight="1" x14ac:dyDescent="0.2">
      <c r="A106" s="6" t="s">
        <v>116</v>
      </c>
      <c r="C106" s="6" t="s">
        <v>11</v>
      </c>
      <c r="D106" s="6"/>
      <c r="E106" s="11">
        <v>55221789</v>
      </c>
      <c r="F106" s="11"/>
      <c r="G106" s="11">
        <v>0</v>
      </c>
      <c r="H106" s="11"/>
      <c r="I106" s="11">
        <v>0</v>
      </c>
      <c r="J106" s="11"/>
      <c r="K106" s="11">
        <v>0</v>
      </c>
      <c r="L106" s="11"/>
      <c r="M106" s="11">
        <v>0</v>
      </c>
      <c r="N106" s="11"/>
      <c r="O106" s="11">
        <v>1086462</v>
      </c>
      <c r="P106" s="11"/>
      <c r="Q106" s="11">
        <v>0</v>
      </c>
      <c r="R106" s="11"/>
      <c r="S106" s="11">
        <f t="shared" si="5"/>
        <v>56308251</v>
      </c>
      <c r="T106" s="7"/>
      <c r="U106" s="11">
        <v>2269206</v>
      </c>
      <c r="W106" s="7">
        <f>+S106-'Stmt net assets'!Q106-U106</f>
        <v>0</v>
      </c>
    </row>
    <row r="107" spans="1:23" ht="12.75" customHeight="1" x14ac:dyDescent="0.2">
      <c r="A107" s="6" t="s">
        <v>118</v>
      </c>
      <c r="C107" s="6" t="s">
        <v>119</v>
      </c>
      <c r="D107" s="6"/>
      <c r="E107" s="11">
        <v>2108250</v>
      </c>
      <c r="F107" s="11"/>
      <c r="G107" s="11">
        <v>0</v>
      </c>
      <c r="H107" s="11"/>
      <c r="I107" s="11">
        <v>0</v>
      </c>
      <c r="J107" s="11"/>
      <c r="K107" s="11">
        <v>212511</v>
      </c>
      <c r="L107" s="11"/>
      <c r="M107" s="11">
        <f>243400+52703</f>
        <v>296103</v>
      </c>
      <c r="N107" s="11"/>
      <c r="O107" s="11">
        <v>368292</v>
      </c>
      <c r="P107" s="11"/>
      <c r="Q107" s="11">
        <f>54000+4651-3212</f>
        <v>55439</v>
      </c>
      <c r="R107" s="11"/>
      <c r="S107" s="11">
        <f t="shared" si="5"/>
        <v>3040595</v>
      </c>
      <c r="T107" s="7"/>
      <c r="U107" s="11">
        <v>450717</v>
      </c>
      <c r="W107" s="7">
        <f>+S107-'Stmt net assets'!Q107-U107</f>
        <v>0</v>
      </c>
    </row>
    <row r="108" spans="1:23" ht="12.75" customHeight="1" x14ac:dyDescent="0.2">
      <c r="A108" s="6" t="s">
        <v>120</v>
      </c>
      <c r="C108" s="6" t="s">
        <v>41</v>
      </c>
      <c r="D108" s="6"/>
      <c r="E108" s="11">
        <v>16058412</v>
      </c>
      <c r="F108" s="11"/>
      <c r="G108" s="11">
        <v>0</v>
      </c>
      <c r="H108" s="11"/>
      <c r="I108" s="11">
        <v>0</v>
      </c>
      <c r="J108" s="11"/>
      <c r="K108" s="11">
        <v>3372190</v>
      </c>
      <c r="L108" s="11"/>
      <c r="M108" s="11">
        <v>0</v>
      </c>
      <c r="N108" s="11"/>
      <c r="O108" s="11">
        <v>1601977</v>
      </c>
      <c r="P108" s="11"/>
      <c r="Q108" s="11">
        <v>14490000</v>
      </c>
      <c r="R108" s="11"/>
      <c r="S108" s="11">
        <f t="shared" si="5"/>
        <v>35522579</v>
      </c>
      <c r="T108" s="7"/>
      <c r="U108" s="11">
        <v>2114075</v>
      </c>
      <c r="W108" s="7">
        <f>+S108-'Stmt net assets'!Q108-U108</f>
        <v>0</v>
      </c>
    </row>
    <row r="109" spans="1:23" ht="12.75" customHeight="1" x14ac:dyDescent="0.2">
      <c r="A109" s="6" t="s">
        <v>494</v>
      </c>
      <c r="C109" s="6" t="s">
        <v>41</v>
      </c>
      <c r="D109" s="6"/>
      <c r="E109" s="11">
        <v>3950000</v>
      </c>
      <c r="F109" s="11"/>
      <c r="G109" s="11">
        <v>9810000</v>
      </c>
      <c r="H109" s="11"/>
      <c r="I109" s="11">
        <v>1450000</v>
      </c>
      <c r="J109" s="11"/>
      <c r="K109" s="11">
        <f>297230+150258+146032</f>
        <v>593520</v>
      </c>
      <c r="L109" s="11"/>
      <c r="M109" s="11">
        <v>356463</v>
      </c>
      <c r="N109" s="11"/>
      <c r="O109" s="11">
        <v>511041</v>
      </c>
      <c r="P109" s="11"/>
      <c r="Q109" s="11">
        <v>694846</v>
      </c>
      <c r="R109" s="11"/>
      <c r="S109" s="11">
        <f t="shared" si="5"/>
        <v>17365870</v>
      </c>
      <c r="T109" s="7"/>
      <c r="U109" s="11">
        <v>2993901</v>
      </c>
      <c r="W109" s="7">
        <f>+S109-'Stmt net assets'!Q109-U109</f>
        <v>0</v>
      </c>
    </row>
    <row r="110" spans="1:23" ht="12.75" customHeight="1" x14ac:dyDescent="0.2">
      <c r="A110" s="7" t="s">
        <v>43</v>
      </c>
      <c r="C110" s="6" t="s">
        <v>101</v>
      </c>
      <c r="D110" s="6"/>
      <c r="E110" s="11">
        <v>26540000</v>
      </c>
      <c r="F110" s="11"/>
      <c r="G110" s="11">
        <v>1195000</v>
      </c>
      <c r="H110" s="11"/>
      <c r="I110" s="11">
        <v>0</v>
      </c>
      <c r="J110" s="11"/>
      <c r="K110" s="11">
        <v>0</v>
      </c>
      <c r="L110" s="11"/>
      <c r="M110" s="11">
        <v>0</v>
      </c>
      <c r="N110" s="11"/>
      <c r="O110" s="11">
        <v>6137835</v>
      </c>
      <c r="P110" s="11"/>
      <c r="Q110" s="11">
        <f>1575485+1200000</f>
        <v>2775485</v>
      </c>
      <c r="R110" s="11"/>
      <c r="S110" s="11">
        <f t="shared" si="5"/>
        <v>36648320</v>
      </c>
      <c r="T110" s="7"/>
      <c r="U110" s="11">
        <v>4565797</v>
      </c>
      <c r="W110" s="7">
        <f>+S110-'Stmt net assets'!Q110-U110</f>
        <v>0</v>
      </c>
    </row>
    <row r="111" spans="1:23" ht="12.75" customHeight="1" x14ac:dyDescent="0.2">
      <c r="A111" s="7" t="s">
        <v>121</v>
      </c>
      <c r="C111" s="6" t="s">
        <v>43</v>
      </c>
      <c r="D111" s="6"/>
      <c r="E111" s="11">
        <f>1700000+1125000+630000+78256</f>
        <v>3533256</v>
      </c>
      <c r="F111" s="11"/>
      <c r="G111" s="11">
        <v>0</v>
      </c>
      <c r="H111" s="11"/>
      <c r="I111" s="11">
        <v>0</v>
      </c>
      <c r="J111" s="11"/>
      <c r="K111" s="11">
        <f>318891+498203+668762+184743+263188</f>
        <v>1933787</v>
      </c>
      <c r="L111" s="11"/>
      <c r="M111" s="11">
        <v>1499017</v>
      </c>
      <c r="N111" s="11"/>
      <c r="O111" s="11">
        <v>762955</v>
      </c>
      <c r="P111" s="11"/>
      <c r="Q111" s="11">
        <v>0</v>
      </c>
      <c r="R111" s="11"/>
      <c r="S111" s="11">
        <f t="shared" si="5"/>
        <v>7729015</v>
      </c>
      <c r="T111" s="7"/>
      <c r="U111" s="11">
        <v>799986</v>
      </c>
      <c r="W111" s="7">
        <f>+S111-'Stmt net assets'!Q111-U111</f>
        <v>0</v>
      </c>
    </row>
    <row r="112" spans="1:23" ht="12.75" customHeight="1" x14ac:dyDescent="0.2">
      <c r="A112" s="19" t="s">
        <v>122</v>
      </c>
      <c r="B112" s="21"/>
      <c r="C112" s="19" t="s">
        <v>123</v>
      </c>
      <c r="D112" s="19"/>
      <c r="E112" s="11">
        <v>3225000</v>
      </c>
      <c r="F112" s="11"/>
      <c r="G112" s="11">
        <v>0</v>
      </c>
      <c r="H112" s="11"/>
      <c r="I112" s="11">
        <v>0</v>
      </c>
      <c r="J112" s="11"/>
      <c r="K112" s="11">
        <v>0</v>
      </c>
      <c r="L112" s="11"/>
      <c r="M112" s="11">
        <v>90261</v>
      </c>
      <c r="N112" s="11"/>
      <c r="O112" s="11">
        <v>685805</v>
      </c>
      <c r="P112" s="11"/>
      <c r="Q112" s="11">
        <v>0</v>
      </c>
      <c r="R112" s="11"/>
      <c r="S112" s="11">
        <f t="shared" si="5"/>
        <v>4001066</v>
      </c>
      <c r="T112" s="7"/>
      <c r="U112" s="11">
        <v>322720</v>
      </c>
      <c r="W112" s="7">
        <f>+S112-'Stmt net assets'!Q112-U112</f>
        <v>0</v>
      </c>
    </row>
    <row r="113" spans="1:25" ht="12.75" customHeight="1" x14ac:dyDescent="0.2">
      <c r="A113" s="6" t="s">
        <v>124</v>
      </c>
      <c r="C113" s="6" t="s">
        <v>25</v>
      </c>
      <c r="D113" s="6"/>
      <c r="E113" s="11">
        <v>6020014</v>
      </c>
      <c r="F113" s="11"/>
      <c r="G113" s="11">
        <v>2724985</v>
      </c>
      <c r="H113" s="11"/>
      <c r="I113" s="11">
        <v>0</v>
      </c>
      <c r="J113" s="11"/>
      <c r="K113" s="11">
        <v>2027740</v>
      </c>
      <c r="L113" s="11"/>
      <c r="M113" s="11">
        <v>0</v>
      </c>
      <c r="N113" s="11"/>
      <c r="O113" s="11">
        <v>1045600</v>
      </c>
      <c r="P113" s="11"/>
      <c r="Q113" s="11">
        <v>204908</v>
      </c>
      <c r="R113" s="11"/>
      <c r="S113" s="11">
        <f t="shared" si="5"/>
        <v>12023247</v>
      </c>
      <c r="T113" s="7"/>
      <c r="U113" s="11">
        <v>1744915</v>
      </c>
      <c r="W113" s="7">
        <f>+S113-'Stmt net assets'!Q113-U113</f>
        <v>0</v>
      </c>
    </row>
    <row r="114" spans="1:25" ht="12.75" hidden="1" customHeight="1" x14ac:dyDescent="0.2">
      <c r="A114" s="6" t="s">
        <v>125</v>
      </c>
      <c r="C114" s="6" t="s">
        <v>41</v>
      </c>
      <c r="D114" s="6"/>
      <c r="E114" s="11">
        <f>53969123+1674999</f>
        <v>55644122</v>
      </c>
      <c r="F114" s="11"/>
      <c r="G114" s="11">
        <v>0</v>
      </c>
      <c r="H114" s="11"/>
      <c r="I114" s="11">
        <v>0</v>
      </c>
      <c r="J114" s="11"/>
      <c r="K114" s="11">
        <v>2127163</v>
      </c>
      <c r="L114" s="11"/>
      <c r="M114" s="11">
        <v>6448272</v>
      </c>
      <c r="N114" s="11"/>
      <c r="O114" s="11">
        <v>1843195</v>
      </c>
      <c r="P114" s="11"/>
      <c r="Q114" s="11">
        <v>0</v>
      </c>
      <c r="R114" s="11"/>
      <c r="S114" s="11">
        <f t="shared" si="5"/>
        <v>66062752</v>
      </c>
      <c r="T114" s="7"/>
      <c r="U114" s="11">
        <v>4360277</v>
      </c>
      <c r="W114" s="7">
        <f>+S114-'Stmt net assets'!Q114-U114</f>
        <v>0</v>
      </c>
    </row>
    <row r="115" spans="1:25" ht="12.75" customHeight="1" x14ac:dyDescent="0.2">
      <c r="A115" s="6" t="s">
        <v>126</v>
      </c>
      <c r="C115" s="6" t="s">
        <v>117</v>
      </c>
      <c r="D115" s="6"/>
      <c r="E115" s="11">
        <v>2450000</v>
      </c>
      <c r="F115" s="11"/>
      <c r="G115" s="11">
        <v>0</v>
      </c>
      <c r="H115" s="11"/>
      <c r="I115" s="11">
        <v>0</v>
      </c>
      <c r="J115" s="11"/>
      <c r="K115" s="11">
        <v>0</v>
      </c>
      <c r="L115" s="11"/>
      <c r="M115" s="11">
        <v>34225</v>
      </c>
      <c r="N115" s="11"/>
      <c r="O115" s="11">
        <v>303404</v>
      </c>
      <c r="P115" s="11"/>
      <c r="Q115" s="11">
        <v>510000</v>
      </c>
      <c r="R115" s="11"/>
      <c r="S115" s="11">
        <f t="shared" si="5"/>
        <v>3297629</v>
      </c>
      <c r="T115" s="7"/>
      <c r="U115" s="11">
        <v>196123</v>
      </c>
      <c r="W115" s="7">
        <f>+S115-'Stmt net assets'!Q115-U115</f>
        <v>0</v>
      </c>
    </row>
    <row r="116" spans="1:25" s="21" customFormat="1" ht="12.75" customHeight="1" x14ac:dyDescent="0.2">
      <c r="A116" s="6" t="s">
        <v>127</v>
      </c>
      <c r="B116" s="14"/>
      <c r="C116" s="6" t="s">
        <v>78</v>
      </c>
      <c r="D116" s="6"/>
      <c r="E116" s="11">
        <v>2790000</v>
      </c>
      <c r="F116" s="11"/>
      <c r="G116" s="11">
        <v>0</v>
      </c>
      <c r="H116" s="11"/>
      <c r="I116" s="11">
        <v>0</v>
      </c>
      <c r="J116" s="11"/>
      <c r="K116" s="11">
        <v>0</v>
      </c>
      <c r="L116" s="11"/>
      <c r="M116" s="11">
        <v>0</v>
      </c>
      <c r="N116" s="11"/>
      <c r="O116" s="11">
        <v>194648</v>
      </c>
      <c r="P116" s="11"/>
      <c r="Q116" s="11">
        <v>64811</v>
      </c>
      <c r="R116" s="11"/>
      <c r="S116" s="11">
        <f t="shared" si="5"/>
        <v>3049459</v>
      </c>
      <c r="T116" s="7"/>
      <c r="U116" s="11">
        <v>461388</v>
      </c>
      <c r="V116" s="20"/>
      <c r="W116" s="7">
        <f>+S116-'Stmt net assets'!Q116-U116</f>
        <v>0</v>
      </c>
    </row>
    <row r="117" spans="1:25" ht="12.75" customHeight="1" x14ac:dyDescent="0.2">
      <c r="A117" s="6" t="s">
        <v>128</v>
      </c>
      <c r="C117" s="6" t="s">
        <v>64</v>
      </c>
      <c r="D117" s="6"/>
      <c r="E117" s="11">
        <v>11184154</v>
      </c>
      <c r="F117" s="11"/>
      <c r="G117" s="11">
        <v>11800000</v>
      </c>
      <c r="H117" s="11"/>
      <c r="I117" s="11">
        <v>0</v>
      </c>
      <c r="J117" s="11"/>
      <c r="K117" s="11">
        <v>2266264</v>
      </c>
      <c r="L117" s="11"/>
      <c r="M117" s="11">
        <v>348052</v>
      </c>
      <c r="N117" s="11"/>
      <c r="O117" s="11">
        <v>1590506</v>
      </c>
      <c r="P117" s="11"/>
      <c r="Q117" s="11">
        <v>0</v>
      </c>
      <c r="R117" s="11"/>
      <c r="S117" s="11">
        <f t="shared" si="5"/>
        <v>27188976</v>
      </c>
      <c r="T117" s="7"/>
      <c r="U117" s="11">
        <v>2844868</v>
      </c>
      <c r="W117" s="7">
        <f>+S117-'Stmt net assets'!Q117-U117</f>
        <v>0</v>
      </c>
    </row>
    <row r="118" spans="1:25" ht="12.75" customHeight="1" x14ac:dyDescent="0.2">
      <c r="A118" s="6" t="s">
        <v>129</v>
      </c>
      <c r="C118" s="6" t="s">
        <v>11</v>
      </c>
      <c r="D118" s="6"/>
      <c r="E118" s="11">
        <v>27231246</v>
      </c>
      <c r="F118" s="11"/>
      <c r="G118" s="11">
        <v>1063408</v>
      </c>
      <c r="H118" s="11"/>
      <c r="I118" s="11">
        <v>0</v>
      </c>
      <c r="J118" s="11"/>
      <c r="K118" s="11">
        <v>125749</v>
      </c>
      <c r="L118" s="11"/>
      <c r="M118" s="11">
        <v>0</v>
      </c>
      <c r="N118" s="11"/>
      <c r="O118" s="11">
        <v>1615382</v>
      </c>
      <c r="P118" s="11"/>
      <c r="Q118" s="11">
        <v>0</v>
      </c>
      <c r="R118" s="11"/>
      <c r="S118" s="11">
        <f t="shared" si="5"/>
        <v>30035785</v>
      </c>
      <c r="T118" s="7"/>
      <c r="U118" s="11">
        <v>4114403</v>
      </c>
      <c r="W118" s="7">
        <f>+S118-'Stmt net assets'!Q118-U118</f>
        <v>0</v>
      </c>
    </row>
    <row r="119" spans="1:25" ht="12.75" customHeight="1" x14ac:dyDescent="0.2">
      <c r="A119" s="6" t="s">
        <v>36</v>
      </c>
      <c r="C119" s="6" t="s">
        <v>130</v>
      </c>
      <c r="D119" s="6"/>
      <c r="E119" s="11">
        <v>1198300</v>
      </c>
      <c r="F119" s="11"/>
      <c r="G119" s="11">
        <v>0</v>
      </c>
      <c r="H119" s="11"/>
      <c r="I119" s="11">
        <v>895000</v>
      </c>
      <c r="J119" s="11"/>
      <c r="K119" s="11">
        <v>0</v>
      </c>
      <c r="L119" s="11"/>
      <c r="M119" s="11">
        <v>221542</v>
      </c>
      <c r="N119" s="11"/>
      <c r="O119" s="11">
        <v>462401</v>
      </c>
      <c r="P119" s="11"/>
      <c r="Q119" s="11">
        <v>0</v>
      </c>
      <c r="R119" s="11"/>
      <c r="S119" s="11">
        <f t="shared" si="5"/>
        <v>2777243</v>
      </c>
      <c r="T119" s="7"/>
      <c r="U119" s="11">
        <v>1292280</v>
      </c>
      <c r="W119" s="7">
        <f>+S119-'Stmt net assets'!Q119-U119</f>
        <v>0</v>
      </c>
    </row>
    <row r="120" spans="1:25" ht="12.75" customHeight="1" x14ac:dyDescent="0.2">
      <c r="A120" s="6" t="s">
        <v>131</v>
      </c>
      <c r="C120" s="6" t="s">
        <v>25</v>
      </c>
      <c r="D120" s="6"/>
      <c r="E120" s="11">
        <v>22706384</v>
      </c>
      <c r="F120" s="11"/>
      <c r="G120" s="11">
        <v>0</v>
      </c>
      <c r="H120" s="11"/>
      <c r="I120" s="11">
        <v>6816320</v>
      </c>
      <c r="J120" s="11"/>
      <c r="K120" s="11">
        <v>229526</v>
      </c>
      <c r="L120" s="11"/>
      <c r="M120" s="11">
        <v>0</v>
      </c>
      <c r="N120" s="11"/>
      <c r="O120" s="11">
        <v>758030</v>
      </c>
      <c r="P120" s="11"/>
      <c r="Q120" s="11">
        <f>42676+339009</f>
        <v>381685</v>
      </c>
      <c r="R120" s="11"/>
      <c r="S120" s="11">
        <f t="shared" si="5"/>
        <v>30891945</v>
      </c>
      <c r="T120" s="7"/>
      <c r="U120" s="11">
        <v>1650171</v>
      </c>
      <c r="W120" s="7">
        <f>+S120-'Stmt net assets'!Q120-U120</f>
        <v>0</v>
      </c>
    </row>
    <row r="121" spans="1:25" ht="12.75" hidden="1" customHeight="1" x14ac:dyDescent="0.2">
      <c r="A121" s="6" t="s">
        <v>476</v>
      </c>
      <c r="C121" s="6" t="s">
        <v>43</v>
      </c>
      <c r="D121" s="6"/>
      <c r="E121" s="11">
        <v>2800175</v>
      </c>
      <c r="F121" s="11"/>
      <c r="G121" s="11">
        <v>0</v>
      </c>
      <c r="H121" s="11"/>
      <c r="I121" s="11">
        <v>0</v>
      </c>
      <c r="J121" s="11"/>
      <c r="K121" s="11">
        <v>0</v>
      </c>
      <c r="L121" s="11"/>
      <c r="M121" s="11">
        <v>0</v>
      </c>
      <c r="N121" s="11"/>
      <c r="O121" s="11">
        <v>1610821</v>
      </c>
      <c r="P121" s="11"/>
      <c r="Q121" s="11">
        <v>0</v>
      </c>
      <c r="R121" s="11"/>
      <c r="S121" s="11">
        <f t="shared" si="5"/>
        <v>4410996</v>
      </c>
      <c r="T121" s="7"/>
      <c r="U121" s="11">
        <v>1005061</v>
      </c>
      <c r="W121" s="7">
        <f>+S121-'Stmt net assets'!Q121-U121</f>
        <v>0</v>
      </c>
    </row>
    <row r="122" spans="1:25" ht="12.75" customHeight="1" x14ac:dyDescent="0.2">
      <c r="A122" s="6" t="s">
        <v>132</v>
      </c>
      <c r="B122" s="18"/>
      <c r="C122" s="6" t="s">
        <v>133</v>
      </c>
      <c r="D122" s="6"/>
      <c r="E122" s="11">
        <v>1940000</v>
      </c>
      <c r="F122" s="11"/>
      <c r="G122" s="11">
        <v>0</v>
      </c>
      <c r="H122" s="11"/>
      <c r="I122" s="11">
        <v>42652</v>
      </c>
      <c r="J122" s="11"/>
      <c r="K122" s="11">
        <v>75061</v>
      </c>
      <c r="L122" s="11"/>
      <c r="M122" s="11">
        <v>0</v>
      </c>
      <c r="N122" s="11"/>
      <c r="O122" s="11">
        <v>229336</v>
      </c>
      <c r="P122" s="11"/>
      <c r="Q122" s="11">
        <v>420384</v>
      </c>
      <c r="R122" s="11"/>
      <c r="S122" s="11">
        <f t="shared" si="5"/>
        <v>2707433</v>
      </c>
      <c r="T122" s="7"/>
      <c r="U122" s="11">
        <v>333654</v>
      </c>
      <c r="W122" s="7">
        <f>+S122-'Stmt net assets'!Q122-U122</f>
        <v>0</v>
      </c>
    </row>
    <row r="123" spans="1:25" ht="12.75" customHeight="1" x14ac:dyDescent="0.2">
      <c r="A123" s="6" t="s">
        <v>134</v>
      </c>
      <c r="C123" s="6" t="s">
        <v>134</v>
      </c>
      <c r="D123" s="6"/>
      <c r="E123" s="11">
        <v>0</v>
      </c>
      <c r="F123" s="11"/>
      <c r="G123" s="11">
        <v>0</v>
      </c>
      <c r="H123" s="11"/>
      <c r="I123" s="11">
        <v>162413</v>
      </c>
      <c r="J123" s="11"/>
      <c r="K123" s="11">
        <v>0</v>
      </c>
      <c r="L123" s="11"/>
      <c r="M123" s="11">
        <v>0</v>
      </c>
      <c r="N123" s="11"/>
      <c r="O123" s="11">
        <v>577687</v>
      </c>
      <c r="P123" s="11"/>
      <c r="Q123" s="11">
        <v>32991</v>
      </c>
      <c r="R123" s="11"/>
      <c r="S123" s="11">
        <f t="shared" si="5"/>
        <v>773091</v>
      </c>
      <c r="T123" s="7"/>
      <c r="U123" s="11">
        <v>159376</v>
      </c>
      <c r="W123" s="7">
        <f>+S123-'Stmt net assets'!Q123-U123</f>
        <v>0</v>
      </c>
      <c r="Y123" s="54"/>
    </row>
    <row r="124" spans="1:25" ht="12.75" customHeight="1" x14ac:dyDescent="0.2">
      <c r="A124" s="6" t="s">
        <v>135</v>
      </c>
      <c r="C124" s="6" t="s">
        <v>20</v>
      </c>
      <c r="D124" s="6"/>
      <c r="E124" s="11">
        <v>0</v>
      </c>
      <c r="F124" s="11"/>
      <c r="G124" s="11">
        <v>305000</v>
      </c>
      <c r="H124" s="11"/>
      <c r="I124" s="11">
        <v>0</v>
      </c>
      <c r="J124" s="11"/>
      <c r="K124" s="11">
        <f>241446+1445907</f>
        <v>1687353</v>
      </c>
      <c r="L124" s="11"/>
      <c r="M124" s="11">
        <v>0</v>
      </c>
      <c r="N124" s="11"/>
      <c r="O124" s="11">
        <v>1070910</v>
      </c>
      <c r="P124" s="11"/>
      <c r="Q124" s="11">
        <v>0</v>
      </c>
      <c r="R124" s="11"/>
      <c r="S124" s="11">
        <f t="shared" si="5"/>
        <v>3063263</v>
      </c>
      <c r="T124" s="7"/>
      <c r="U124" s="11">
        <v>855257</v>
      </c>
      <c r="W124" s="7">
        <f>+S124-'Stmt net assets'!Q124-U124</f>
        <v>0</v>
      </c>
    </row>
    <row r="125" spans="1:25" ht="12.75" hidden="1" customHeight="1" x14ac:dyDescent="0.2">
      <c r="A125" s="6" t="s">
        <v>136</v>
      </c>
      <c r="C125" s="6" t="s">
        <v>137</v>
      </c>
      <c r="D125" s="6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>
        <f t="shared" si="5"/>
        <v>0</v>
      </c>
      <c r="T125" s="7"/>
      <c r="U125" s="11"/>
      <c r="W125" s="7">
        <f>+S125-'Stmt net assets'!Q125-U125</f>
        <v>0</v>
      </c>
    </row>
    <row r="126" spans="1:25" s="21" customFormat="1" ht="12.75" customHeight="1" x14ac:dyDescent="0.2">
      <c r="A126" s="6" t="s">
        <v>138</v>
      </c>
      <c r="B126" s="14"/>
      <c r="C126" s="6" t="s">
        <v>64</v>
      </c>
      <c r="D126" s="6"/>
      <c r="E126" s="11">
        <v>13604500</v>
      </c>
      <c r="F126" s="11"/>
      <c r="G126" s="11">
        <v>0</v>
      </c>
      <c r="H126" s="11"/>
      <c r="I126" s="11">
        <v>1756027</v>
      </c>
      <c r="J126" s="11"/>
      <c r="K126" s="11">
        <v>0</v>
      </c>
      <c r="L126" s="11"/>
      <c r="M126" s="11">
        <v>0</v>
      </c>
      <c r="N126" s="11"/>
      <c r="O126" s="11">
        <v>4372423</v>
      </c>
      <c r="P126" s="11"/>
      <c r="Q126" s="11">
        <v>0</v>
      </c>
      <c r="R126" s="11"/>
      <c r="S126" s="11">
        <f t="shared" si="5"/>
        <v>19732950</v>
      </c>
      <c r="T126" s="7"/>
      <c r="U126" s="11">
        <v>3341081</v>
      </c>
      <c r="V126" s="20"/>
      <c r="W126" s="7">
        <f>+S126-'Stmt net assets'!Q126-U126</f>
        <v>0</v>
      </c>
    </row>
    <row r="127" spans="1:25" s="21" customFormat="1" ht="12.75" customHeight="1" x14ac:dyDescent="0.2">
      <c r="A127" s="6" t="s">
        <v>472</v>
      </c>
      <c r="B127" s="14"/>
      <c r="C127" s="6" t="s">
        <v>90</v>
      </c>
      <c r="D127" s="6"/>
      <c r="E127" s="11">
        <v>2406384</v>
      </c>
      <c r="F127" s="11"/>
      <c r="G127" s="11">
        <v>0</v>
      </c>
      <c r="H127" s="11"/>
      <c r="I127" s="11">
        <v>1010000</v>
      </c>
      <c r="J127" s="11"/>
      <c r="K127" s="11">
        <v>81118</v>
      </c>
      <c r="L127" s="11"/>
      <c r="M127" s="11">
        <v>0</v>
      </c>
      <c r="N127" s="11"/>
      <c r="O127" s="11">
        <v>259757</v>
      </c>
      <c r="P127" s="11"/>
      <c r="Q127" s="11">
        <v>0</v>
      </c>
      <c r="R127" s="11"/>
      <c r="S127" s="11">
        <f t="shared" si="5"/>
        <v>3757259</v>
      </c>
      <c r="T127" s="7"/>
      <c r="U127" s="11">
        <v>280176</v>
      </c>
      <c r="V127" s="20"/>
      <c r="W127" s="7">
        <f>+S127-'Stmt net assets'!Q127-U127</f>
        <v>0</v>
      </c>
    </row>
    <row r="128" spans="1:25" ht="12.75" customHeight="1" x14ac:dyDescent="0.2">
      <c r="A128" s="19" t="s">
        <v>139</v>
      </c>
      <c r="B128" s="21"/>
      <c r="C128" s="19" t="s">
        <v>25</v>
      </c>
      <c r="D128" s="19"/>
      <c r="E128" s="11">
        <v>29866203</v>
      </c>
      <c r="F128" s="11"/>
      <c r="G128" s="11">
        <v>0</v>
      </c>
      <c r="H128" s="11"/>
      <c r="I128" s="11">
        <v>3956143</v>
      </c>
      <c r="J128" s="11"/>
      <c r="K128" s="11">
        <v>184800</v>
      </c>
      <c r="L128" s="11"/>
      <c r="M128" s="11">
        <v>6015960</v>
      </c>
      <c r="N128" s="11"/>
      <c r="O128" s="11">
        <v>5485917</v>
      </c>
      <c r="P128" s="11"/>
      <c r="Q128" s="11">
        <v>397477</v>
      </c>
      <c r="R128" s="11"/>
      <c r="S128" s="11">
        <f t="shared" si="5"/>
        <v>45906500</v>
      </c>
      <c r="T128" s="7"/>
      <c r="U128" s="11">
        <v>9597216</v>
      </c>
      <c r="W128" s="7">
        <f>+S128-'Stmt net assets'!Q128-U128</f>
        <v>0</v>
      </c>
    </row>
    <row r="129" spans="1:25" ht="12.75" customHeight="1" x14ac:dyDescent="0.2">
      <c r="A129" s="6" t="s">
        <v>140</v>
      </c>
      <c r="C129" s="6" t="s">
        <v>100</v>
      </c>
      <c r="D129" s="6"/>
      <c r="E129" s="11">
        <v>4835000</v>
      </c>
      <c r="F129" s="11"/>
      <c r="G129" s="11">
        <v>210000</v>
      </c>
      <c r="H129" s="11"/>
      <c r="I129" s="11">
        <v>0</v>
      </c>
      <c r="J129" s="11"/>
      <c r="K129" s="11">
        <f>400000+54775+464867+376754+142771+227000+447337+375000+300000</f>
        <v>2788504</v>
      </c>
      <c r="L129" s="11"/>
      <c r="M129" s="11">
        <v>184820</v>
      </c>
      <c r="N129" s="11"/>
      <c r="O129" s="11">
        <v>4487822</v>
      </c>
      <c r="P129" s="11"/>
      <c r="Q129" s="11">
        <v>1969830</v>
      </c>
      <c r="R129" s="11"/>
      <c r="S129" s="11">
        <f t="shared" si="5"/>
        <v>14475976</v>
      </c>
      <c r="T129" s="7"/>
      <c r="U129" s="11">
        <v>3393883</v>
      </c>
      <c r="W129" s="7">
        <f>+S129-'Stmt net assets'!Q129-U129</f>
        <v>0</v>
      </c>
    </row>
    <row r="130" spans="1:25" ht="12.75" customHeight="1" x14ac:dyDescent="0.2">
      <c r="A130" s="19" t="s">
        <v>141</v>
      </c>
      <c r="B130" s="21"/>
      <c r="C130" s="19" t="s">
        <v>109</v>
      </c>
      <c r="D130" s="19"/>
      <c r="E130" s="11">
        <v>5200655</v>
      </c>
      <c r="F130" s="11"/>
      <c r="G130" s="11">
        <v>9439</v>
      </c>
      <c r="H130" s="11"/>
      <c r="I130" s="11">
        <v>0</v>
      </c>
      <c r="J130" s="11"/>
      <c r="K130" s="11">
        <v>0</v>
      </c>
      <c r="L130" s="11"/>
      <c r="M130" s="11">
        <v>0</v>
      </c>
      <c r="N130" s="11"/>
      <c r="O130" s="11">
        <v>1142115</v>
      </c>
      <c r="P130" s="11"/>
      <c r="Q130" s="11">
        <v>18196</v>
      </c>
      <c r="R130" s="11"/>
      <c r="S130" s="11">
        <f t="shared" si="5"/>
        <v>6370405</v>
      </c>
      <c r="T130" s="7"/>
      <c r="U130" s="11">
        <f>460272+276604</f>
        <v>736876</v>
      </c>
      <c r="W130" s="7">
        <f>+S130-'Stmt net assets'!Q130-U130</f>
        <v>0</v>
      </c>
    </row>
    <row r="131" spans="1:25" ht="12.75" customHeight="1" x14ac:dyDescent="0.2">
      <c r="A131" s="6" t="s">
        <v>142</v>
      </c>
      <c r="C131" s="6" t="s">
        <v>86</v>
      </c>
      <c r="D131" s="6"/>
      <c r="E131" s="11">
        <v>3737433</v>
      </c>
      <c r="F131" s="11"/>
      <c r="G131" s="11">
        <v>0</v>
      </c>
      <c r="H131" s="11"/>
      <c r="I131" s="11">
        <v>0</v>
      </c>
      <c r="J131" s="11"/>
      <c r="K131" s="11">
        <v>0</v>
      </c>
      <c r="L131" s="11"/>
      <c r="M131" s="11">
        <f>58174+54623+3633</f>
        <v>116430</v>
      </c>
      <c r="N131" s="11"/>
      <c r="O131" s="11">
        <v>2292672</v>
      </c>
      <c r="P131" s="11"/>
      <c r="Q131" s="11">
        <v>110000</v>
      </c>
      <c r="R131" s="11"/>
      <c r="S131" s="11">
        <f t="shared" si="5"/>
        <v>6256535</v>
      </c>
      <c r="T131" s="7"/>
      <c r="U131" s="11">
        <v>650769</v>
      </c>
      <c r="W131" s="7">
        <f>+S131-'Stmt net assets'!Q131-U131</f>
        <v>0</v>
      </c>
    </row>
    <row r="132" spans="1:25" ht="12.75" customHeight="1" x14ac:dyDescent="0.2">
      <c r="A132" s="6" t="s">
        <v>34</v>
      </c>
      <c r="C132" s="6" t="s">
        <v>143</v>
      </c>
      <c r="D132" s="6"/>
      <c r="E132" s="11">
        <f>195331+76086</f>
        <v>271417</v>
      </c>
      <c r="F132" s="11"/>
      <c r="G132" s="11">
        <v>0</v>
      </c>
      <c r="H132" s="11"/>
      <c r="I132" s="11">
        <v>0</v>
      </c>
      <c r="J132" s="11"/>
      <c r="K132" s="11">
        <v>0</v>
      </c>
      <c r="L132" s="11"/>
      <c r="M132" s="11">
        <v>50408</v>
      </c>
      <c r="N132" s="11"/>
      <c r="O132" s="11">
        <v>321224</v>
      </c>
      <c r="P132" s="11"/>
      <c r="Q132" s="11">
        <v>0</v>
      </c>
      <c r="R132" s="11"/>
      <c r="S132" s="11">
        <f t="shared" si="5"/>
        <v>643049</v>
      </c>
      <c r="T132" s="7"/>
      <c r="U132" s="11">
        <v>153227</v>
      </c>
      <c r="W132" s="7">
        <f>+S132-'Stmt net assets'!Q132-U132</f>
        <v>0</v>
      </c>
    </row>
    <row r="133" spans="1:25" ht="12.75" customHeight="1" x14ac:dyDescent="0.2">
      <c r="A133" s="6" t="s">
        <v>144</v>
      </c>
      <c r="C133" s="6" t="s">
        <v>145</v>
      </c>
      <c r="D133" s="6"/>
      <c r="E133" s="11">
        <v>139300</v>
      </c>
      <c r="F133" s="11"/>
      <c r="G133" s="11">
        <v>7000</v>
      </c>
      <c r="H133" s="11"/>
      <c r="I133" s="11">
        <v>0</v>
      </c>
      <c r="J133" s="11"/>
      <c r="K133" s="11">
        <f>26766+177941+407590+1097188</f>
        <v>1709485</v>
      </c>
      <c r="L133" s="11"/>
      <c r="M133" s="11">
        <v>0</v>
      </c>
      <c r="N133" s="11"/>
      <c r="O133" s="11">
        <v>318733</v>
      </c>
      <c r="P133" s="11"/>
      <c r="Q133" s="11">
        <f>94000+2770000+56907</f>
        <v>2920907</v>
      </c>
      <c r="R133" s="11"/>
      <c r="S133" s="11">
        <f t="shared" si="5"/>
        <v>5095425</v>
      </c>
      <c r="T133" s="7"/>
      <c r="U133" s="11">
        <v>438822</v>
      </c>
      <c r="W133" s="7">
        <f>+S133-'Stmt net assets'!Q133-U133</f>
        <v>0</v>
      </c>
    </row>
    <row r="134" spans="1:25" ht="12.75" customHeight="1" x14ac:dyDescent="0.2">
      <c r="A134" s="6" t="s">
        <v>15</v>
      </c>
      <c r="C134" s="6" t="s">
        <v>15</v>
      </c>
      <c r="D134" s="6"/>
      <c r="E134" s="11">
        <v>36699993</v>
      </c>
      <c r="F134" s="11"/>
      <c r="G134" s="11">
        <v>1509770</v>
      </c>
      <c r="H134" s="11"/>
      <c r="I134" s="11">
        <v>180000</v>
      </c>
      <c r="J134" s="11"/>
      <c r="K134" s="11">
        <f>2506000+2045488+2568667+1707674+1366872</f>
        <v>10194701</v>
      </c>
      <c r="L134" s="11"/>
      <c r="M134" s="11">
        <v>3210621</v>
      </c>
      <c r="N134" s="11"/>
      <c r="O134" s="11">
        <v>8113812</v>
      </c>
      <c r="P134" s="11"/>
      <c r="Q134" s="11">
        <f>854891+235085</f>
        <v>1089976</v>
      </c>
      <c r="R134" s="11"/>
      <c r="S134" s="11">
        <f t="shared" ref="S134:S141" si="6">SUM(E134:Q134)</f>
        <v>60998873</v>
      </c>
      <c r="T134" s="7"/>
      <c r="U134" s="11">
        <v>6102807</v>
      </c>
      <c r="W134" s="7">
        <f>+S134-'Stmt net assets'!Q134-U134</f>
        <v>31</v>
      </c>
    </row>
    <row r="135" spans="1:25" ht="12.75" customHeight="1" x14ac:dyDescent="0.2">
      <c r="A135" s="6" t="s">
        <v>146</v>
      </c>
      <c r="C135" s="6" t="s">
        <v>13</v>
      </c>
      <c r="D135" s="6"/>
      <c r="E135" s="11">
        <v>237301</v>
      </c>
      <c r="F135" s="11"/>
      <c r="G135" s="11">
        <v>0</v>
      </c>
      <c r="H135" s="11"/>
      <c r="I135" s="11">
        <v>0</v>
      </c>
      <c r="J135" s="11"/>
      <c r="K135" s="11">
        <v>0</v>
      </c>
      <c r="L135" s="11"/>
      <c r="M135" s="11">
        <v>78585</v>
      </c>
      <c r="N135" s="11"/>
      <c r="O135" s="11">
        <v>166674</v>
      </c>
      <c r="P135" s="11"/>
      <c r="Q135" s="11">
        <v>42064</v>
      </c>
      <c r="R135" s="11"/>
      <c r="S135" s="11">
        <f t="shared" si="6"/>
        <v>524624</v>
      </c>
      <c r="T135" s="7"/>
      <c r="U135" s="11">
        <v>135484</v>
      </c>
      <c r="W135" s="7">
        <f>+S135-'Stmt net assets'!Q135-U135</f>
        <v>0</v>
      </c>
    </row>
    <row r="136" spans="1:25" ht="12.75" customHeight="1" x14ac:dyDescent="0.2">
      <c r="A136" s="6" t="s">
        <v>147</v>
      </c>
      <c r="C136" s="6" t="s">
        <v>43</v>
      </c>
      <c r="D136" s="6"/>
      <c r="E136" s="11">
        <v>4365300</v>
      </c>
      <c r="F136" s="11"/>
      <c r="G136" s="11">
        <v>0</v>
      </c>
      <c r="H136" s="11"/>
      <c r="I136" s="11">
        <v>0</v>
      </c>
      <c r="J136" s="11"/>
      <c r="K136" s="11">
        <v>1993274</v>
      </c>
      <c r="L136" s="11"/>
      <c r="M136" s="11">
        <v>0</v>
      </c>
      <c r="N136" s="11"/>
      <c r="O136" s="11">
        <v>442199</v>
      </c>
      <c r="P136" s="11"/>
      <c r="Q136" s="11">
        <v>30998</v>
      </c>
      <c r="R136" s="11"/>
      <c r="S136" s="11">
        <f t="shared" si="6"/>
        <v>6831771</v>
      </c>
      <c r="T136" s="7"/>
      <c r="U136" s="11">
        <v>947854</v>
      </c>
      <c r="W136" s="7">
        <f>+S136-'Stmt net assets'!Q136-U136</f>
        <v>0</v>
      </c>
    </row>
    <row r="137" spans="1:25" ht="12.75" customHeight="1" x14ac:dyDescent="0.2">
      <c r="A137" s="6" t="s">
        <v>148</v>
      </c>
      <c r="C137" s="6" t="s">
        <v>25</v>
      </c>
      <c r="D137" s="6"/>
      <c r="E137" s="11">
        <v>1305000</v>
      </c>
      <c r="F137" s="11"/>
      <c r="G137" s="11">
        <v>0</v>
      </c>
      <c r="H137" s="11"/>
      <c r="I137" s="11">
        <v>800000</v>
      </c>
      <c r="J137" s="11"/>
      <c r="K137" s="11">
        <v>0</v>
      </c>
      <c r="L137" s="11"/>
      <c r="M137" s="11">
        <v>0</v>
      </c>
      <c r="N137" s="11"/>
      <c r="O137" s="11">
        <v>1273673</v>
      </c>
      <c r="P137" s="11"/>
      <c r="Q137" s="11">
        <v>0</v>
      </c>
      <c r="R137" s="11"/>
      <c r="S137" s="11">
        <f t="shared" si="6"/>
        <v>3378673</v>
      </c>
      <c r="T137" s="7"/>
      <c r="U137" s="11">
        <v>1174602</v>
      </c>
      <c r="W137" s="7">
        <f>+S137-'Stmt net assets'!Q137-U137</f>
        <v>0</v>
      </c>
    </row>
    <row r="138" spans="1:25" ht="12.75" customHeight="1" x14ac:dyDescent="0.2">
      <c r="A138" s="6" t="s">
        <v>149</v>
      </c>
      <c r="B138" s="20"/>
      <c r="C138" s="6" t="s">
        <v>11</v>
      </c>
      <c r="D138" s="6"/>
      <c r="E138" s="11">
        <v>8835000</v>
      </c>
      <c r="F138" s="11"/>
      <c r="G138" s="11">
        <v>1316500</v>
      </c>
      <c r="H138" s="11"/>
      <c r="I138" s="11">
        <v>0</v>
      </c>
      <c r="J138" s="11"/>
      <c r="K138" s="11">
        <v>492243</v>
      </c>
      <c r="L138" s="11"/>
      <c r="M138" s="11">
        <v>26380</v>
      </c>
      <c r="N138" s="11"/>
      <c r="O138" s="11">
        <v>699671</v>
      </c>
      <c r="P138" s="11"/>
      <c r="Q138" s="11">
        <v>300581</v>
      </c>
      <c r="R138" s="11"/>
      <c r="S138" s="11">
        <f t="shared" si="6"/>
        <v>11670375</v>
      </c>
      <c r="T138" s="7"/>
      <c r="U138" s="11">
        <v>1403318</v>
      </c>
      <c r="W138" s="7">
        <f>+S138-'Stmt net assets'!Q138-U138</f>
        <v>0</v>
      </c>
    </row>
    <row r="139" spans="1:25" ht="12.75" customHeight="1" x14ac:dyDescent="0.2">
      <c r="A139" s="6" t="s">
        <v>475</v>
      </c>
      <c r="B139" s="20"/>
      <c r="C139" s="6" t="s">
        <v>43</v>
      </c>
      <c r="D139" s="6"/>
      <c r="E139" s="11">
        <v>0</v>
      </c>
      <c r="F139" s="11"/>
      <c r="G139" s="11">
        <v>0</v>
      </c>
      <c r="H139" s="11"/>
      <c r="I139" s="11">
        <v>960000</v>
      </c>
      <c r="J139" s="11"/>
      <c r="K139" s="11">
        <v>0</v>
      </c>
      <c r="L139" s="11"/>
      <c r="M139" s="11">
        <v>0</v>
      </c>
      <c r="N139" s="11"/>
      <c r="O139" s="11">
        <v>200774</v>
      </c>
      <c r="P139" s="11"/>
      <c r="Q139" s="11">
        <v>0</v>
      </c>
      <c r="R139" s="11"/>
      <c r="S139" s="11">
        <f t="shared" si="6"/>
        <v>1160774</v>
      </c>
      <c r="T139" s="7"/>
      <c r="U139" s="11">
        <v>1088641</v>
      </c>
      <c r="W139" s="7">
        <f>+S139-'Stmt net assets'!Q139-U139</f>
        <v>0</v>
      </c>
      <c r="Y139" s="7"/>
    </row>
    <row r="140" spans="1:25" ht="12.75" customHeight="1" x14ac:dyDescent="0.2">
      <c r="A140" s="6" t="s">
        <v>150</v>
      </c>
      <c r="C140" s="6" t="s">
        <v>151</v>
      </c>
      <c r="D140" s="6"/>
      <c r="E140" s="11">
        <v>4635000</v>
      </c>
      <c r="F140" s="11"/>
      <c r="G140" s="11">
        <v>0</v>
      </c>
      <c r="H140" s="11"/>
      <c r="I140" s="11">
        <v>160000</v>
      </c>
      <c r="J140" s="11"/>
      <c r="K140" s="11">
        <v>0</v>
      </c>
      <c r="L140" s="11"/>
      <c r="M140" s="11">
        <v>327090</v>
      </c>
      <c r="N140" s="11"/>
      <c r="O140" s="11">
        <v>4654591</v>
      </c>
      <c r="P140" s="11"/>
      <c r="Q140" s="11">
        <v>1128399</v>
      </c>
      <c r="R140" s="11"/>
      <c r="S140" s="11">
        <f t="shared" si="6"/>
        <v>10905080</v>
      </c>
      <c r="T140" s="7"/>
      <c r="U140" s="11">
        <v>2636942</v>
      </c>
      <c r="W140" s="7">
        <f>+S140-'Stmt net assets'!Q140-U140</f>
        <v>0</v>
      </c>
    </row>
    <row r="141" spans="1:25" ht="12.75" customHeight="1" x14ac:dyDescent="0.2">
      <c r="A141" s="6" t="s">
        <v>152</v>
      </c>
      <c r="C141" s="6" t="s">
        <v>25</v>
      </c>
      <c r="D141" s="6"/>
      <c r="E141" s="11">
        <v>15461037</v>
      </c>
      <c r="F141" s="11"/>
      <c r="G141" s="11">
        <v>0</v>
      </c>
      <c r="H141" s="11"/>
      <c r="I141" s="11">
        <v>0</v>
      </c>
      <c r="J141" s="11"/>
      <c r="K141" s="11">
        <f>813612+1509401</f>
        <v>2323013</v>
      </c>
      <c r="L141" s="11"/>
      <c r="M141" s="11">
        <v>268832</v>
      </c>
      <c r="N141" s="11"/>
      <c r="O141" s="11">
        <v>2921520</v>
      </c>
      <c r="P141" s="11"/>
      <c r="Q141" s="11">
        <f>330734+159429</f>
        <v>490163</v>
      </c>
      <c r="R141" s="11"/>
      <c r="S141" s="11">
        <f t="shared" si="6"/>
        <v>21464565</v>
      </c>
      <c r="T141" s="7"/>
      <c r="U141" s="11">
        <v>1511159</v>
      </c>
      <c r="W141" s="7">
        <f>+S141-'Stmt net assets'!Q141-U141</f>
        <v>0</v>
      </c>
    </row>
    <row r="142" spans="1:25" ht="12.75" customHeight="1" x14ac:dyDescent="0.2">
      <c r="A142" s="6" t="s">
        <v>153</v>
      </c>
      <c r="C142" s="6" t="s">
        <v>38</v>
      </c>
      <c r="D142" s="6"/>
      <c r="E142" s="11">
        <v>101500</v>
      </c>
      <c r="F142" s="11"/>
      <c r="G142" s="11">
        <v>0</v>
      </c>
      <c r="H142" s="11"/>
      <c r="I142" s="11">
        <v>3240000</v>
      </c>
      <c r="J142" s="11"/>
      <c r="K142" s="11">
        <f>300700+29033</f>
        <v>329733</v>
      </c>
      <c r="L142" s="11"/>
      <c r="M142" s="11">
        <v>0</v>
      </c>
      <c r="N142" s="11"/>
      <c r="O142" s="11">
        <v>690689</v>
      </c>
      <c r="P142" s="11"/>
      <c r="Q142" s="11">
        <v>92113</v>
      </c>
      <c r="R142" s="11"/>
      <c r="S142" s="11">
        <f t="shared" ref="S142:S158" si="7">SUM(E142:Q142)</f>
        <v>4454035</v>
      </c>
      <c r="T142" s="7"/>
      <c r="U142" s="11">
        <v>126507</v>
      </c>
      <c r="W142" s="7">
        <f>+S142-'Stmt net assets'!Q142-U142</f>
        <v>0</v>
      </c>
    </row>
    <row r="143" spans="1:25" ht="12.75" customHeight="1" x14ac:dyDescent="0.2">
      <c r="A143" s="6" t="s">
        <v>154</v>
      </c>
      <c r="B143" s="20"/>
      <c r="C143" s="6" t="s">
        <v>154</v>
      </c>
      <c r="D143" s="6"/>
      <c r="E143" s="11">
        <v>4715800</v>
      </c>
      <c r="F143" s="11"/>
      <c r="G143" s="11">
        <v>0</v>
      </c>
      <c r="H143" s="11"/>
      <c r="I143" s="11">
        <v>0</v>
      </c>
      <c r="J143" s="11"/>
      <c r="K143" s="11">
        <f>528859+64102+147346</f>
        <v>740307</v>
      </c>
      <c r="L143" s="11"/>
      <c r="M143" s="11">
        <v>0</v>
      </c>
      <c r="N143" s="11"/>
      <c r="O143" s="11">
        <v>4192481</v>
      </c>
      <c r="P143" s="11"/>
      <c r="Q143" s="11">
        <v>0</v>
      </c>
      <c r="R143" s="11"/>
      <c r="S143" s="11">
        <f t="shared" si="7"/>
        <v>9648588</v>
      </c>
      <c r="T143" s="7"/>
      <c r="U143" s="11">
        <v>898036</v>
      </c>
      <c r="W143" s="7">
        <f>+S143-'Stmt net assets'!Q143-U143</f>
        <v>0</v>
      </c>
    </row>
    <row r="144" spans="1:25" ht="12.75" customHeight="1" x14ac:dyDescent="0.2">
      <c r="A144" s="6" t="s">
        <v>155</v>
      </c>
      <c r="C144" s="6" t="s">
        <v>31</v>
      </c>
      <c r="D144" s="6"/>
      <c r="E144" s="11">
        <f>435000+12341</f>
        <v>447341</v>
      </c>
      <c r="F144" s="11"/>
      <c r="G144" s="11">
        <v>0</v>
      </c>
      <c r="H144" s="11"/>
      <c r="I144" s="11">
        <v>100115</v>
      </c>
      <c r="J144" s="11"/>
      <c r="K144" s="11">
        <v>5515</v>
      </c>
      <c r="L144" s="11"/>
      <c r="M144" s="11">
        <v>0</v>
      </c>
      <c r="N144" s="11"/>
      <c r="O144" s="11">
        <v>64275</v>
      </c>
      <c r="P144" s="11"/>
      <c r="Q144" s="11">
        <v>168749</v>
      </c>
      <c r="R144" s="11"/>
      <c r="S144" s="11">
        <f t="shared" si="7"/>
        <v>785995</v>
      </c>
      <c r="T144" s="7"/>
      <c r="U144" s="11">
        <v>153296</v>
      </c>
      <c r="W144" s="7">
        <f>+S144-'Stmt net assets'!Q144-U144</f>
        <v>0</v>
      </c>
    </row>
    <row r="145" spans="1:30" ht="12.75" customHeight="1" x14ac:dyDescent="0.2">
      <c r="A145" s="6" t="s">
        <v>156</v>
      </c>
      <c r="C145" s="6" t="s">
        <v>157</v>
      </c>
      <c r="D145" s="6"/>
      <c r="E145" s="11">
        <v>19548658</v>
      </c>
      <c r="F145" s="11"/>
      <c r="G145" s="11">
        <v>0</v>
      </c>
      <c r="H145" s="11"/>
      <c r="I145" s="11">
        <v>0</v>
      </c>
      <c r="J145" s="11"/>
      <c r="K145" s="11">
        <v>0</v>
      </c>
      <c r="L145" s="11"/>
      <c r="M145" s="11">
        <v>262348</v>
      </c>
      <c r="N145" s="11"/>
      <c r="O145" s="11">
        <v>1055048</v>
      </c>
      <c r="P145" s="11"/>
      <c r="Q145" s="11">
        <v>0</v>
      </c>
      <c r="R145" s="11"/>
      <c r="S145" s="11">
        <f t="shared" si="7"/>
        <v>20866054</v>
      </c>
      <c r="T145" s="7"/>
      <c r="U145" s="11">
        <v>1892703</v>
      </c>
      <c r="W145" s="7">
        <f>+S145-'Stmt net assets'!Q145-U145</f>
        <v>0</v>
      </c>
    </row>
    <row r="146" spans="1:30" s="21" customFormat="1" ht="12.75" customHeight="1" x14ac:dyDescent="0.2">
      <c r="A146" s="19" t="s">
        <v>158</v>
      </c>
      <c r="C146" s="19" t="s">
        <v>109</v>
      </c>
      <c r="D146" s="19"/>
      <c r="E146" s="11">
        <v>19432659</v>
      </c>
      <c r="F146" s="11"/>
      <c r="G146" s="11">
        <v>0</v>
      </c>
      <c r="H146" s="11"/>
      <c r="I146" s="11">
        <v>0</v>
      </c>
      <c r="J146" s="11"/>
      <c r="K146" s="11">
        <v>0</v>
      </c>
      <c r="L146" s="11"/>
      <c r="M146" s="11">
        <v>0</v>
      </c>
      <c r="N146" s="11"/>
      <c r="O146" s="11">
        <v>1395210</v>
      </c>
      <c r="P146" s="11"/>
      <c r="Q146" s="11">
        <f>3230000+16071588</f>
        <v>19301588</v>
      </c>
      <c r="R146" s="11"/>
      <c r="S146" s="11">
        <f t="shared" si="7"/>
        <v>40129457</v>
      </c>
      <c r="T146" s="7"/>
      <c r="U146" s="11">
        <v>2983671</v>
      </c>
      <c r="V146" s="20"/>
      <c r="W146" s="7">
        <f>+S146-'Stmt net assets'!Q146-U146</f>
        <v>0</v>
      </c>
      <c r="X146" s="20"/>
      <c r="Y146" s="20"/>
      <c r="Z146" s="20"/>
      <c r="AA146" s="20"/>
      <c r="AB146" s="20"/>
      <c r="AC146" s="20"/>
      <c r="AD146" s="20"/>
    </row>
    <row r="147" spans="1:30" ht="12.75" customHeight="1" x14ac:dyDescent="0.2">
      <c r="A147" s="6" t="s">
        <v>159</v>
      </c>
      <c r="B147" s="20"/>
      <c r="C147" s="6" t="s">
        <v>13</v>
      </c>
      <c r="D147" s="6"/>
      <c r="E147" s="11">
        <v>22025133</v>
      </c>
      <c r="F147" s="11"/>
      <c r="G147" s="11">
        <v>0</v>
      </c>
      <c r="H147" s="11"/>
      <c r="I147" s="11">
        <v>0</v>
      </c>
      <c r="J147" s="11"/>
      <c r="K147" s="11">
        <v>1903603</v>
      </c>
      <c r="L147" s="11"/>
      <c r="M147" s="11">
        <v>0</v>
      </c>
      <c r="N147" s="11"/>
      <c r="O147" s="11">
        <v>2916040</v>
      </c>
      <c r="P147" s="11"/>
      <c r="Q147" s="11">
        <f>1337035+560000</f>
        <v>1897035</v>
      </c>
      <c r="R147" s="11"/>
      <c r="S147" s="11">
        <f t="shared" si="7"/>
        <v>28741811</v>
      </c>
      <c r="T147" s="7"/>
      <c r="U147" s="11">
        <v>1443694</v>
      </c>
      <c r="W147" s="7">
        <f>+S147-'Stmt net assets'!Q147-U147</f>
        <v>0</v>
      </c>
    </row>
    <row r="148" spans="1:30" ht="12.75" customHeight="1" x14ac:dyDescent="0.2">
      <c r="A148" s="6" t="s">
        <v>160</v>
      </c>
      <c r="C148" s="6" t="s">
        <v>161</v>
      </c>
      <c r="D148" s="6"/>
      <c r="E148" s="11">
        <v>23015000</v>
      </c>
      <c r="F148" s="11"/>
      <c r="G148" s="11">
        <v>0</v>
      </c>
      <c r="H148" s="11"/>
      <c r="I148" s="11">
        <v>0</v>
      </c>
      <c r="J148" s="11"/>
      <c r="K148" s="11">
        <v>0</v>
      </c>
      <c r="L148" s="11"/>
      <c r="M148" s="11">
        <v>0</v>
      </c>
      <c r="N148" s="11"/>
      <c r="O148" s="11">
        <v>2179882</v>
      </c>
      <c r="P148" s="11"/>
      <c r="Q148" s="11">
        <f>40276+50614</f>
        <v>90890</v>
      </c>
      <c r="R148" s="11"/>
      <c r="S148" s="11">
        <f t="shared" si="7"/>
        <v>25285772</v>
      </c>
      <c r="T148" s="7"/>
      <c r="U148" s="11">
        <v>2109129</v>
      </c>
      <c r="W148" s="7">
        <f>+S148-'Stmt net assets'!Q148-U148</f>
        <v>0</v>
      </c>
    </row>
    <row r="149" spans="1:30" ht="12.75" customHeight="1" x14ac:dyDescent="0.2">
      <c r="A149" s="6" t="s">
        <v>162</v>
      </c>
      <c r="B149" s="20"/>
      <c r="C149" s="6" t="s">
        <v>25</v>
      </c>
      <c r="D149" s="6"/>
      <c r="E149" s="11">
        <v>0</v>
      </c>
      <c r="F149" s="11"/>
      <c r="G149" s="11">
        <v>0</v>
      </c>
      <c r="H149" s="11"/>
      <c r="I149" s="11">
        <v>1875000</v>
      </c>
      <c r="J149" s="11"/>
      <c r="K149" s="11">
        <v>1560282</v>
      </c>
      <c r="L149" s="11"/>
      <c r="M149" s="11">
        <v>0</v>
      </c>
      <c r="N149" s="11"/>
      <c r="O149" s="11">
        <v>2633519</v>
      </c>
      <c r="P149" s="11"/>
      <c r="Q149" s="11">
        <v>37549</v>
      </c>
      <c r="R149" s="11"/>
      <c r="S149" s="11">
        <f t="shared" si="7"/>
        <v>6106350</v>
      </c>
      <c r="T149" s="7"/>
      <c r="U149" s="11">
        <v>1044289</v>
      </c>
      <c r="W149" s="7">
        <f>+S149-'Stmt net assets'!Q149-U149</f>
        <v>0</v>
      </c>
    </row>
    <row r="150" spans="1:30" ht="11.25" customHeight="1" x14ac:dyDescent="0.2">
      <c r="A150" s="6" t="s">
        <v>51</v>
      </c>
      <c r="C150" s="6" t="s">
        <v>51</v>
      </c>
      <c r="D150" s="6"/>
      <c r="E150" s="11">
        <v>14500000</v>
      </c>
      <c r="F150" s="11"/>
      <c r="G150" s="11">
        <v>356008</v>
      </c>
      <c r="H150" s="11"/>
      <c r="I150" s="11">
        <v>0</v>
      </c>
      <c r="J150" s="11"/>
      <c r="K150" s="11">
        <v>115252</v>
      </c>
      <c r="L150" s="11"/>
      <c r="M150" s="11">
        <v>0</v>
      </c>
      <c r="N150" s="11"/>
      <c r="O150" s="11">
        <v>551681</v>
      </c>
      <c r="P150" s="11"/>
      <c r="Q150" s="11">
        <v>360001</v>
      </c>
      <c r="R150" s="11"/>
      <c r="S150" s="11">
        <f t="shared" si="7"/>
        <v>15882942</v>
      </c>
      <c r="T150" s="7"/>
      <c r="U150" s="11">
        <v>1047009</v>
      </c>
      <c r="W150" s="7">
        <f>+S150-'Stmt net assets'!Q150-U150</f>
        <v>0</v>
      </c>
    </row>
    <row r="151" spans="1:30" ht="12.75" customHeight="1" x14ac:dyDescent="0.2">
      <c r="A151" s="6" t="s">
        <v>163</v>
      </c>
      <c r="C151" s="6" t="s">
        <v>90</v>
      </c>
      <c r="D151" s="6"/>
      <c r="E151" s="11">
        <f>18826580+29403</f>
        <v>18855983</v>
      </c>
      <c r="F151" s="11"/>
      <c r="G151" s="11">
        <v>10163420</v>
      </c>
      <c r="H151" s="11"/>
      <c r="I151" s="11">
        <v>0</v>
      </c>
      <c r="J151" s="11"/>
      <c r="K151" s="11">
        <v>586700</v>
      </c>
      <c r="L151" s="11"/>
      <c r="M151" s="11">
        <v>0</v>
      </c>
      <c r="N151" s="11"/>
      <c r="O151" s="11">
        <v>1982881</v>
      </c>
      <c r="P151" s="11"/>
      <c r="Q151" s="11">
        <v>3644000</v>
      </c>
      <c r="R151" s="11"/>
      <c r="S151" s="11">
        <f t="shared" si="7"/>
        <v>35232984</v>
      </c>
      <c r="T151" s="7"/>
      <c r="U151" s="11">
        <v>3519336</v>
      </c>
      <c r="W151" s="7">
        <f>+S151-'Stmt net assets'!Q151-U151</f>
        <v>0</v>
      </c>
    </row>
    <row r="152" spans="1:30" ht="12.75" customHeight="1" x14ac:dyDescent="0.2">
      <c r="A152" s="6" t="s">
        <v>164</v>
      </c>
      <c r="C152" s="6" t="s">
        <v>90</v>
      </c>
      <c r="D152" s="6"/>
      <c r="E152" s="11">
        <v>0</v>
      </c>
      <c r="F152" s="11"/>
      <c r="G152" s="11">
        <v>0</v>
      </c>
      <c r="H152" s="11"/>
      <c r="I152" s="11">
        <v>0</v>
      </c>
      <c r="J152" s="11"/>
      <c r="K152" s="11">
        <f>310954+462764</f>
        <v>773718</v>
      </c>
      <c r="L152" s="11"/>
      <c r="M152" s="11">
        <v>10009</v>
      </c>
      <c r="N152" s="11"/>
      <c r="O152" s="11">
        <v>379774</v>
      </c>
      <c r="P152" s="11"/>
      <c r="Q152" s="11">
        <v>0</v>
      </c>
      <c r="R152" s="11"/>
      <c r="S152" s="11">
        <f t="shared" si="7"/>
        <v>1163501</v>
      </c>
      <c r="T152" s="7"/>
      <c r="U152" s="11">
        <v>227084</v>
      </c>
      <c r="W152" s="7">
        <f>+S152-'Stmt net assets'!Q152-U152</f>
        <v>0</v>
      </c>
    </row>
    <row r="153" spans="1:30" ht="12.75" customHeight="1" x14ac:dyDescent="0.2">
      <c r="A153" s="6" t="s">
        <v>165</v>
      </c>
      <c r="C153" s="6" t="s">
        <v>64</v>
      </c>
      <c r="D153" s="6"/>
      <c r="E153" s="11">
        <v>9735395</v>
      </c>
      <c r="F153" s="11"/>
      <c r="G153" s="11">
        <v>0</v>
      </c>
      <c r="H153" s="11"/>
      <c r="I153" s="11">
        <v>0</v>
      </c>
      <c r="J153" s="11"/>
      <c r="K153" s="11">
        <v>0</v>
      </c>
      <c r="L153" s="11"/>
      <c r="M153" s="11">
        <v>1986649</v>
      </c>
      <c r="N153" s="11"/>
      <c r="O153" s="11">
        <v>1324049</v>
      </c>
      <c r="P153" s="11"/>
      <c r="Q153" s="11">
        <v>219444</v>
      </c>
      <c r="R153" s="11"/>
      <c r="S153" s="11">
        <f t="shared" si="7"/>
        <v>13265537</v>
      </c>
      <c r="T153" s="7"/>
      <c r="U153" s="11">
        <v>1874486</v>
      </c>
      <c r="W153" s="7">
        <f>+S153-'Stmt net assets'!Q153-U153</f>
        <v>0</v>
      </c>
    </row>
    <row r="154" spans="1:30" ht="12.75" customHeight="1" x14ac:dyDescent="0.2">
      <c r="A154" s="7" t="s">
        <v>166</v>
      </c>
      <c r="B154" s="21"/>
      <c r="C154" s="19" t="s">
        <v>25</v>
      </c>
      <c r="D154" s="19"/>
      <c r="E154" s="11">
        <v>6671230</v>
      </c>
      <c r="F154" s="11"/>
      <c r="G154" s="11">
        <v>815111</v>
      </c>
      <c r="H154" s="11"/>
      <c r="I154" s="11">
        <v>0</v>
      </c>
      <c r="J154" s="11"/>
      <c r="K154" s="11">
        <v>754551</v>
      </c>
      <c r="L154" s="11"/>
      <c r="M154" s="11">
        <f>40659+58449</f>
        <v>99108</v>
      </c>
      <c r="N154" s="11"/>
      <c r="O154" s="11">
        <v>2735876</v>
      </c>
      <c r="P154" s="11"/>
      <c r="Q154" s="11">
        <v>0</v>
      </c>
      <c r="R154" s="11"/>
      <c r="S154" s="11">
        <f t="shared" si="7"/>
        <v>11075876</v>
      </c>
      <c r="T154" s="7"/>
      <c r="U154" s="11">
        <v>2630281</v>
      </c>
      <c r="W154" s="7">
        <f>+S154-'Stmt net assets'!Q154-U154</f>
        <v>0</v>
      </c>
    </row>
    <row r="155" spans="1:30" ht="12.75" customHeight="1" x14ac:dyDescent="0.2">
      <c r="A155" s="6" t="s">
        <v>167</v>
      </c>
      <c r="C155" s="6" t="s">
        <v>101</v>
      </c>
      <c r="D155" s="6"/>
      <c r="E155" s="11">
        <v>26460147</v>
      </c>
      <c r="F155" s="11"/>
      <c r="G155" s="11">
        <v>2221743</v>
      </c>
      <c r="H155" s="11"/>
      <c r="I155" s="11">
        <v>0</v>
      </c>
      <c r="J155" s="11"/>
      <c r="K155" s="11">
        <v>0</v>
      </c>
      <c r="L155" s="11"/>
      <c r="M155" s="11">
        <v>0</v>
      </c>
      <c r="N155" s="11"/>
      <c r="O155" s="11">
        <v>5227754</v>
      </c>
      <c r="P155" s="11"/>
      <c r="Q155" s="11">
        <f>2065860+686900</f>
        <v>2752760</v>
      </c>
      <c r="R155" s="11"/>
      <c r="S155" s="11">
        <f t="shared" si="7"/>
        <v>36662404</v>
      </c>
      <c r="T155" s="7"/>
      <c r="U155" s="11">
        <v>4675253</v>
      </c>
      <c r="W155" s="7">
        <f>+S155-'Stmt net assets'!Q155-U155</f>
        <v>0</v>
      </c>
    </row>
    <row r="156" spans="1:30" ht="12.75" customHeight="1" x14ac:dyDescent="0.2">
      <c r="A156" s="6" t="s">
        <v>168</v>
      </c>
      <c r="C156" s="6" t="s">
        <v>169</v>
      </c>
      <c r="D156" s="6"/>
      <c r="E156" s="11">
        <v>2373490</v>
      </c>
      <c r="F156" s="11"/>
      <c r="G156" s="11">
        <v>0</v>
      </c>
      <c r="H156" s="11"/>
      <c r="I156" s="11">
        <v>0</v>
      </c>
      <c r="J156" s="11"/>
      <c r="K156" s="11">
        <v>0</v>
      </c>
      <c r="L156" s="11"/>
      <c r="M156" s="11">
        <v>0</v>
      </c>
      <c r="N156" s="11"/>
      <c r="O156" s="11">
        <v>237679</v>
      </c>
      <c r="P156" s="11"/>
      <c r="Q156" s="11">
        <v>0</v>
      </c>
      <c r="R156" s="11"/>
      <c r="S156" s="11">
        <f t="shared" si="7"/>
        <v>2611169</v>
      </c>
      <c r="T156" s="7"/>
      <c r="U156" s="11">
        <v>441087</v>
      </c>
      <c r="W156" s="7">
        <f>+S156-'Stmt net assets'!Q156-U156</f>
        <v>0</v>
      </c>
    </row>
    <row r="157" spans="1:30" ht="12.75" customHeight="1" x14ac:dyDescent="0.2">
      <c r="A157" s="6" t="s">
        <v>170</v>
      </c>
      <c r="C157" s="6" t="s">
        <v>101</v>
      </c>
      <c r="D157" s="6"/>
      <c r="E157" s="11">
        <v>10550057</v>
      </c>
      <c r="F157" s="11"/>
      <c r="G157" s="11">
        <v>460900</v>
      </c>
      <c r="H157" s="11"/>
      <c r="I157" s="11">
        <v>0</v>
      </c>
      <c r="J157" s="11"/>
      <c r="K157" s="11">
        <v>0</v>
      </c>
      <c r="L157" s="11"/>
      <c r="M157" s="11">
        <v>95277</v>
      </c>
      <c r="N157" s="11"/>
      <c r="O157" s="11">
        <v>139418</v>
      </c>
      <c r="P157" s="11"/>
      <c r="Q157" s="11">
        <v>1350000</v>
      </c>
      <c r="R157" s="11"/>
      <c r="S157" s="11">
        <f t="shared" si="7"/>
        <v>12595652</v>
      </c>
      <c r="T157" s="7"/>
      <c r="U157" s="11">
        <v>1116677</v>
      </c>
      <c r="W157" s="7">
        <f>+S157-'Stmt net assets'!Q157-U157</f>
        <v>0</v>
      </c>
    </row>
    <row r="158" spans="1:30" ht="12.75" customHeight="1" x14ac:dyDescent="0.2">
      <c r="A158" s="6" t="s">
        <v>64</v>
      </c>
      <c r="C158" s="6" t="s">
        <v>43</v>
      </c>
      <c r="D158" s="6"/>
      <c r="E158" s="11">
        <v>1450000</v>
      </c>
      <c r="F158" s="11"/>
      <c r="G158" s="11">
        <v>1350165</v>
      </c>
      <c r="H158" s="11"/>
      <c r="I158" s="11">
        <v>0</v>
      </c>
      <c r="J158" s="11"/>
      <c r="K158" s="11">
        <v>0</v>
      </c>
      <c r="L158" s="11"/>
      <c r="M158" s="11">
        <v>0</v>
      </c>
      <c r="N158" s="11"/>
      <c r="O158" s="11">
        <v>803438</v>
      </c>
      <c r="P158" s="11"/>
      <c r="Q158" s="11">
        <v>0</v>
      </c>
      <c r="R158" s="11"/>
      <c r="S158" s="11">
        <f t="shared" si="7"/>
        <v>3603603</v>
      </c>
      <c r="T158" s="7"/>
      <c r="U158" s="11">
        <v>847149</v>
      </c>
      <c r="W158" s="7">
        <f>+S158-'Stmt net assets'!Q158-U158</f>
        <v>0</v>
      </c>
    </row>
    <row r="159" spans="1:30" ht="12.75" customHeight="1" x14ac:dyDescent="0.2">
      <c r="A159" s="6" t="s">
        <v>171</v>
      </c>
      <c r="C159" s="6" t="s">
        <v>64</v>
      </c>
      <c r="D159" s="6"/>
      <c r="E159" s="11">
        <f>5735000+83383</f>
        <v>5818383</v>
      </c>
      <c r="F159" s="11"/>
      <c r="G159" s="11">
        <v>0</v>
      </c>
      <c r="H159" s="11"/>
      <c r="I159" s="11">
        <v>0</v>
      </c>
      <c r="J159" s="11"/>
      <c r="K159" s="11">
        <v>504595</v>
      </c>
      <c r="L159" s="11"/>
      <c r="M159" s="11">
        <v>144060</v>
      </c>
      <c r="N159" s="11"/>
      <c r="O159" s="11">
        <v>2747830</v>
      </c>
      <c r="P159" s="11"/>
      <c r="Q159" s="11">
        <v>0</v>
      </c>
      <c r="R159" s="11"/>
      <c r="S159" s="11">
        <f t="shared" ref="S159:S167" si="8">SUM(E159:Q159)</f>
        <v>9214868</v>
      </c>
      <c r="T159" s="7"/>
      <c r="U159" s="11">
        <v>818183</v>
      </c>
      <c r="W159" s="7">
        <f>+S159-'Stmt net assets'!Q159-U159</f>
        <v>-1</v>
      </c>
    </row>
    <row r="160" spans="1:30" ht="12.75" customHeight="1" x14ac:dyDescent="0.2">
      <c r="A160" s="6" t="s">
        <v>172</v>
      </c>
      <c r="C160" s="6" t="s">
        <v>43</v>
      </c>
      <c r="D160" s="6"/>
      <c r="E160" s="11">
        <v>1684608</v>
      </c>
      <c r="F160" s="11"/>
      <c r="G160" s="11">
        <v>0</v>
      </c>
      <c r="H160" s="11"/>
      <c r="I160" s="11">
        <v>0</v>
      </c>
      <c r="J160" s="11"/>
      <c r="K160" s="11">
        <v>88390</v>
      </c>
      <c r="L160" s="11"/>
      <c r="M160" s="11">
        <v>3350</v>
      </c>
      <c r="N160" s="11"/>
      <c r="O160" s="11">
        <v>108970</v>
      </c>
      <c r="P160" s="11"/>
      <c r="Q160" s="11">
        <v>43803</v>
      </c>
      <c r="R160" s="11"/>
      <c r="S160" s="11">
        <f t="shared" si="8"/>
        <v>1929121</v>
      </c>
      <c r="T160" s="7"/>
      <c r="U160" s="11">
        <v>90764</v>
      </c>
      <c r="W160" s="7">
        <f>+S160-'Stmt net assets'!Q160-U160</f>
        <v>0</v>
      </c>
    </row>
    <row r="161" spans="1:23" ht="12.75" customHeight="1" x14ac:dyDescent="0.2">
      <c r="A161" s="6" t="s">
        <v>173</v>
      </c>
      <c r="C161" s="6" t="s">
        <v>174</v>
      </c>
      <c r="D161" s="6"/>
      <c r="E161" s="11">
        <v>6177200</v>
      </c>
      <c r="F161" s="11"/>
      <c r="G161" s="11">
        <v>0</v>
      </c>
      <c r="H161" s="11"/>
      <c r="I161" s="11">
        <v>0</v>
      </c>
      <c r="J161" s="11"/>
      <c r="K161" s="11">
        <v>364375</v>
      </c>
      <c r="L161" s="11"/>
      <c r="M161" s="11">
        <v>0</v>
      </c>
      <c r="N161" s="11"/>
      <c r="O161" s="11">
        <v>1120509</v>
      </c>
      <c r="P161" s="11"/>
      <c r="Q161" s="11">
        <f>400777+1775000</f>
        <v>2175777</v>
      </c>
      <c r="R161" s="11"/>
      <c r="S161" s="11">
        <f t="shared" si="8"/>
        <v>9837861</v>
      </c>
      <c r="T161" s="7"/>
      <c r="U161" s="11">
        <v>819520</v>
      </c>
      <c r="W161" s="7">
        <f>+S161-'Stmt net assets'!Q161-U161</f>
        <v>0</v>
      </c>
    </row>
    <row r="162" spans="1:23" ht="12.75" customHeight="1" x14ac:dyDescent="0.2">
      <c r="A162" s="6" t="s">
        <v>175</v>
      </c>
      <c r="C162" s="6" t="s">
        <v>11</v>
      </c>
      <c r="D162" s="6"/>
      <c r="E162" s="11">
        <f>80192+257905+29205+100000+2498+150000+9022</f>
        <v>628822</v>
      </c>
      <c r="F162" s="11"/>
      <c r="G162" s="11">
        <v>0</v>
      </c>
      <c r="H162" s="11"/>
      <c r="I162" s="11">
        <v>0</v>
      </c>
      <c r="J162" s="11"/>
      <c r="K162" s="11">
        <v>0</v>
      </c>
      <c r="L162" s="11"/>
      <c r="M162" s="11">
        <v>98500</v>
      </c>
      <c r="N162" s="11"/>
      <c r="O162" s="11">
        <v>110919</v>
      </c>
      <c r="P162" s="11"/>
      <c r="Q162" s="11">
        <v>0</v>
      </c>
      <c r="R162" s="11"/>
      <c r="S162" s="11">
        <f t="shared" si="8"/>
        <v>838241</v>
      </c>
      <c r="T162" s="7"/>
      <c r="U162" s="11">
        <v>409317</v>
      </c>
      <c r="W162" s="7">
        <f>+S162-'Stmt net assets'!Q162-U162</f>
        <v>0</v>
      </c>
    </row>
    <row r="163" spans="1:23" s="21" customFormat="1" ht="12.75" customHeight="1" x14ac:dyDescent="0.2">
      <c r="A163" s="6" t="s">
        <v>176</v>
      </c>
      <c r="B163" s="14"/>
      <c r="C163" s="6" t="s">
        <v>177</v>
      </c>
      <c r="D163" s="6"/>
      <c r="E163" s="11">
        <v>1180000</v>
      </c>
      <c r="F163" s="11"/>
      <c r="G163" s="11">
        <v>186953</v>
      </c>
      <c r="H163" s="11"/>
      <c r="I163" s="11">
        <v>0</v>
      </c>
      <c r="J163" s="11"/>
      <c r="K163" s="11">
        <v>61753</v>
      </c>
      <c r="L163" s="11"/>
      <c r="M163" s="11">
        <v>18217</v>
      </c>
      <c r="N163" s="11"/>
      <c r="O163" s="11">
        <v>746381</v>
      </c>
      <c r="P163" s="11"/>
      <c r="Q163" s="11">
        <v>0</v>
      </c>
      <c r="R163" s="11"/>
      <c r="S163" s="11">
        <f t="shared" si="8"/>
        <v>2193304</v>
      </c>
      <c r="T163" s="7"/>
      <c r="U163" s="11">
        <v>442815</v>
      </c>
      <c r="V163" s="20"/>
      <c r="W163" s="7">
        <f>+S163-'Stmt net assets'!Q163-U163</f>
        <v>0</v>
      </c>
    </row>
    <row r="164" spans="1:23" ht="12.75" customHeight="1" x14ac:dyDescent="0.2">
      <c r="A164" s="6" t="s">
        <v>178</v>
      </c>
      <c r="C164" s="6" t="s">
        <v>18</v>
      </c>
      <c r="D164" s="6"/>
      <c r="E164" s="11">
        <v>0</v>
      </c>
      <c r="F164" s="11"/>
      <c r="G164" s="11">
        <v>0</v>
      </c>
      <c r="H164" s="11"/>
      <c r="I164" s="11">
        <v>0</v>
      </c>
      <c r="J164" s="11"/>
      <c r="K164" s="11">
        <f>20866+24944</f>
        <v>45810</v>
      </c>
      <c r="L164" s="11"/>
      <c r="M164" s="11">
        <v>96559</v>
      </c>
      <c r="N164" s="11"/>
      <c r="O164" s="11">
        <v>60476</v>
      </c>
      <c r="P164" s="11"/>
      <c r="Q164" s="11">
        <v>67599</v>
      </c>
      <c r="R164" s="11"/>
      <c r="S164" s="11">
        <f t="shared" si="8"/>
        <v>270444</v>
      </c>
      <c r="T164" s="7"/>
      <c r="U164" s="11">
        <v>59968</v>
      </c>
      <c r="W164" s="7">
        <f>+S164-'Stmt net assets'!Q164-U164</f>
        <v>0</v>
      </c>
    </row>
    <row r="165" spans="1:23" ht="12.75" customHeight="1" x14ac:dyDescent="0.2">
      <c r="A165" s="7" t="s">
        <v>495</v>
      </c>
      <c r="B165" s="10"/>
      <c r="C165" s="7" t="s">
        <v>41</v>
      </c>
      <c r="D165" s="6"/>
      <c r="E165" s="11">
        <f>27420000+1104016</f>
        <v>28524016</v>
      </c>
      <c r="F165" s="11"/>
      <c r="G165" s="11">
        <v>0</v>
      </c>
      <c r="H165" s="11"/>
      <c r="I165" s="11">
        <v>0</v>
      </c>
      <c r="J165" s="11"/>
      <c r="K165" s="11">
        <v>3371486</v>
      </c>
      <c r="L165" s="11"/>
      <c r="M165" s="11">
        <v>131875</v>
      </c>
      <c r="N165" s="11"/>
      <c r="O165" s="11">
        <v>1158418</v>
      </c>
      <c r="P165" s="11"/>
      <c r="Q165" s="11">
        <v>0</v>
      </c>
      <c r="R165" s="11"/>
      <c r="S165" s="11">
        <f t="shared" si="8"/>
        <v>33185795</v>
      </c>
      <c r="T165" s="7"/>
      <c r="U165" s="11">
        <v>2335959</v>
      </c>
      <c r="W165" s="7">
        <f>+S165-'Stmt net assets'!Q165-U165</f>
        <v>0</v>
      </c>
    </row>
    <row r="166" spans="1:23" ht="12.75" customHeight="1" x14ac:dyDescent="0.2">
      <c r="A166" s="6" t="s">
        <v>180</v>
      </c>
      <c r="B166" s="20"/>
      <c r="C166" s="6" t="s">
        <v>181</v>
      </c>
      <c r="D166" s="6"/>
      <c r="E166" s="11">
        <f>7419+800000+33496+660000+16000</f>
        <v>1516915</v>
      </c>
      <c r="F166" s="11"/>
      <c r="G166" s="11">
        <v>0</v>
      </c>
      <c r="H166" s="11"/>
      <c r="I166" s="11">
        <f>261141+445000</f>
        <v>706141</v>
      </c>
      <c r="J166" s="11"/>
      <c r="K166" s="11">
        <v>0</v>
      </c>
      <c r="L166" s="11"/>
      <c r="M166" s="11">
        <v>0</v>
      </c>
      <c r="N166" s="11"/>
      <c r="O166" s="11">
        <v>46592</v>
      </c>
      <c r="P166" s="11"/>
      <c r="Q166" s="11">
        <v>0</v>
      </c>
      <c r="R166" s="11"/>
      <c r="S166" s="11">
        <f t="shared" si="8"/>
        <v>2269648</v>
      </c>
      <c r="T166" s="7"/>
      <c r="U166" s="11">
        <v>133049</v>
      </c>
      <c r="W166" s="7">
        <f>+S166-'Stmt net assets'!Q166-U166</f>
        <v>0</v>
      </c>
    </row>
    <row r="167" spans="1:23" ht="12.75" customHeight="1" x14ac:dyDescent="0.2">
      <c r="A167" s="6" t="s">
        <v>481</v>
      </c>
      <c r="C167" s="6" t="s">
        <v>11</v>
      </c>
      <c r="D167" s="6"/>
      <c r="E167" s="11">
        <v>0</v>
      </c>
      <c r="F167" s="11"/>
      <c r="G167" s="11">
        <v>0</v>
      </c>
      <c r="H167" s="11"/>
      <c r="I167" s="11">
        <v>0</v>
      </c>
      <c r="J167" s="11"/>
      <c r="K167" s="11">
        <v>0</v>
      </c>
      <c r="L167" s="11"/>
      <c r="M167" s="11">
        <v>29758</v>
      </c>
      <c r="N167" s="11"/>
      <c r="O167" s="11">
        <v>648975</v>
      </c>
      <c r="P167" s="11"/>
      <c r="Q167" s="11">
        <v>0</v>
      </c>
      <c r="R167" s="11"/>
      <c r="S167" s="11">
        <f t="shared" si="8"/>
        <v>678733</v>
      </c>
      <c r="T167" s="7"/>
      <c r="U167" s="11">
        <v>90755</v>
      </c>
      <c r="W167" s="7">
        <f>+S167-'Stmt net assets'!Q167-U167</f>
        <v>0</v>
      </c>
    </row>
    <row r="168" spans="1:23" ht="12.75" customHeight="1" x14ac:dyDescent="0.2">
      <c r="A168" s="6"/>
      <c r="B168" s="20"/>
      <c r="C168" s="6"/>
      <c r="D168" s="6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"/>
      <c r="U168" s="11" t="s">
        <v>478</v>
      </c>
    </row>
    <row r="169" spans="1:23" ht="12.75" customHeight="1" x14ac:dyDescent="0.2">
      <c r="A169" s="6" t="s">
        <v>182</v>
      </c>
      <c r="C169" s="6" t="s">
        <v>87</v>
      </c>
      <c r="D169" s="6"/>
      <c r="E169" s="22">
        <v>1495000</v>
      </c>
      <c r="F169" s="22"/>
      <c r="G169" s="22">
        <v>0</v>
      </c>
      <c r="H169" s="22"/>
      <c r="I169" s="22">
        <v>0</v>
      </c>
      <c r="J169" s="22"/>
      <c r="K169" s="22">
        <v>0</v>
      </c>
      <c r="L169" s="22"/>
      <c r="M169" s="22">
        <v>0</v>
      </c>
      <c r="N169" s="22"/>
      <c r="O169" s="22">
        <v>1133314</v>
      </c>
      <c r="P169" s="22"/>
      <c r="Q169" s="22">
        <v>0</v>
      </c>
      <c r="R169" s="22"/>
      <c r="S169" s="22">
        <f t="shared" ref="S169:S185" si="9">SUM(E169:Q169)</f>
        <v>2628314</v>
      </c>
      <c r="T169" s="9"/>
      <c r="U169" s="22">
        <v>485803</v>
      </c>
      <c r="W169" s="7">
        <f>+S169-'Stmt net assets'!Q169-U169</f>
        <v>0</v>
      </c>
    </row>
    <row r="170" spans="1:23" ht="12.75" customHeight="1" x14ac:dyDescent="0.2">
      <c r="A170" s="6" t="s">
        <v>179</v>
      </c>
      <c r="C170" s="6" t="s">
        <v>123</v>
      </c>
      <c r="D170" s="6"/>
      <c r="E170" s="11">
        <v>15518509</v>
      </c>
      <c r="F170" s="11"/>
      <c r="G170" s="11">
        <v>0</v>
      </c>
      <c r="H170" s="11"/>
      <c r="I170" s="11">
        <v>0</v>
      </c>
      <c r="J170" s="11"/>
      <c r="K170" s="11">
        <v>1863165</v>
      </c>
      <c r="L170" s="11"/>
      <c r="M170" s="11">
        <v>1794187</v>
      </c>
      <c r="N170" s="11"/>
      <c r="O170" s="11">
        <v>3224428</v>
      </c>
      <c r="P170" s="11"/>
      <c r="Q170" s="11">
        <v>1797224</v>
      </c>
      <c r="R170" s="11"/>
      <c r="S170" s="11">
        <f t="shared" si="9"/>
        <v>24197513</v>
      </c>
      <c r="T170" s="7"/>
      <c r="U170" s="11">
        <v>2735271</v>
      </c>
      <c r="W170" s="7">
        <f>+S170-'Stmt net assets'!Q170-U170</f>
        <v>0</v>
      </c>
    </row>
    <row r="171" spans="1:23" ht="12.75" customHeight="1" x14ac:dyDescent="0.2">
      <c r="A171" s="6" t="s">
        <v>183</v>
      </c>
      <c r="C171" s="6" t="s">
        <v>78</v>
      </c>
      <c r="D171" s="6"/>
      <c r="E171" s="11">
        <f>3125000+24950</f>
        <v>3149950</v>
      </c>
      <c r="F171" s="11"/>
      <c r="G171" s="11">
        <v>0</v>
      </c>
      <c r="H171" s="11"/>
      <c r="I171" s="11">
        <v>0</v>
      </c>
      <c r="J171" s="11"/>
      <c r="K171" s="11">
        <v>0</v>
      </c>
      <c r="L171" s="11"/>
      <c r="M171" s="11">
        <v>1107</v>
      </c>
      <c r="N171" s="11"/>
      <c r="O171" s="11">
        <v>1282036</v>
      </c>
      <c r="P171" s="11"/>
      <c r="Q171" s="11">
        <v>374311</v>
      </c>
      <c r="R171" s="11"/>
      <c r="S171" s="11">
        <f t="shared" si="9"/>
        <v>4807404</v>
      </c>
      <c r="T171" s="7"/>
      <c r="U171" s="11">
        <v>321469</v>
      </c>
      <c r="W171" s="7">
        <f>+S171-'Stmt net assets'!Q171-U171</f>
        <v>0</v>
      </c>
    </row>
    <row r="172" spans="1:23" ht="12.75" customHeight="1" x14ac:dyDescent="0.2">
      <c r="A172" s="6" t="s">
        <v>184</v>
      </c>
      <c r="C172" s="6" t="s">
        <v>13</v>
      </c>
      <c r="D172" s="6"/>
      <c r="E172" s="11">
        <f>2195000+70891</f>
        <v>2265891</v>
      </c>
      <c r="F172" s="11"/>
      <c r="G172" s="11">
        <v>0</v>
      </c>
      <c r="H172" s="11"/>
      <c r="I172" s="11">
        <v>0</v>
      </c>
      <c r="J172" s="11"/>
      <c r="K172" s="11">
        <v>0</v>
      </c>
      <c r="L172" s="11"/>
      <c r="M172" s="11">
        <v>59710</v>
      </c>
      <c r="N172" s="11"/>
      <c r="O172" s="11">
        <v>1483063</v>
      </c>
      <c r="P172" s="11"/>
      <c r="Q172" s="11">
        <v>100000</v>
      </c>
      <c r="R172" s="11"/>
      <c r="S172" s="11">
        <f t="shared" si="9"/>
        <v>3908664</v>
      </c>
      <c r="T172" s="7"/>
      <c r="U172" s="11">
        <v>331448</v>
      </c>
      <c r="W172" s="7">
        <f>+S172-'Stmt net assets'!Q172-U172</f>
        <v>0</v>
      </c>
    </row>
    <row r="173" spans="1:23" ht="12.75" customHeight="1" x14ac:dyDescent="0.2">
      <c r="A173" s="6" t="s">
        <v>185</v>
      </c>
      <c r="B173" s="20"/>
      <c r="C173" s="6" t="s">
        <v>25</v>
      </c>
      <c r="D173" s="6"/>
      <c r="E173" s="11">
        <v>22895878</v>
      </c>
      <c r="F173" s="11"/>
      <c r="G173" s="11">
        <v>0</v>
      </c>
      <c r="H173" s="11"/>
      <c r="I173" s="11">
        <v>2468700</v>
      </c>
      <c r="J173" s="11"/>
      <c r="K173" s="11">
        <v>20418</v>
      </c>
      <c r="L173" s="11"/>
      <c r="M173" s="11">
        <v>27443</v>
      </c>
      <c r="N173" s="11"/>
      <c r="O173" s="11">
        <v>4696769</v>
      </c>
      <c r="P173" s="11"/>
      <c r="Q173" s="11">
        <f>87774+568685</f>
        <v>656459</v>
      </c>
      <c r="R173" s="11"/>
      <c r="S173" s="11">
        <f t="shared" si="9"/>
        <v>30765667</v>
      </c>
      <c r="T173" s="7"/>
      <c r="U173" s="11">
        <v>5990807</v>
      </c>
      <c r="W173" s="7">
        <f>+S173-'Stmt net assets'!Q173-U173</f>
        <v>0</v>
      </c>
    </row>
    <row r="174" spans="1:23" ht="12.75" customHeight="1" x14ac:dyDescent="0.2">
      <c r="A174" s="6" t="s">
        <v>187</v>
      </c>
      <c r="C174" s="6" t="s">
        <v>15</v>
      </c>
      <c r="D174" s="6"/>
      <c r="E174" s="11">
        <v>3785000</v>
      </c>
      <c r="F174" s="11"/>
      <c r="G174" s="11">
        <v>90000</v>
      </c>
      <c r="H174" s="11"/>
      <c r="I174" s="11">
        <v>2421000</v>
      </c>
      <c r="J174" s="11"/>
      <c r="K174" s="11">
        <f>848705+480000</f>
        <v>1328705</v>
      </c>
      <c r="L174" s="11"/>
      <c r="M174" s="11">
        <v>56480</v>
      </c>
      <c r="N174" s="11"/>
      <c r="O174" s="11">
        <v>3570145</v>
      </c>
      <c r="P174" s="11"/>
      <c r="Q174" s="11">
        <v>0</v>
      </c>
      <c r="R174" s="11"/>
      <c r="S174" s="11">
        <f t="shared" si="9"/>
        <v>11251330</v>
      </c>
      <c r="T174" s="7"/>
      <c r="U174" s="11">
        <v>3320443</v>
      </c>
      <c r="W174" s="7">
        <f>+S174-'Stmt net assets'!Q174-U174</f>
        <v>0</v>
      </c>
    </row>
    <row r="175" spans="1:23" ht="12.75" customHeight="1" x14ac:dyDescent="0.2">
      <c r="A175" s="6" t="s">
        <v>186</v>
      </c>
      <c r="C175" s="6" t="s">
        <v>25</v>
      </c>
      <c r="D175" s="6"/>
      <c r="E175" s="11">
        <v>13472757</v>
      </c>
      <c r="F175" s="11"/>
      <c r="G175" s="11">
        <v>1268243</v>
      </c>
      <c r="H175" s="11"/>
      <c r="I175" s="11">
        <v>9789000</v>
      </c>
      <c r="J175" s="11"/>
      <c r="K175" s="11">
        <v>339378</v>
      </c>
      <c r="L175" s="11"/>
      <c r="M175" s="11">
        <v>0</v>
      </c>
      <c r="N175" s="11"/>
      <c r="O175" s="11">
        <v>2885057</v>
      </c>
      <c r="P175" s="11"/>
      <c r="Q175" s="11">
        <v>114379</v>
      </c>
      <c r="R175" s="11"/>
      <c r="S175" s="11">
        <f t="shared" si="9"/>
        <v>27868814</v>
      </c>
      <c r="T175" s="7"/>
      <c r="U175" s="11">
        <v>2167109</v>
      </c>
      <c r="W175" s="7">
        <f>+S175-'Stmt net assets'!Q175-U175</f>
        <v>0</v>
      </c>
    </row>
    <row r="176" spans="1:23" s="21" customFormat="1" ht="12.75" customHeight="1" x14ac:dyDescent="0.2">
      <c r="A176" s="6" t="s">
        <v>188</v>
      </c>
      <c r="B176" s="14"/>
      <c r="C176" s="6" t="s">
        <v>45</v>
      </c>
      <c r="D176" s="6"/>
      <c r="E176" s="11">
        <v>2360000</v>
      </c>
      <c r="F176" s="11"/>
      <c r="G176" s="11">
        <v>0</v>
      </c>
      <c r="H176" s="11"/>
      <c r="I176" s="11">
        <v>0</v>
      </c>
      <c r="J176" s="11"/>
      <c r="K176" s="11">
        <v>61025</v>
      </c>
      <c r="L176" s="11"/>
      <c r="M176" s="11">
        <v>0</v>
      </c>
      <c r="N176" s="11"/>
      <c r="O176" s="11">
        <v>447197</v>
      </c>
      <c r="P176" s="11"/>
      <c r="Q176" s="11">
        <v>0</v>
      </c>
      <c r="R176" s="11"/>
      <c r="S176" s="11">
        <f t="shared" si="9"/>
        <v>2868222</v>
      </c>
      <c r="T176" s="7"/>
      <c r="U176" s="11">
        <v>255703</v>
      </c>
      <c r="V176" s="20"/>
      <c r="W176" s="7">
        <f>+S176-'Stmt net assets'!Q176-U176</f>
        <v>0</v>
      </c>
    </row>
    <row r="177" spans="1:23" ht="12.75" customHeight="1" x14ac:dyDescent="0.2">
      <c r="A177" s="6" t="s">
        <v>189</v>
      </c>
      <c r="C177" s="6" t="s">
        <v>11</v>
      </c>
      <c r="D177" s="6"/>
      <c r="E177" s="11">
        <v>4557733</v>
      </c>
      <c r="F177" s="11"/>
      <c r="G177" s="11">
        <v>2543111</v>
      </c>
      <c r="H177" s="11"/>
      <c r="I177" s="11">
        <v>1315000</v>
      </c>
      <c r="J177" s="11"/>
      <c r="K177" s="11">
        <v>0</v>
      </c>
      <c r="L177" s="11"/>
      <c r="M177" s="11">
        <v>0</v>
      </c>
      <c r="N177" s="11"/>
      <c r="O177" s="11">
        <v>767829</v>
      </c>
      <c r="P177" s="11"/>
      <c r="Q177" s="11">
        <v>0</v>
      </c>
      <c r="R177" s="11"/>
      <c r="S177" s="11">
        <f t="shared" si="9"/>
        <v>9183673</v>
      </c>
      <c r="T177" s="7"/>
      <c r="U177" s="11">
        <v>619657</v>
      </c>
      <c r="W177" s="7">
        <f>+S177-'Stmt net assets'!Q177-U177</f>
        <v>0</v>
      </c>
    </row>
    <row r="178" spans="1:23" ht="12.75" customHeight="1" x14ac:dyDescent="0.2">
      <c r="A178" s="6" t="s">
        <v>190</v>
      </c>
      <c r="B178" s="20"/>
      <c r="C178" s="6" t="s">
        <v>36</v>
      </c>
      <c r="D178" s="6"/>
      <c r="E178" s="11">
        <v>155000</v>
      </c>
      <c r="F178" s="11"/>
      <c r="G178" s="11">
        <v>0</v>
      </c>
      <c r="H178" s="11"/>
      <c r="I178" s="11">
        <v>0</v>
      </c>
      <c r="J178" s="11"/>
      <c r="K178" s="11">
        <f>251305+653737</f>
        <v>905042</v>
      </c>
      <c r="L178" s="11"/>
      <c r="M178" s="11">
        <v>179700</v>
      </c>
      <c r="N178" s="11"/>
      <c r="O178" s="11">
        <v>1104791</v>
      </c>
      <c r="P178" s="11"/>
      <c r="Q178" s="11">
        <v>401047</v>
      </c>
      <c r="R178" s="11"/>
      <c r="S178" s="11">
        <f t="shared" si="9"/>
        <v>2745580</v>
      </c>
      <c r="T178" s="7"/>
      <c r="U178" s="11">
        <v>573868</v>
      </c>
      <c r="W178" s="7">
        <f>+S178-'Stmt net assets'!Q178-U178</f>
        <v>0</v>
      </c>
    </row>
    <row r="179" spans="1:23" ht="12.75" customHeight="1" x14ac:dyDescent="0.2">
      <c r="A179" s="6" t="s">
        <v>191</v>
      </c>
      <c r="C179" s="6" t="s">
        <v>43</v>
      </c>
      <c r="D179" s="6"/>
      <c r="E179" s="11">
        <v>3870962</v>
      </c>
      <c r="F179" s="11"/>
      <c r="G179" s="11">
        <v>944601</v>
      </c>
      <c r="H179" s="11"/>
      <c r="I179" s="11">
        <v>0</v>
      </c>
      <c r="J179" s="11"/>
      <c r="K179" s="11">
        <f>142078+373955</f>
        <v>516033</v>
      </c>
      <c r="L179" s="11"/>
      <c r="M179" s="11">
        <v>161546</v>
      </c>
      <c r="N179" s="11"/>
      <c r="O179" s="11">
        <v>3345129</v>
      </c>
      <c r="P179" s="11"/>
      <c r="Q179" s="11">
        <f>11480000-139735+3565000</f>
        <v>14905265</v>
      </c>
      <c r="R179" s="11"/>
      <c r="S179" s="11">
        <f t="shared" si="9"/>
        <v>23743536</v>
      </c>
      <c r="T179" s="7"/>
      <c r="U179" s="11">
        <v>3535634</v>
      </c>
      <c r="W179" s="7">
        <f>+S179-'Stmt net assets'!Q179-U179</f>
        <v>-4</v>
      </c>
    </row>
    <row r="180" spans="1:23" ht="12.75" customHeight="1" x14ac:dyDescent="0.2">
      <c r="A180" s="6" t="s">
        <v>192</v>
      </c>
      <c r="C180" s="6" t="s">
        <v>64</v>
      </c>
      <c r="D180" s="6"/>
      <c r="E180" s="11">
        <v>0</v>
      </c>
      <c r="F180" s="11"/>
      <c r="G180" s="11">
        <v>0</v>
      </c>
      <c r="H180" s="11"/>
      <c r="I180" s="11">
        <v>0</v>
      </c>
      <c r="J180" s="11"/>
      <c r="K180" s="11">
        <v>0</v>
      </c>
      <c r="L180" s="11"/>
      <c r="M180" s="11">
        <v>0</v>
      </c>
      <c r="N180" s="11"/>
      <c r="O180" s="11">
        <v>1272352</v>
      </c>
      <c r="P180" s="11"/>
      <c r="Q180" s="11">
        <v>516756</v>
      </c>
      <c r="R180" s="11"/>
      <c r="S180" s="11">
        <f t="shared" si="9"/>
        <v>1789108</v>
      </c>
      <c r="T180" s="7"/>
      <c r="U180" s="11">
        <v>207489</v>
      </c>
      <c r="W180" s="7">
        <f>+S180-'Stmt net assets'!Q180-U180</f>
        <v>0</v>
      </c>
    </row>
    <row r="181" spans="1:23" ht="12.75" customHeight="1" x14ac:dyDescent="0.2">
      <c r="A181" s="19" t="s">
        <v>193</v>
      </c>
      <c r="B181" s="21"/>
      <c r="C181" s="19" t="s">
        <v>15</v>
      </c>
      <c r="D181" s="19"/>
      <c r="E181" s="11">
        <v>8487841</v>
      </c>
      <c r="F181" s="11"/>
      <c r="G181" s="11">
        <v>0</v>
      </c>
      <c r="H181" s="11"/>
      <c r="I181" s="11">
        <v>0</v>
      </c>
      <c r="J181" s="11"/>
      <c r="K181" s="11">
        <v>452467</v>
      </c>
      <c r="L181" s="11"/>
      <c r="M181" s="11">
        <v>0</v>
      </c>
      <c r="N181" s="11"/>
      <c r="O181" s="11">
        <v>833953</v>
      </c>
      <c r="P181" s="11"/>
      <c r="Q181" s="11">
        <v>0</v>
      </c>
      <c r="R181" s="11"/>
      <c r="S181" s="11">
        <f t="shared" si="9"/>
        <v>9774261</v>
      </c>
      <c r="T181" s="7"/>
      <c r="U181" s="11">
        <v>849503</v>
      </c>
      <c r="W181" s="7">
        <f>+S181-'Stmt net assets'!Q181-U181</f>
        <v>0</v>
      </c>
    </row>
    <row r="182" spans="1:23" ht="12.75" hidden="1" customHeight="1" x14ac:dyDescent="0.2">
      <c r="A182" s="6" t="s">
        <v>194</v>
      </c>
      <c r="C182" s="6" t="s">
        <v>25</v>
      </c>
      <c r="D182" s="6"/>
      <c r="E182" s="11">
        <v>0</v>
      </c>
      <c r="F182" s="11"/>
      <c r="G182" s="11">
        <v>0</v>
      </c>
      <c r="H182" s="11"/>
      <c r="I182" s="11">
        <f>516000+970000+224000+280000+1396</f>
        <v>1991396</v>
      </c>
      <c r="J182" s="11"/>
      <c r="K182" s="11">
        <f>396075+2531607+349262</f>
        <v>3276944</v>
      </c>
      <c r="L182" s="11"/>
      <c r="M182" s="11">
        <v>382657</v>
      </c>
      <c r="N182" s="11"/>
      <c r="O182" s="11">
        <v>410978</v>
      </c>
      <c r="P182" s="11"/>
      <c r="Q182" s="11">
        <v>0</v>
      </c>
      <c r="R182" s="11"/>
      <c r="S182" s="11">
        <f t="shared" si="9"/>
        <v>6061975</v>
      </c>
      <c r="T182" s="7"/>
      <c r="U182" s="11">
        <v>439967</v>
      </c>
      <c r="W182" s="7">
        <f>+S182-'Stmt net assets'!Q182-U182</f>
        <v>1397</v>
      </c>
    </row>
    <row r="183" spans="1:23" ht="12.75" customHeight="1" x14ac:dyDescent="0.2">
      <c r="A183" s="6" t="s">
        <v>384</v>
      </c>
      <c r="C183" s="6" t="s">
        <v>151</v>
      </c>
      <c r="D183" s="6"/>
      <c r="E183" s="11">
        <f>1730000-13355</f>
        <v>1716645</v>
      </c>
      <c r="F183" s="11"/>
      <c r="G183" s="11">
        <v>0</v>
      </c>
      <c r="H183" s="11"/>
      <c r="I183" s="11">
        <v>0</v>
      </c>
      <c r="J183" s="11"/>
      <c r="K183" s="11">
        <v>0</v>
      </c>
      <c r="L183" s="11"/>
      <c r="M183" s="11">
        <v>16442</v>
      </c>
      <c r="N183" s="11"/>
      <c r="O183" s="11">
        <v>311686</v>
      </c>
      <c r="P183" s="11"/>
      <c r="Q183" s="11">
        <v>0</v>
      </c>
      <c r="R183" s="11"/>
      <c r="S183" s="11">
        <f t="shared" si="9"/>
        <v>2044773</v>
      </c>
      <c r="T183" s="7"/>
      <c r="U183" s="11">
        <v>144380</v>
      </c>
      <c r="W183" s="7">
        <f>+S183-'Stmt net assets'!Q183-U183</f>
        <v>0</v>
      </c>
    </row>
    <row r="184" spans="1:23" ht="12.75" customHeight="1" x14ac:dyDescent="0.2">
      <c r="A184" s="6" t="s">
        <v>195</v>
      </c>
      <c r="C184" s="6" t="s">
        <v>161</v>
      </c>
      <c r="D184" s="6"/>
      <c r="E184" s="11">
        <v>7519700</v>
      </c>
      <c r="F184" s="11"/>
      <c r="G184" s="11">
        <v>119000</v>
      </c>
      <c r="H184" s="11"/>
      <c r="I184" s="11">
        <v>67260</v>
      </c>
      <c r="J184" s="11"/>
      <c r="K184" s="11">
        <f>2390080+11153736</f>
        <v>13543816</v>
      </c>
      <c r="L184" s="11"/>
      <c r="M184" s="11">
        <v>121105</v>
      </c>
      <c r="N184" s="11"/>
      <c r="O184" s="11">
        <v>2521142</v>
      </c>
      <c r="P184" s="11"/>
      <c r="Q184" s="11">
        <f>184557+47769</f>
        <v>232326</v>
      </c>
      <c r="R184" s="11"/>
      <c r="S184" s="11">
        <f t="shared" si="9"/>
        <v>24124349</v>
      </c>
      <c r="T184" s="7"/>
      <c r="U184" s="11">
        <v>2273484</v>
      </c>
      <c r="W184" s="7">
        <f>+S184-'Stmt net assets'!Q184-U184</f>
        <v>0</v>
      </c>
    </row>
    <row r="185" spans="1:23" ht="12.75" customHeight="1" x14ac:dyDescent="0.2">
      <c r="A185" s="6" t="s">
        <v>196</v>
      </c>
      <c r="C185" s="6" t="s">
        <v>197</v>
      </c>
      <c r="D185" s="6"/>
      <c r="E185" s="11">
        <v>0</v>
      </c>
      <c r="F185" s="11"/>
      <c r="G185" s="11">
        <v>27120</v>
      </c>
      <c r="H185" s="11"/>
      <c r="I185" s="11">
        <v>0</v>
      </c>
      <c r="J185" s="11"/>
      <c r="K185" s="11">
        <v>0</v>
      </c>
      <c r="L185" s="11"/>
      <c r="M185" s="11">
        <v>0</v>
      </c>
      <c r="N185" s="11"/>
      <c r="O185" s="11">
        <v>206591</v>
      </c>
      <c r="P185" s="11"/>
      <c r="Q185" s="11">
        <v>0</v>
      </c>
      <c r="R185" s="11"/>
      <c r="S185" s="11">
        <f t="shared" si="9"/>
        <v>233711</v>
      </c>
      <c r="T185" s="7"/>
      <c r="U185" s="11">
        <v>56334</v>
      </c>
      <c r="W185" s="7">
        <f>+S185-'Stmt net assets'!Q185-U185</f>
        <v>0</v>
      </c>
    </row>
    <row r="186" spans="1:23" ht="12.75" customHeight="1" x14ac:dyDescent="0.2">
      <c r="A186" s="6" t="s">
        <v>198</v>
      </c>
      <c r="C186" s="6" t="s">
        <v>101</v>
      </c>
      <c r="D186" s="6"/>
      <c r="E186" s="11">
        <f>1895000-31915+14633</f>
        <v>1877718</v>
      </c>
      <c r="F186" s="11"/>
      <c r="G186" s="11">
        <v>0</v>
      </c>
      <c r="H186" s="11"/>
      <c r="I186" s="11">
        <v>0</v>
      </c>
      <c r="J186" s="11"/>
      <c r="K186" s="11">
        <v>0</v>
      </c>
      <c r="L186" s="11"/>
      <c r="M186" s="11">
        <v>0</v>
      </c>
      <c r="N186" s="11"/>
      <c r="O186" s="11">
        <v>750644</v>
      </c>
      <c r="P186" s="11"/>
      <c r="Q186" s="11">
        <v>0</v>
      </c>
      <c r="R186" s="11"/>
      <c r="S186" s="11">
        <f t="shared" ref="S186:S202" si="10">SUM(E186:Q186)</f>
        <v>2628362</v>
      </c>
      <c r="T186" s="7"/>
      <c r="U186" s="11">
        <v>550720</v>
      </c>
      <c r="W186" s="7">
        <f>+S186-'Stmt net assets'!Q186-U186</f>
        <v>0</v>
      </c>
    </row>
    <row r="187" spans="1:23" ht="12.75" customHeight="1" x14ac:dyDescent="0.2">
      <c r="A187" s="6" t="s">
        <v>199</v>
      </c>
      <c r="C187" s="6" t="s">
        <v>90</v>
      </c>
      <c r="D187" s="6"/>
      <c r="E187" s="11">
        <v>7116564</v>
      </c>
      <c r="F187" s="11"/>
      <c r="G187" s="11">
        <v>310000</v>
      </c>
      <c r="H187" s="11"/>
      <c r="I187" s="11">
        <v>1065481</v>
      </c>
      <c r="J187" s="11"/>
      <c r="K187" s="11">
        <f>73351+265276</f>
        <v>338627</v>
      </c>
      <c r="L187" s="11"/>
      <c r="M187" s="11">
        <v>219902</v>
      </c>
      <c r="N187" s="11"/>
      <c r="O187" s="11">
        <v>1559428</v>
      </c>
      <c r="P187" s="11"/>
      <c r="Q187" s="11">
        <f>740201+703395</f>
        <v>1443596</v>
      </c>
      <c r="R187" s="11"/>
      <c r="S187" s="11">
        <f t="shared" si="10"/>
        <v>12053598</v>
      </c>
      <c r="T187" s="7"/>
      <c r="U187" s="11">
        <v>1167921</v>
      </c>
      <c r="W187" s="7">
        <f>+S187-'Stmt net assets'!Q187-U187</f>
        <v>0</v>
      </c>
    </row>
    <row r="188" spans="1:23" ht="12.75" customHeight="1" x14ac:dyDescent="0.2">
      <c r="A188" s="6" t="s">
        <v>200</v>
      </c>
      <c r="C188" s="6" t="s">
        <v>25</v>
      </c>
      <c r="D188" s="6"/>
      <c r="E188" s="11">
        <v>17512702</v>
      </c>
      <c r="F188" s="11"/>
      <c r="G188" s="11">
        <v>740711</v>
      </c>
      <c r="H188" s="11"/>
      <c r="I188" s="11">
        <v>0</v>
      </c>
      <c r="J188" s="11"/>
      <c r="K188" s="11">
        <f>918868+1876979</f>
        <v>2795847</v>
      </c>
      <c r="L188" s="11"/>
      <c r="M188" s="11">
        <v>1708542</v>
      </c>
      <c r="N188" s="11"/>
      <c r="O188" s="11">
        <v>3166519</v>
      </c>
      <c r="P188" s="11"/>
      <c r="Q188" s="11">
        <v>0</v>
      </c>
      <c r="R188" s="11"/>
      <c r="S188" s="11">
        <f t="shared" si="10"/>
        <v>25924321</v>
      </c>
      <c r="T188" s="7"/>
      <c r="U188" s="11">
        <v>2670914</v>
      </c>
      <c r="W188" s="7">
        <f>+S188-'Stmt net assets'!Q188-U188</f>
        <v>0</v>
      </c>
    </row>
    <row r="189" spans="1:23" ht="12.75" customHeight="1" x14ac:dyDescent="0.2">
      <c r="A189" s="6" t="s">
        <v>201</v>
      </c>
      <c r="C189" s="6" t="s">
        <v>25</v>
      </c>
      <c r="D189" s="6"/>
      <c r="E189" s="11">
        <v>3762000</v>
      </c>
      <c r="F189" s="11"/>
      <c r="G189" s="11">
        <v>182759</v>
      </c>
      <c r="H189" s="11"/>
      <c r="I189" s="11">
        <v>800000</v>
      </c>
      <c r="J189" s="11"/>
      <c r="K189" s="11">
        <f>500656+30885</f>
        <v>531541</v>
      </c>
      <c r="L189" s="11"/>
      <c r="M189" s="11">
        <v>500435</v>
      </c>
      <c r="N189" s="11"/>
      <c r="O189" s="11">
        <v>1012975</v>
      </c>
      <c r="P189" s="11"/>
      <c r="Q189" s="11">
        <v>0</v>
      </c>
      <c r="R189" s="11"/>
      <c r="S189" s="11">
        <f t="shared" si="10"/>
        <v>6789710</v>
      </c>
      <c r="T189" s="7"/>
      <c r="U189" s="11">
        <v>1510409</v>
      </c>
      <c r="W189" s="7">
        <f>+S189-'Stmt net assets'!Q189-U189</f>
        <v>0</v>
      </c>
    </row>
    <row r="190" spans="1:23" ht="12.75" customHeight="1" x14ac:dyDescent="0.2">
      <c r="A190" s="6" t="s">
        <v>202</v>
      </c>
      <c r="C190" s="6" t="s">
        <v>123</v>
      </c>
      <c r="D190" s="6"/>
      <c r="E190" s="11">
        <v>0</v>
      </c>
      <c r="F190" s="11"/>
      <c r="G190" s="11">
        <v>0</v>
      </c>
      <c r="H190" s="11"/>
      <c r="I190" s="11">
        <f>583015+720000</f>
        <v>1303015</v>
      </c>
      <c r="J190" s="11"/>
      <c r="K190" s="11">
        <f>245771+55441</f>
        <v>301212</v>
      </c>
      <c r="L190" s="11"/>
      <c r="M190" s="11">
        <v>0</v>
      </c>
      <c r="N190" s="11"/>
      <c r="O190" s="11">
        <v>107098</v>
      </c>
      <c r="P190" s="11"/>
      <c r="Q190" s="11">
        <v>0</v>
      </c>
      <c r="R190" s="11"/>
      <c r="S190" s="11">
        <f t="shared" si="10"/>
        <v>1711325</v>
      </c>
      <c r="T190" s="7"/>
      <c r="U190" s="11">
        <v>332881</v>
      </c>
      <c r="W190" s="7">
        <f>+S190-'Stmt net assets'!Q190-U190</f>
        <v>0</v>
      </c>
    </row>
    <row r="191" spans="1:23" ht="11.25" customHeight="1" x14ac:dyDescent="0.2">
      <c r="A191" s="6" t="s">
        <v>203</v>
      </c>
      <c r="C191" s="6" t="s">
        <v>25</v>
      </c>
      <c r="D191" s="6"/>
      <c r="E191" s="11">
        <v>7541590</v>
      </c>
      <c r="F191" s="11"/>
      <c r="G191" s="11">
        <v>0</v>
      </c>
      <c r="H191" s="11"/>
      <c r="I191" s="11">
        <v>0</v>
      </c>
      <c r="J191" s="11"/>
      <c r="K191" s="11">
        <v>715712</v>
      </c>
      <c r="L191" s="11"/>
      <c r="M191" s="11">
        <v>0</v>
      </c>
      <c r="N191" s="11"/>
      <c r="O191" s="11">
        <v>212712</v>
      </c>
      <c r="P191" s="11"/>
      <c r="Q191" s="11">
        <v>0</v>
      </c>
      <c r="R191" s="11"/>
      <c r="S191" s="11">
        <f t="shared" si="10"/>
        <v>8470014</v>
      </c>
      <c r="T191" s="7"/>
      <c r="U191" s="11">
        <v>539794</v>
      </c>
      <c r="W191" s="7">
        <f>+S191-'Stmt net assets'!Q191-U191</f>
        <v>0</v>
      </c>
    </row>
    <row r="192" spans="1:23" ht="12.75" customHeight="1" x14ac:dyDescent="0.2">
      <c r="A192" s="6" t="s">
        <v>204</v>
      </c>
      <c r="C192" s="6" t="s">
        <v>45</v>
      </c>
      <c r="D192" s="6"/>
      <c r="E192" s="11">
        <v>0</v>
      </c>
      <c r="F192" s="11"/>
      <c r="G192" s="11">
        <v>0</v>
      </c>
      <c r="H192" s="11"/>
      <c r="I192" s="11">
        <v>0</v>
      </c>
      <c r="J192" s="11"/>
      <c r="K192" s="11">
        <v>0</v>
      </c>
      <c r="L192" s="11"/>
      <c r="M192" s="11">
        <v>0</v>
      </c>
      <c r="N192" s="11"/>
      <c r="O192" s="11">
        <v>1142011</v>
      </c>
      <c r="P192" s="11"/>
      <c r="Q192" s="11">
        <v>0</v>
      </c>
      <c r="R192" s="11"/>
      <c r="S192" s="11">
        <f t="shared" si="10"/>
        <v>1142011</v>
      </c>
      <c r="T192" s="7"/>
      <c r="U192" s="11">
        <v>379912</v>
      </c>
      <c r="W192" s="7">
        <f>+S192-'Stmt net assets'!Q192-U192</f>
        <v>0</v>
      </c>
    </row>
    <row r="193" spans="1:25" ht="12.75" customHeight="1" x14ac:dyDescent="0.2">
      <c r="A193" s="6" t="s">
        <v>205</v>
      </c>
      <c r="C193" s="6" t="s">
        <v>100</v>
      </c>
      <c r="D193" s="6"/>
      <c r="E193" s="11">
        <v>7075716</v>
      </c>
      <c r="F193" s="11"/>
      <c r="G193" s="11">
        <v>0</v>
      </c>
      <c r="H193" s="11"/>
      <c r="I193" s="11">
        <v>0</v>
      </c>
      <c r="J193" s="11"/>
      <c r="K193" s="11">
        <v>4875204</v>
      </c>
      <c r="L193" s="11"/>
      <c r="M193" s="11">
        <v>98240</v>
      </c>
      <c r="N193" s="11"/>
      <c r="O193" s="11">
        <v>707976</v>
      </c>
      <c r="P193" s="11"/>
      <c r="Q193" s="11">
        <v>0</v>
      </c>
      <c r="R193" s="11"/>
      <c r="S193" s="11">
        <f t="shared" si="10"/>
        <v>12757136</v>
      </c>
      <c r="T193" s="7"/>
      <c r="U193" s="11">
        <v>1370790</v>
      </c>
      <c r="W193" s="7">
        <f>+S193-'Stmt net assets'!Q193-U193</f>
        <v>0</v>
      </c>
    </row>
    <row r="194" spans="1:25" ht="12.75" customHeight="1" x14ac:dyDescent="0.2">
      <c r="A194" s="6" t="s">
        <v>206</v>
      </c>
      <c r="C194" s="6" t="s">
        <v>207</v>
      </c>
      <c r="D194" s="6"/>
      <c r="E194" s="11">
        <v>255000</v>
      </c>
      <c r="F194" s="11"/>
      <c r="G194" s="11">
        <v>111805</v>
      </c>
      <c r="H194" s="11"/>
      <c r="I194" s="11">
        <v>874950</v>
      </c>
      <c r="J194" s="11"/>
      <c r="K194" s="11">
        <v>0</v>
      </c>
      <c r="L194" s="11"/>
      <c r="M194" s="11">
        <v>0</v>
      </c>
      <c r="N194" s="11"/>
      <c r="O194" s="11">
        <v>1885701</v>
      </c>
      <c r="P194" s="11"/>
      <c r="Q194" s="11">
        <f>25550+250000</f>
        <v>275550</v>
      </c>
      <c r="R194" s="11"/>
      <c r="S194" s="11">
        <f t="shared" si="10"/>
        <v>3403006</v>
      </c>
      <c r="T194" s="7"/>
      <c r="U194" s="11">
        <v>847813</v>
      </c>
      <c r="W194" s="7">
        <f>+S194-'Stmt net assets'!Q194-U194</f>
        <v>0</v>
      </c>
    </row>
    <row r="195" spans="1:25" ht="12.75" customHeight="1" x14ac:dyDescent="0.2">
      <c r="A195" s="7" t="s">
        <v>208</v>
      </c>
      <c r="C195" s="7" t="s">
        <v>209</v>
      </c>
      <c r="D195" s="7"/>
      <c r="E195" s="11">
        <v>168846</v>
      </c>
      <c r="F195" s="11"/>
      <c r="G195" s="11">
        <v>24154</v>
      </c>
      <c r="H195" s="11"/>
      <c r="I195" s="11">
        <v>0</v>
      </c>
      <c r="J195" s="11"/>
      <c r="K195" s="11">
        <v>0</v>
      </c>
      <c r="L195" s="11"/>
      <c r="M195" s="11">
        <v>100719</v>
      </c>
      <c r="N195" s="11"/>
      <c r="O195" s="11">
        <v>113853</v>
      </c>
      <c r="P195" s="11"/>
      <c r="Q195" s="11">
        <v>0</v>
      </c>
      <c r="R195" s="11"/>
      <c r="S195" s="11">
        <f t="shared" si="10"/>
        <v>407572</v>
      </c>
      <c r="T195" s="7"/>
      <c r="U195" s="11">
        <v>101284</v>
      </c>
      <c r="W195" s="7">
        <f>+S195-'Stmt net assets'!Q195-U195</f>
        <v>0</v>
      </c>
      <c r="X195" s="21"/>
      <c r="Y195" s="21"/>
    </row>
    <row r="196" spans="1:25" ht="12.75" customHeight="1" x14ac:dyDescent="0.2">
      <c r="A196" s="7" t="s">
        <v>210</v>
      </c>
      <c r="C196" s="7" t="s">
        <v>211</v>
      </c>
      <c r="D196" s="7"/>
      <c r="E196" s="11">
        <v>1520000</v>
      </c>
      <c r="F196" s="11"/>
      <c r="G196" s="11">
        <v>0</v>
      </c>
      <c r="H196" s="11"/>
      <c r="I196" s="11">
        <v>0</v>
      </c>
      <c r="J196" s="11"/>
      <c r="K196" s="11">
        <v>0</v>
      </c>
      <c r="L196" s="11"/>
      <c r="M196" s="11">
        <v>840435</v>
      </c>
      <c r="N196" s="11"/>
      <c r="O196" s="11">
        <v>558522</v>
      </c>
      <c r="P196" s="11"/>
      <c r="Q196" s="11">
        <v>0</v>
      </c>
      <c r="R196" s="11"/>
      <c r="S196" s="11">
        <f t="shared" si="10"/>
        <v>2918957</v>
      </c>
      <c r="T196" s="7"/>
      <c r="U196" s="11">
        <v>298958</v>
      </c>
      <c r="W196" s="7">
        <f>+S196-'Stmt net assets'!Q196-U196</f>
        <v>0</v>
      </c>
    </row>
    <row r="197" spans="1:25" ht="12.75" customHeight="1" x14ac:dyDescent="0.2">
      <c r="A197" s="7" t="s">
        <v>212</v>
      </c>
      <c r="B197" s="72"/>
      <c r="C197" s="7" t="s">
        <v>84</v>
      </c>
      <c r="D197" s="7"/>
      <c r="E197" s="11">
        <f>29680000+593565</f>
        <v>30273565</v>
      </c>
      <c r="F197" s="11"/>
      <c r="G197" s="11">
        <v>0</v>
      </c>
      <c r="H197" s="11"/>
      <c r="I197" s="11">
        <v>0</v>
      </c>
      <c r="J197" s="11"/>
      <c r="K197" s="11">
        <v>0</v>
      </c>
      <c r="L197" s="11"/>
      <c r="M197" s="11">
        <v>0</v>
      </c>
      <c r="N197" s="11"/>
      <c r="O197" s="11">
        <v>295875</v>
      </c>
      <c r="P197" s="11"/>
      <c r="Q197" s="11">
        <v>0</v>
      </c>
      <c r="R197" s="11"/>
      <c r="S197" s="11">
        <f t="shared" si="10"/>
        <v>30569440</v>
      </c>
      <c r="T197" s="7"/>
      <c r="U197" s="11">
        <v>2173781</v>
      </c>
      <c r="W197" s="7">
        <f>+S197-'Stmt net assets'!Q197-U197</f>
        <v>0</v>
      </c>
      <c r="Y197" s="7"/>
    </row>
    <row r="198" spans="1:25" ht="12.75" customHeight="1" x14ac:dyDescent="0.2">
      <c r="A198" s="6" t="s">
        <v>213</v>
      </c>
      <c r="B198" s="20"/>
      <c r="C198" s="6" t="s">
        <v>20</v>
      </c>
      <c r="D198" s="6"/>
      <c r="E198" s="11">
        <v>3281912</v>
      </c>
      <c r="F198" s="11"/>
      <c r="G198" s="11">
        <v>102439</v>
      </c>
      <c r="H198" s="11"/>
      <c r="I198" s="11">
        <v>0</v>
      </c>
      <c r="J198" s="11"/>
      <c r="K198" s="11">
        <v>0</v>
      </c>
      <c r="L198" s="11"/>
      <c r="M198" s="11">
        <v>633149</v>
      </c>
      <c r="N198" s="11"/>
      <c r="O198" s="11">
        <v>858984</v>
      </c>
      <c r="P198" s="11"/>
      <c r="Q198" s="11">
        <f>4455000-38793</f>
        <v>4416207</v>
      </c>
      <c r="R198" s="11"/>
      <c r="S198" s="11">
        <f t="shared" si="10"/>
        <v>9292691</v>
      </c>
      <c r="T198" s="7"/>
      <c r="U198" s="11">
        <v>810623</v>
      </c>
      <c r="W198" s="7">
        <f>+S198-'Stmt net assets'!Q198-U198</f>
        <v>0</v>
      </c>
    </row>
    <row r="199" spans="1:25" ht="12.75" customHeight="1" x14ac:dyDescent="0.2">
      <c r="A199" s="6" t="s">
        <v>214</v>
      </c>
      <c r="C199" s="6" t="s">
        <v>43</v>
      </c>
      <c r="D199" s="6"/>
      <c r="E199" s="11">
        <v>1635000</v>
      </c>
      <c r="F199" s="11"/>
      <c r="G199" s="11">
        <v>0</v>
      </c>
      <c r="H199" s="11"/>
      <c r="I199" s="11">
        <v>0</v>
      </c>
      <c r="J199" s="11"/>
      <c r="K199" s="11">
        <v>952459</v>
      </c>
      <c r="L199" s="11"/>
      <c r="M199" s="11">
        <v>0</v>
      </c>
      <c r="N199" s="11"/>
      <c r="O199" s="11">
        <v>993998</v>
      </c>
      <c r="P199" s="11"/>
      <c r="Q199" s="11">
        <v>0</v>
      </c>
      <c r="R199" s="11"/>
      <c r="S199" s="11">
        <f t="shared" si="10"/>
        <v>3581457</v>
      </c>
      <c r="T199" s="7"/>
      <c r="U199" s="11">
        <v>667930</v>
      </c>
      <c r="W199" s="7">
        <f>+S199-'Stmt net assets'!Q199-U199</f>
        <v>0</v>
      </c>
    </row>
    <row r="200" spans="1:25" ht="12.75" customHeight="1" x14ac:dyDescent="0.2">
      <c r="A200" s="6" t="s">
        <v>215</v>
      </c>
      <c r="C200" s="6" t="s">
        <v>41</v>
      </c>
      <c r="D200" s="6"/>
      <c r="E200" s="11">
        <v>19974909</v>
      </c>
      <c r="F200" s="11"/>
      <c r="G200" s="11">
        <v>0</v>
      </c>
      <c r="H200" s="11"/>
      <c r="I200" s="11">
        <v>0</v>
      </c>
      <c r="J200" s="11"/>
      <c r="K200" s="11">
        <f>2327771+97091</f>
        <v>2424862</v>
      </c>
      <c r="L200" s="11"/>
      <c r="M200" s="11">
        <v>0</v>
      </c>
      <c r="N200" s="11"/>
      <c r="O200" s="11">
        <v>1185826</v>
      </c>
      <c r="P200" s="11"/>
      <c r="Q200" s="11">
        <v>0</v>
      </c>
      <c r="R200" s="11"/>
      <c r="S200" s="11">
        <f t="shared" si="10"/>
        <v>23585597</v>
      </c>
      <c r="T200" s="7"/>
      <c r="U200" s="11">
        <v>2636447</v>
      </c>
      <c r="W200" s="7">
        <f>+S200-'Stmt net assets'!Q200-U200</f>
        <v>0</v>
      </c>
    </row>
    <row r="201" spans="1:25" ht="12.75" customHeight="1" x14ac:dyDescent="0.2">
      <c r="A201" s="6" t="s">
        <v>216</v>
      </c>
      <c r="C201" s="6" t="s">
        <v>25</v>
      </c>
      <c r="D201" s="6"/>
      <c r="E201" s="11">
        <v>8658299</v>
      </c>
      <c r="F201" s="11"/>
      <c r="G201" s="11">
        <v>0</v>
      </c>
      <c r="H201" s="11"/>
      <c r="I201" s="11">
        <v>1190000</v>
      </c>
      <c r="J201" s="11"/>
      <c r="K201" s="11">
        <f>5183067+631899</f>
        <v>5814966</v>
      </c>
      <c r="L201" s="11"/>
      <c r="M201" s="11">
        <v>0</v>
      </c>
      <c r="N201" s="11"/>
      <c r="O201" s="11">
        <v>879877</v>
      </c>
      <c r="P201" s="11"/>
      <c r="Q201" s="11">
        <f>71758+42632</f>
        <v>114390</v>
      </c>
      <c r="R201" s="11"/>
      <c r="S201" s="11">
        <f t="shared" si="10"/>
        <v>16657532</v>
      </c>
      <c r="T201" s="7"/>
      <c r="U201" s="11">
        <v>3194242</v>
      </c>
      <c r="W201" s="7">
        <f>+S201-'Stmt net assets'!Q201-U201</f>
        <v>0</v>
      </c>
    </row>
    <row r="202" spans="1:25" ht="12.75" customHeight="1" x14ac:dyDescent="0.2">
      <c r="A202" s="6" t="s">
        <v>217</v>
      </c>
      <c r="C202" s="6" t="s">
        <v>197</v>
      </c>
      <c r="D202" s="6"/>
      <c r="E202" s="11">
        <v>865000</v>
      </c>
      <c r="F202" s="11"/>
      <c r="G202" s="11">
        <v>0</v>
      </c>
      <c r="H202" s="11"/>
      <c r="I202" s="11">
        <v>0</v>
      </c>
      <c r="J202" s="11"/>
      <c r="K202" s="11">
        <v>0</v>
      </c>
      <c r="L202" s="11"/>
      <c r="M202" s="11">
        <v>11133</v>
      </c>
      <c r="N202" s="11"/>
      <c r="O202" s="11">
        <v>184361</v>
      </c>
      <c r="P202" s="11"/>
      <c r="Q202" s="11">
        <v>0</v>
      </c>
      <c r="R202" s="11"/>
      <c r="S202" s="11">
        <f t="shared" si="10"/>
        <v>1060494</v>
      </c>
      <c r="T202" s="7"/>
      <c r="U202" s="11">
        <v>216809</v>
      </c>
      <c r="W202" s="7">
        <f>+S202-'Stmt net assets'!Q202-U202</f>
        <v>0</v>
      </c>
    </row>
    <row r="203" spans="1:25" ht="12.75" customHeight="1" x14ac:dyDescent="0.2">
      <c r="A203" s="6" t="s">
        <v>218</v>
      </c>
      <c r="C203" s="6" t="s">
        <v>64</v>
      </c>
      <c r="D203" s="6"/>
      <c r="E203" s="11">
        <v>1720847</v>
      </c>
      <c r="F203" s="11"/>
      <c r="G203" s="11">
        <v>0</v>
      </c>
      <c r="H203" s="11"/>
      <c r="I203" s="11">
        <v>0</v>
      </c>
      <c r="J203" s="11"/>
      <c r="K203" s="11">
        <v>20959</v>
      </c>
      <c r="L203" s="11"/>
      <c r="M203" s="11">
        <v>0</v>
      </c>
      <c r="N203" s="11"/>
      <c r="O203" s="11">
        <v>175015</v>
      </c>
      <c r="P203" s="11"/>
      <c r="Q203" s="11">
        <v>0</v>
      </c>
      <c r="R203" s="11"/>
      <c r="S203" s="11">
        <f t="shared" ref="S203:S227" si="11">SUM(E203:Q203)</f>
        <v>1916821</v>
      </c>
      <c r="T203" s="7"/>
      <c r="U203" s="11">
        <v>417653</v>
      </c>
      <c r="W203" s="7">
        <f>+S203-'Stmt net assets'!Q203-U203</f>
        <v>0</v>
      </c>
    </row>
    <row r="204" spans="1:25" ht="12.75" customHeight="1" x14ac:dyDescent="0.2">
      <c r="A204" s="6" t="s">
        <v>219</v>
      </c>
      <c r="C204" s="6" t="s">
        <v>25</v>
      </c>
      <c r="D204" s="6"/>
      <c r="E204" s="11">
        <v>13820551</v>
      </c>
      <c r="F204" s="11"/>
      <c r="G204" s="11">
        <v>470000</v>
      </c>
      <c r="H204" s="11"/>
      <c r="I204" s="11">
        <v>0</v>
      </c>
      <c r="J204" s="11"/>
      <c r="K204" s="11">
        <f>4660827+144293</f>
        <v>4805120</v>
      </c>
      <c r="L204" s="11"/>
      <c r="M204" s="11">
        <v>0</v>
      </c>
      <c r="N204" s="11"/>
      <c r="O204" s="11">
        <v>3924972</v>
      </c>
      <c r="P204" s="11"/>
      <c r="Q204" s="11">
        <v>461775</v>
      </c>
      <c r="R204" s="11"/>
      <c r="S204" s="11">
        <f t="shared" si="11"/>
        <v>23482418</v>
      </c>
      <c r="T204" s="7"/>
      <c r="U204" s="11">
        <v>1770602</v>
      </c>
      <c r="W204" s="7">
        <f>+S204-'Stmt net assets'!Q204-U204</f>
        <v>0</v>
      </c>
    </row>
    <row r="205" spans="1:25" ht="12.75" customHeight="1" x14ac:dyDescent="0.2">
      <c r="A205" s="6" t="s">
        <v>220</v>
      </c>
      <c r="C205" s="6" t="s">
        <v>45</v>
      </c>
      <c r="D205" s="6"/>
      <c r="E205" s="11">
        <f>3375000+64498</f>
        <v>3439498</v>
      </c>
      <c r="F205" s="11"/>
      <c r="G205" s="11">
        <v>0</v>
      </c>
      <c r="H205" s="11"/>
      <c r="I205" s="11">
        <v>0</v>
      </c>
      <c r="J205" s="11"/>
      <c r="K205" s="11">
        <v>0</v>
      </c>
      <c r="L205" s="11"/>
      <c r="M205" s="11">
        <v>0</v>
      </c>
      <c r="N205" s="11"/>
      <c r="O205" s="11">
        <v>166737</v>
      </c>
      <c r="P205" s="11"/>
      <c r="Q205" s="11">
        <v>326993</v>
      </c>
      <c r="R205" s="11"/>
      <c r="S205" s="11">
        <f t="shared" si="11"/>
        <v>3933228</v>
      </c>
      <c r="T205" s="7"/>
      <c r="U205" s="11">
        <v>444283</v>
      </c>
      <c r="W205" s="7">
        <f>+S205-'Stmt net assets'!Q205-U205</f>
        <v>0</v>
      </c>
    </row>
    <row r="206" spans="1:25" ht="12.75" customHeight="1" x14ac:dyDescent="0.2">
      <c r="A206" s="6" t="s">
        <v>221</v>
      </c>
      <c r="C206" s="6" t="s">
        <v>92</v>
      </c>
      <c r="D206" s="6"/>
      <c r="E206" s="11">
        <v>2552475</v>
      </c>
      <c r="F206" s="11"/>
      <c r="G206" s="11">
        <v>0</v>
      </c>
      <c r="H206" s="11"/>
      <c r="I206" s="11">
        <v>0</v>
      </c>
      <c r="J206" s="11"/>
      <c r="K206" s="11">
        <v>613212</v>
      </c>
      <c r="L206" s="11"/>
      <c r="M206" s="11">
        <v>0</v>
      </c>
      <c r="N206" s="11"/>
      <c r="O206" s="11">
        <v>344152</v>
      </c>
      <c r="P206" s="11"/>
      <c r="Q206" s="11">
        <v>0</v>
      </c>
      <c r="R206" s="11"/>
      <c r="S206" s="11">
        <f t="shared" si="11"/>
        <v>3509839</v>
      </c>
      <c r="T206" s="7"/>
      <c r="U206" s="11">
        <v>390014</v>
      </c>
      <c r="W206" s="7">
        <f>+S206-'Stmt net assets'!Q206-U206</f>
        <v>0</v>
      </c>
    </row>
    <row r="207" spans="1:25" ht="12.75" customHeight="1" x14ac:dyDescent="0.2">
      <c r="A207" s="6" t="s">
        <v>74</v>
      </c>
      <c r="C207" s="6" t="s">
        <v>130</v>
      </c>
      <c r="D207" s="6"/>
      <c r="E207" s="11">
        <v>14677706</v>
      </c>
      <c r="F207" s="11"/>
      <c r="G207" s="11">
        <v>3183334</v>
      </c>
      <c r="H207" s="11"/>
      <c r="I207" s="11">
        <v>0</v>
      </c>
      <c r="J207" s="11"/>
      <c r="K207" s="11">
        <v>509301</v>
      </c>
      <c r="L207" s="11"/>
      <c r="M207" s="11">
        <v>0</v>
      </c>
      <c r="N207" s="11"/>
      <c r="O207" s="11">
        <v>1770972</v>
      </c>
      <c r="P207" s="11"/>
      <c r="Q207" s="11">
        <v>0</v>
      </c>
      <c r="R207" s="11"/>
      <c r="S207" s="11">
        <f t="shared" si="11"/>
        <v>20141313</v>
      </c>
      <c r="T207" s="7"/>
      <c r="U207" s="11">
        <v>1813979</v>
      </c>
      <c r="W207" s="7">
        <f>+S207-'Stmt net assets'!Q207-U207</f>
        <v>0</v>
      </c>
    </row>
    <row r="208" spans="1:25" ht="12.75" customHeight="1" x14ac:dyDescent="0.2">
      <c r="A208" s="6" t="s">
        <v>222</v>
      </c>
      <c r="C208" s="6" t="s">
        <v>25</v>
      </c>
      <c r="D208" s="6"/>
      <c r="E208" s="11">
        <f>14160000+215120</f>
        <v>14375120</v>
      </c>
      <c r="F208" s="11"/>
      <c r="G208" s="11">
        <v>1745000</v>
      </c>
      <c r="H208" s="11"/>
      <c r="I208" s="11">
        <v>0</v>
      </c>
      <c r="J208" s="11"/>
      <c r="K208" s="11">
        <f>14565+680405</f>
        <v>694970</v>
      </c>
      <c r="L208" s="11"/>
      <c r="M208" s="11">
        <v>0</v>
      </c>
      <c r="N208" s="11"/>
      <c r="O208" s="11">
        <v>623377</v>
      </c>
      <c r="P208" s="11"/>
      <c r="Q208" s="11">
        <v>0</v>
      </c>
      <c r="R208" s="11"/>
      <c r="S208" s="11">
        <f t="shared" si="11"/>
        <v>17438467</v>
      </c>
      <c r="T208" s="7"/>
      <c r="U208" s="11">
        <v>811172</v>
      </c>
      <c r="W208" s="7">
        <f>+S208-'Stmt net assets'!Q208-U208</f>
        <v>0</v>
      </c>
    </row>
    <row r="209" spans="1:32" ht="12.75" customHeight="1" x14ac:dyDescent="0.2">
      <c r="A209" s="6" t="s">
        <v>223</v>
      </c>
      <c r="B209" s="20"/>
      <c r="C209" s="6" t="s">
        <v>25</v>
      </c>
      <c r="D209" s="6"/>
      <c r="E209" s="11">
        <v>17281576</v>
      </c>
      <c r="F209" s="11"/>
      <c r="G209" s="11">
        <v>0</v>
      </c>
      <c r="H209" s="11"/>
      <c r="I209" s="11">
        <v>2060000</v>
      </c>
      <c r="J209" s="11"/>
      <c r="K209" s="11">
        <v>4714154</v>
      </c>
      <c r="L209" s="11"/>
      <c r="M209" s="11">
        <v>0</v>
      </c>
      <c r="N209" s="11"/>
      <c r="O209" s="11">
        <v>6129734</v>
      </c>
      <c r="P209" s="11"/>
      <c r="Q209" s="11">
        <v>1334275</v>
      </c>
      <c r="R209" s="11"/>
      <c r="S209" s="11">
        <f t="shared" si="11"/>
        <v>31519739</v>
      </c>
      <c r="T209" s="7"/>
      <c r="U209" s="11">
        <v>4127028</v>
      </c>
      <c r="W209" s="7">
        <f>+S209-'Stmt net assets'!Q209-U209</f>
        <v>0</v>
      </c>
    </row>
    <row r="210" spans="1:32" ht="12.75" customHeight="1" x14ac:dyDescent="0.2">
      <c r="A210" s="6" t="s">
        <v>224</v>
      </c>
      <c r="C210" s="6" t="s">
        <v>43</v>
      </c>
      <c r="D210" s="6"/>
      <c r="E210" s="11">
        <v>6876852</v>
      </c>
      <c r="F210" s="11"/>
      <c r="G210" s="11">
        <v>1345000</v>
      </c>
      <c r="H210" s="11"/>
      <c r="I210" s="11">
        <v>0</v>
      </c>
      <c r="J210" s="11"/>
      <c r="K210" s="11">
        <v>0</v>
      </c>
      <c r="L210" s="11"/>
      <c r="M210" s="11">
        <v>81529</v>
      </c>
      <c r="N210" s="11"/>
      <c r="O210" s="11">
        <v>3182217</v>
      </c>
      <c r="P210" s="11"/>
      <c r="Q210" s="11">
        <v>0</v>
      </c>
      <c r="R210" s="11"/>
      <c r="S210" s="11">
        <f t="shared" si="11"/>
        <v>11485598</v>
      </c>
      <c r="T210" s="7"/>
      <c r="U210" s="11">
        <v>1618137</v>
      </c>
      <c r="W210" s="7">
        <f>+S210-'Stmt net assets'!Q210-U210</f>
        <v>0</v>
      </c>
    </row>
    <row r="211" spans="1:32" s="21" customFormat="1" ht="12.75" customHeight="1" x14ac:dyDescent="0.2">
      <c r="A211" s="19" t="s">
        <v>225</v>
      </c>
      <c r="C211" s="19" t="s">
        <v>15</v>
      </c>
      <c r="D211" s="19"/>
      <c r="E211" s="11">
        <v>835000</v>
      </c>
      <c r="F211" s="11"/>
      <c r="G211" s="11">
        <v>0</v>
      </c>
      <c r="H211" s="11"/>
      <c r="I211" s="11">
        <f>561905+295000+95134+54705</f>
        <v>1006744</v>
      </c>
      <c r="J211" s="11"/>
      <c r="K211" s="11">
        <v>306171</v>
      </c>
      <c r="L211" s="11"/>
      <c r="M211" s="11">
        <v>62873</v>
      </c>
      <c r="N211" s="11"/>
      <c r="O211" s="11">
        <v>511503</v>
      </c>
      <c r="P211" s="11"/>
      <c r="Q211" s="11">
        <v>0</v>
      </c>
      <c r="R211" s="11"/>
      <c r="S211" s="11">
        <f t="shared" si="11"/>
        <v>2722291</v>
      </c>
      <c r="T211" s="7"/>
      <c r="U211" s="11">
        <v>534684</v>
      </c>
      <c r="V211" s="20"/>
      <c r="W211" s="7">
        <f>+S211-'Stmt net assets'!Q211-U211</f>
        <v>0</v>
      </c>
      <c r="X211" s="20"/>
      <c r="Y211" s="20"/>
      <c r="Z211" s="20"/>
      <c r="AA211" s="20"/>
      <c r="AB211" s="20"/>
      <c r="AC211" s="20"/>
      <c r="AD211" s="20"/>
      <c r="AE211" s="20"/>
      <c r="AF211" s="20"/>
    </row>
    <row r="212" spans="1:32" ht="12.75" customHeight="1" x14ac:dyDescent="0.2">
      <c r="A212" s="6" t="s">
        <v>226</v>
      </c>
      <c r="C212" s="6" t="s">
        <v>151</v>
      </c>
      <c r="D212" s="6"/>
      <c r="E212" s="11">
        <v>6564127</v>
      </c>
      <c r="F212" s="11"/>
      <c r="G212" s="11">
        <v>123884</v>
      </c>
      <c r="H212" s="11"/>
      <c r="I212" s="11">
        <v>0</v>
      </c>
      <c r="J212" s="11"/>
      <c r="K212" s="11">
        <v>73103</v>
      </c>
      <c r="L212" s="11"/>
      <c r="M212" s="11">
        <v>0</v>
      </c>
      <c r="N212" s="11"/>
      <c r="O212" s="11">
        <v>451528</v>
      </c>
      <c r="P212" s="11"/>
      <c r="Q212" s="11">
        <v>0</v>
      </c>
      <c r="R212" s="11"/>
      <c r="S212" s="11">
        <f t="shared" si="11"/>
        <v>7212642</v>
      </c>
      <c r="T212" s="7"/>
      <c r="U212" s="11">
        <v>244346</v>
      </c>
      <c r="W212" s="7">
        <f>+S212-'Stmt net assets'!Q212-U212</f>
        <v>0</v>
      </c>
    </row>
    <row r="213" spans="1:32" ht="12.75" customHeight="1" x14ac:dyDescent="0.2">
      <c r="A213" s="6" t="s">
        <v>227</v>
      </c>
      <c r="C213" s="6" t="s">
        <v>226</v>
      </c>
      <c r="D213" s="6"/>
      <c r="E213" s="11">
        <f>1085000+5120000+320000+225000+630000+37035</f>
        <v>7417035</v>
      </c>
      <c r="F213" s="11"/>
      <c r="G213" s="11">
        <v>0</v>
      </c>
      <c r="H213" s="11"/>
      <c r="I213" s="11">
        <v>0</v>
      </c>
      <c r="J213" s="11"/>
      <c r="K213" s="11">
        <v>0</v>
      </c>
      <c r="L213" s="11"/>
      <c r="M213" s="11">
        <v>0</v>
      </c>
      <c r="N213" s="11"/>
      <c r="O213" s="11">
        <v>1426650</v>
      </c>
      <c r="P213" s="11"/>
      <c r="Q213" s="11">
        <v>0</v>
      </c>
      <c r="R213" s="11"/>
      <c r="S213" s="11">
        <f t="shared" si="11"/>
        <v>8843685</v>
      </c>
      <c r="T213" s="7"/>
      <c r="U213" s="11">
        <v>722387</v>
      </c>
      <c r="W213" s="7">
        <f>+S213-'Stmt net assets'!Q213-U213</f>
        <v>0</v>
      </c>
    </row>
    <row r="214" spans="1:32" ht="12.75" hidden="1" customHeight="1" x14ac:dyDescent="0.2">
      <c r="A214" s="6" t="s">
        <v>228</v>
      </c>
      <c r="C214" s="6" t="s">
        <v>43</v>
      </c>
      <c r="D214" s="6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>
        <f t="shared" si="11"/>
        <v>0</v>
      </c>
      <c r="T214" s="7"/>
      <c r="U214" s="11"/>
      <c r="W214" s="7">
        <f>+S214-'Stmt net assets'!Q214-U214</f>
        <v>0</v>
      </c>
      <c r="Y214" s="7"/>
    </row>
    <row r="215" spans="1:32" ht="12.75" customHeight="1" x14ac:dyDescent="0.2">
      <c r="A215" s="6" t="s">
        <v>229</v>
      </c>
      <c r="C215" s="6" t="s">
        <v>25</v>
      </c>
      <c r="D215" s="6"/>
      <c r="E215" s="11">
        <v>0</v>
      </c>
      <c r="F215" s="11"/>
      <c r="G215" s="11">
        <v>0</v>
      </c>
      <c r="H215" s="11"/>
      <c r="I215" s="11">
        <v>0</v>
      </c>
      <c r="J215" s="11"/>
      <c r="K215" s="11">
        <f>8942950+138587</f>
        <v>9081537</v>
      </c>
      <c r="L215" s="11"/>
      <c r="M215" s="11">
        <v>0</v>
      </c>
      <c r="N215" s="11"/>
      <c r="O215" s="11">
        <v>3501273</v>
      </c>
      <c r="P215" s="11"/>
      <c r="Q215" s="11">
        <v>93953</v>
      </c>
      <c r="R215" s="11"/>
      <c r="S215" s="11">
        <f t="shared" si="11"/>
        <v>12676763</v>
      </c>
      <c r="T215" s="7"/>
      <c r="U215" s="11">
        <v>2026789</v>
      </c>
      <c r="W215" s="7">
        <f>+S215-'Stmt net assets'!Q215-U215</f>
        <v>0</v>
      </c>
    </row>
    <row r="216" spans="1:32" ht="12.75" customHeight="1" x14ac:dyDescent="0.2">
      <c r="A216" s="6" t="s">
        <v>230</v>
      </c>
      <c r="C216" s="6" t="s">
        <v>25</v>
      </c>
      <c r="D216" s="6"/>
      <c r="E216" s="11">
        <v>19975712</v>
      </c>
      <c r="F216" s="11"/>
      <c r="G216" s="11">
        <v>100000</v>
      </c>
      <c r="H216" s="11"/>
      <c r="I216" s="11">
        <v>0</v>
      </c>
      <c r="J216" s="11"/>
      <c r="K216" s="11">
        <f>3289882+749236+1544518</f>
        <v>5583636</v>
      </c>
      <c r="L216" s="11"/>
      <c r="M216" s="11">
        <v>351238</v>
      </c>
      <c r="N216" s="11"/>
      <c r="O216" s="11">
        <v>749228</v>
      </c>
      <c r="P216" s="11"/>
      <c r="Q216" s="11">
        <v>281095</v>
      </c>
      <c r="R216" s="11"/>
      <c r="S216" s="11">
        <f t="shared" si="11"/>
        <v>27040909</v>
      </c>
      <c r="T216" s="7"/>
      <c r="U216" s="11">
        <v>1012822</v>
      </c>
      <c r="W216" s="7">
        <f>+S216-'Stmt net assets'!Q216-U216</f>
        <v>0</v>
      </c>
    </row>
    <row r="217" spans="1:32" ht="12.75" customHeight="1" x14ac:dyDescent="0.2">
      <c r="A217" s="6" t="s">
        <v>231</v>
      </c>
      <c r="C217" s="6" t="s">
        <v>109</v>
      </c>
      <c r="D217" s="6"/>
      <c r="E217" s="11">
        <v>11153477</v>
      </c>
      <c r="F217" s="11"/>
      <c r="G217" s="11">
        <v>1705000</v>
      </c>
      <c r="H217" s="11"/>
      <c r="I217" s="11">
        <v>0</v>
      </c>
      <c r="J217" s="11"/>
      <c r="K217" s="11">
        <v>0</v>
      </c>
      <c r="L217" s="11"/>
      <c r="M217" s="11">
        <v>0</v>
      </c>
      <c r="N217" s="11"/>
      <c r="O217" s="11">
        <v>424248</v>
      </c>
      <c r="P217" s="11"/>
      <c r="Q217" s="11">
        <v>0</v>
      </c>
      <c r="R217" s="11"/>
      <c r="S217" s="11">
        <f t="shared" si="11"/>
        <v>13282725</v>
      </c>
      <c r="T217" s="7"/>
      <c r="U217" s="11">
        <v>1205270</v>
      </c>
      <c r="W217" s="7">
        <f>+S217-'Stmt net assets'!Q217-U217</f>
        <v>0</v>
      </c>
    </row>
    <row r="218" spans="1:32" ht="12.75" customHeight="1" x14ac:dyDescent="0.2">
      <c r="A218" s="6" t="s">
        <v>232</v>
      </c>
      <c r="C218" s="6" t="s">
        <v>43</v>
      </c>
      <c r="D218" s="6"/>
      <c r="E218" s="11">
        <v>1900000</v>
      </c>
      <c r="F218" s="11"/>
      <c r="G218" s="11">
        <v>0</v>
      </c>
      <c r="H218" s="11"/>
      <c r="I218" s="11">
        <v>0</v>
      </c>
      <c r="J218" s="11"/>
      <c r="K218" s="11">
        <v>0</v>
      </c>
      <c r="L218" s="11"/>
      <c r="M218" s="11">
        <v>233562</v>
      </c>
      <c r="N218" s="11"/>
      <c r="O218" s="11">
        <v>771766</v>
      </c>
      <c r="P218" s="11"/>
      <c r="Q218" s="11">
        <v>2387909</v>
      </c>
      <c r="R218" s="11"/>
      <c r="S218" s="11">
        <f t="shared" si="11"/>
        <v>5293237</v>
      </c>
      <c r="T218" s="7"/>
      <c r="U218" s="11">
        <v>771245</v>
      </c>
      <c r="W218" s="7">
        <f>+S218-'Stmt net assets'!Q218-U218</f>
        <v>0</v>
      </c>
    </row>
    <row r="219" spans="1:32" ht="12.75" customHeight="1" x14ac:dyDescent="0.2">
      <c r="A219" s="6" t="s">
        <v>233</v>
      </c>
      <c r="C219" s="6" t="s">
        <v>181</v>
      </c>
      <c r="D219" s="6"/>
      <c r="E219" s="11">
        <f>5797000+4417000-35000+118000-6000</f>
        <v>10291000</v>
      </c>
      <c r="F219" s="11"/>
      <c r="G219" s="11">
        <v>0</v>
      </c>
      <c r="H219" s="11"/>
      <c r="I219" s="11">
        <v>0</v>
      </c>
      <c r="J219" s="11"/>
      <c r="K219" s="11">
        <v>0</v>
      </c>
      <c r="L219" s="11"/>
      <c r="M219" s="11">
        <v>0</v>
      </c>
      <c r="N219" s="11"/>
      <c r="O219" s="11">
        <v>7148000</v>
      </c>
      <c r="P219" s="11"/>
      <c r="Q219" s="11">
        <v>1469000</v>
      </c>
      <c r="R219" s="11"/>
      <c r="S219" s="11">
        <f t="shared" si="11"/>
        <v>18908000</v>
      </c>
      <c r="T219" s="7"/>
      <c r="U219" s="11">
        <v>2956000</v>
      </c>
      <c r="W219" s="7">
        <f>+S219-'Stmt net assets'!Q219-U219</f>
        <v>361</v>
      </c>
    </row>
    <row r="220" spans="1:32" ht="12.75" hidden="1" customHeight="1" x14ac:dyDescent="0.2">
      <c r="A220" s="6" t="s">
        <v>234</v>
      </c>
      <c r="C220" s="6" t="s">
        <v>43</v>
      </c>
      <c r="D220" s="6"/>
      <c r="E220" s="11">
        <v>1765000</v>
      </c>
      <c r="F220" s="11"/>
      <c r="G220" s="11">
        <v>0</v>
      </c>
      <c r="H220" s="11"/>
      <c r="I220" s="11">
        <v>2800000</v>
      </c>
      <c r="J220" s="11"/>
      <c r="K220" s="11">
        <v>26398</v>
      </c>
      <c r="L220" s="11"/>
      <c r="M220" s="11">
        <v>0</v>
      </c>
      <c r="N220" s="11"/>
      <c r="O220" s="11">
        <v>1774378</v>
      </c>
      <c r="P220" s="11"/>
      <c r="Q220" s="11">
        <v>747194</v>
      </c>
      <c r="R220" s="11"/>
      <c r="S220" s="11">
        <f t="shared" si="11"/>
        <v>7112970</v>
      </c>
      <c r="T220" s="7"/>
      <c r="U220" s="11">
        <v>992021</v>
      </c>
      <c r="W220" s="7">
        <f>+S220-'Stmt net assets'!Q220-U220</f>
        <v>0</v>
      </c>
    </row>
    <row r="221" spans="1:32" ht="12.75" hidden="1" customHeight="1" x14ac:dyDescent="0.2">
      <c r="A221" s="6" t="s">
        <v>235</v>
      </c>
      <c r="C221" s="6" t="s">
        <v>31</v>
      </c>
      <c r="D221" s="6"/>
      <c r="E221" s="11">
        <v>165000</v>
      </c>
      <c r="F221" s="11"/>
      <c r="G221" s="11">
        <v>0</v>
      </c>
      <c r="H221" s="11"/>
      <c r="I221" s="11">
        <v>0</v>
      </c>
      <c r="J221" s="11"/>
      <c r="K221" s="11">
        <f>271789+784311</f>
        <v>1056100</v>
      </c>
      <c r="L221" s="11"/>
      <c r="M221" s="11">
        <v>18755</v>
      </c>
      <c r="N221" s="11"/>
      <c r="O221" s="11">
        <v>102505</v>
      </c>
      <c r="P221" s="11"/>
      <c r="Q221" s="11">
        <v>0</v>
      </c>
      <c r="R221" s="11"/>
      <c r="S221" s="11">
        <f t="shared" si="11"/>
        <v>1342360</v>
      </c>
      <c r="T221" s="7"/>
      <c r="U221" s="11">
        <v>157730</v>
      </c>
      <c r="W221" s="7">
        <f>+S221-'Stmt net assets'!Q221-U221</f>
        <v>0</v>
      </c>
    </row>
    <row r="222" spans="1:32" ht="12.75" customHeight="1" x14ac:dyDescent="0.2">
      <c r="A222" s="6" t="s">
        <v>236</v>
      </c>
      <c r="C222" s="6" t="s">
        <v>237</v>
      </c>
      <c r="D222" s="6"/>
      <c r="E222" s="11">
        <v>0</v>
      </c>
      <c r="F222" s="11"/>
      <c r="G222" s="11">
        <v>0</v>
      </c>
      <c r="H222" s="11"/>
      <c r="I222" s="11">
        <v>30000</v>
      </c>
      <c r="J222" s="11"/>
      <c r="K222" s="11">
        <v>0</v>
      </c>
      <c r="L222" s="11"/>
      <c r="M222" s="11">
        <v>0</v>
      </c>
      <c r="N222" s="11"/>
      <c r="O222" s="11">
        <v>425445</v>
      </c>
      <c r="P222" s="11"/>
      <c r="Q222" s="11">
        <v>0</v>
      </c>
      <c r="R222" s="11"/>
      <c r="S222" s="11">
        <f t="shared" si="11"/>
        <v>455445</v>
      </c>
      <c r="T222" s="7"/>
      <c r="U222" s="11">
        <v>121988</v>
      </c>
      <c r="W222" s="7">
        <f>+S222-'Stmt net assets'!Q222-U222</f>
        <v>0</v>
      </c>
    </row>
    <row r="223" spans="1:32" ht="12.75" customHeight="1" x14ac:dyDescent="0.2">
      <c r="A223" s="6" t="s">
        <v>480</v>
      </c>
      <c r="C223" s="6" t="s">
        <v>247</v>
      </c>
      <c r="D223" s="6"/>
      <c r="E223" s="11">
        <f>3369966+121969</f>
        <v>3491935</v>
      </c>
      <c r="F223" s="11"/>
      <c r="G223" s="11">
        <v>0</v>
      </c>
      <c r="H223" s="11"/>
      <c r="I223" s="11">
        <v>0</v>
      </c>
      <c r="J223" s="11"/>
      <c r="K223" s="11">
        <v>856403</v>
      </c>
      <c r="L223" s="11"/>
      <c r="M223" s="11">
        <v>21413</v>
      </c>
      <c r="N223" s="11"/>
      <c r="O223" s="11">
        <v>1420381</v>
      </c>
      <c r="P223" s="11"/>
      <c r="Q223" s="11">
        <v>1850849</v>
      </c>
      <c r="R223" s="11"/>
      <c r="S223" s="11">
        <f t="shared" si="11"/>
        <v>7640981</v>
      </c>
      <c r="T223" s="7"/>
      <c r="U223" s="11">
        <v>312563</v>
      </c>
      <c r="W223" s="7">
        <f>+S223-'Stmt net assets'!Q223-U223</f>
        <v>0</v>
      </c>
    </row>
    <row r="224" spans="1:32" ht="12.75" customHeight="1" x14ac:dyDescent="0.2">
      <c r="A224" s="6" t="s">
        <v>238</v>
      </c>
      <c r="C224" s="6" t="s">
        <v>11</v>
      </c>
      <c r="D224" s="6"/>
      <c r="E224" s="11">
        <v>14211028</v>
      </c>
      <c r="F224" s="11"/>
      <c r="G224" s="11">
        <v>0</v>
      </c>
      <c r="H224" s="11"/>
      <c r="I224" s="11">
        <v>5575000</v>
      </c>
      <c r="J224" s="11"/>
      <c r="K224" s="11">
        <v>0</v>
      </c>
      <c r="L224" s="11"/>
      <c r="M224" s="11">
        <v>803451</v>
      </c>
      <c r="N224" s="11"/>
      <c r="O224" s="11">
        <v>4741925</v>
      </c>
      <c r="P224" s="11"/>
      <c r="Q224" s="11">
        <v>0</v>
      </c>
      <c r="R224" s="11"/>
      <c r="S224" s="11">
        <f t="shared" si="11"/>
        <v>25331404</v>
      </c>
      <c r="T224" s="7"/>
      <c r="U224" s="11">
        <v>1962696</v>
      </c>
      <c r="W224" s="7">
        <f>+S224-'Stmt net assets'!Q224-U224</f>
        <v>0</v>
      </c>
    </row>
    <row r="225" spans="1:25" s="21" customFormat="1" ht="12.75" customHeight="1" x14ac:dyDescent="0.2">
      <c r="A225" s="6" t="s">
        <v>239</v>
      </c>
      <c r="B225" s="14"/>
      <c r="C225" s="6" t="s">
        <v>20</v>
      </c>
      <c r="D225" s="6"/>
      <c r="E225" s="11">
        <v>1995209</v>
      </c>
      <c r="F225" s="11"/>
      <c r="G225" s="11">
        <v>0</v>
      </c>
      <c r="H225" s="11"/>
      <c r="I225" s="11">
        <v>3702494</v>
      </c>
      <c r="J225" s="11"/>
      <c r="K225" s="11">
        <v>61633</v>
      </c>
      <c r="L225" s="11"/>
      <c r="M225" s="11">
        <v>367301</v>
      </c>
      <c r="N225" s="11"/>
      <c r="O225" s="11">
        <v>368663</v>
      </c>
      <c r="P225" s="11"/>
      <c r="Q225" s="11">
        <f>1435435+486989</f>
        <v>1922424</v>
      </c>
      <c r="R225" s="11"/>
      <c r="S225" s="11">
        <f t="shared" si="11"/>
        <v>8417724</v>
      </c>
      <c r="T225" s="7"/>
      <c r="U225" s="11">
        <v>828026</v>
      </c>
      <c r="V225" s="20"/>
      <c r="W225" s="7">
        <f>+S225-'Stmt net assets'!Q225-U225</f>
        <v>0</v>
      </c>
    </row>
    <row r="226" spans="1:25" ht="12.75" customHeight="1" x14ac:dyDescent="0.2">
      <c r="A226" s="6" t="s">
        <v>240</v>
      </c>
      <c r="C226" s="6" t="s">
        <v>25</v>
      </c>
      <c r="D226" s="6"/>
      <c r="E226" s="11">
        <f>47475000+1388378</f>
        <v>48863378</v>
      </c>
      <c r="F226" s="11"/>
      <c r="G226" s="11">
        <v>680000</v>
      </c>
      <c r="H226" s="11"/>
      <c r="I226" s="11">
        <v>0</v>
      </c>
      <c r="J226" s="11"/>
      <c r="K226" s="11">
        <v>0</v>
      </c>
      <c r="L226" s="11"/>
      <c r="M226" s="11">
        <v>0</v>
      </c>
      <c r="N226" s="11"/>
      <c r="O226" s="11">
        <v>3193959</v>
      </c>
      <c r="P226" s="11"/>
      <c r="Q226" s="11">
        <v>926025</v>
      </c>
      <c r="R226" s="11"/>
      <c r="S226" s="11">
        <f t="shared" si="11"/>
        <v>53663362</v>
      </c>
      <c r="T226" s="7"/>
      <c r="U226" s="11">
        <v>3763527</v>
      </c>
      <c r="W226" s="7">
        <f>+S226-'Stmt net assets'!Q226-U226</f>
        <v>0</v>
      </c>
    </row>
    <row r="227" spans="1:25" ht="12.75" customHeight="1" x14ac:dyDescent="0.2">
      <c r="A227" s="6" t="s">
        <v>510</v>
      </c>
      <c r="B227" s="20"/>
      <c r="C227" s="6" t="s">
        <v>59</v>
      </c>
      <c r="D227" s="6"/>
      <c r="E227" s="11">
        <v>0</v>
      </c>
      <c r="F227" s="11"/>
      <c r="G227" s="11">
        <v>0</v>
      </c>
      <c r="H227" s="11"/>
      <c r="I227" s="11">
        <v>0</v>
      </c>
      <c r="J227" s="11"/>
      <c r="K227" s="11">
        <v>0</v>
      </c>
      <c r="L227" s="11"/>
      <c r="M227" s="11">
        <v>0</v>
      </c>
      <c r="N227" s="11"/>
      <c r="O227" s="11">
        <v>0</v>
      </c>
      <c r="P227" s="11"/>
      <c r="Q227" s="11">
        <v>0</v>
      </c>
      <c r="R227" s="11"/>
      <c r="S227" s="11">
        <f t="shared" si="11"/>
        <v>0</v>
      </c>
      <c r="T227" s="7"/>
      <c r="U227" s="11">
        <v>0</v>
      </c>
      <c r="W227" s="7">
        <f>+S227-'Stmt net assets'!Q227-U227</f>
        <v>0</v>
      </c>
    </row>
    <row r="228" spans="1:25" ht="12.75" customHeight="1" x14ac:dyDescent="0.2">
      <c r="A228" s="6" t="s">
        <v>241</v>
      </c>
      <c r="B228" s="20"/>
      <c r="C228" s="6" t="s">
        <v>161</v>
      </c>
      <c r="D228" s="6"/>
      <c r="E228" s="11">
        <v>22129051</v>
      </c>
      <c r="F228" s="11"/>
      <c r="G228" s="11">
        <v>0</v>
      </c>
      <c r="H228" s="11"/>
      <c r="I228" s="11">
        <v>133683</v>
      </c>
      <c r="J228" s="11"/>
      <c r="K228" s="11">
        <v>0</v>
      </c>
      <c r="L228" s="11"/>
      <c r="M228" s="11">
        <v>0</v>
      </c>
      <c r="N228" s="11"/>
      <c r="O228" s="11">
        <v>1191492</v>
      </c>
      <c r="P228" s="11"/>
      <c r="Q228" s="11">
        <v>0</v>
      </c>
      <c r="R228" s="11"/>
      <c r="S228" s="11">
        <f t="shared" ref="S228:S241" si="12">SUM(E228:Q228)</f>
        <v>23454226</v>
      </c>
      <c r="T228" s="7"/>
      <c r="U228" s="11">
        <v>1533676</v>
      </c>
      <c r="W228" s="7">
        <f>+S228-'Stmt net assets'!Q228-U228</f>
        <v>0</v>
      </c>
    </row>
    <row r="229" spans="1:25" ht="12.75" customHeight="1" x14ac:dyDescent="0.2">
      <c r="A229" s="6" t="s">
        <v>242</v>
      </c>
      <c r="C229" s="6" t="s">
        <v>11</v>
      </c>
      <c r="D229" s="6"/>
      <c r="E229" s="11">
        <f>9320000+61157-23540</f>
        <v>9357617</v>
      </c>
      <c r="F229" s="11"/>
      <c r="G229" s="11">
        <v>585000</v>
      </c>
      <c r="H229" s="11"/>
      <c r="I229" s="11">
        <v>0</v>
      </c>
      <c r="J229" s="11"/>
      <c r="K229" s="11">
        <v>0</v>
      </c>
      <c r="L229" s="11"/>
      <c r="M229" s="11">
        <v>213810</v>
      </c>
      <c r="N229" s="11"/>
      <c r="O229" s="11">
        <v>724483</v>
      </c>
      <c r="P229" s="11"/>
      <c r="Q229" s="11">
        <v>0</v>
      </c>
      <c r="R229" s="11"/>
      <c r="S229" s="11">
        <f t="shared" si="12"/>
        <v>10880910</v>
      </c>
      <c r="T229" s="7"/>
      <c r="U229" s="11">
        <v>823396</v>
      </c>
      <c r="W229" s="7">
        <f>+S229-'Stmt net assets'!Q229-U229</f>
        <v>0</v>
      </c>
    </row>
    <row r="230" spans="1:25" ht="12.75" customHeight="1" x14ac:dyDescent="0.2">
      <c r="A230" s="6" t="s">
        <v>339</v>
      </c>
      <c r="C230" s="6" t="s">
        <v>108</v>
      </c>
      <c r="D230" s="6"/>
      <c r="E230" s="11">
        <f>2215000+41903</f>
        <v>2256903</v>
      </c>
      <c r="F230" s="11"/>
      <c r="G230" s="11">
        <v>270000</v>
      </c>
      <c r="H230" s="11"/>
      <c r="I230" s="11">
        <v>0</v>
      </c>
      <c r="J230" s="11"/>
      <c r="K230" s="11">
        <v>0</v>
      </c>
      <c r="L230" s="11"/>
      <c r="M230" s="11">
        <v>0</v>
      </c>
      <c r="N230" s="11"/>
      <c r="O230" s="11">
        <v>980796</v>
      </c>
      <c r="P230" s="11"/>
      <c r="Q230" s="11">
        <v>0</v>
      </c>
      <c r="R230" s="11"/>
      <c r="S230" s="11">
        <f t="shared" si="12"/>
        <v>3507699</v>
      </c>
      <c r="T230" s="7"/>
      <c r="U230" s="11">
        <v>696274</v>
      </c>
      <c r="W230" s="7">
        <f>+S230-'Stmt net assets'!Q230-U230</f>
        <v>0</v>
      </c>
    </row>
    <row r="231" spans="1:25" ht="12.75" customHeight="1" x14ac:dyDescent="0.2">
      <c r="A231" s="6" t="s">
        <v>244</v>
      </c>
      <c r="C231" s="6" t="s">
        <v>207</v>
      </c>
      <c r="D231" s="6"/>
      <c r="E231" s="11">
        <v>1400000</v>
      </c>
      <c r="F231" s="11"/>
      <c r="G231" s="11">
        <v>635000</v>
      </c>
      <c r="H231" s="11"/>
      <c r="I231" s="11">
        <v>0</v>
      </c>
      <c r="J231" s="11"/>
      <c r="K231" s="11">
        <v>0</v>
      </c>
      <c r="L231" s="11"/>
      <c r="M231" s="11">
        <v>0</v>
      </c>
      <c r="N231" s="11"/>
      <c r="O231" s="11">
        <v>553730</v>
      </c>
      <c r="P231" s="11"/>
      <c r="Q231" s="11">
        <v>0</v>
      </c>
      <c r="R231" s="11"/>
      <c r="S231" s="11">
        <f t="shared" si="12"/>
        <v>2588730</v>
      </c>
      <c r="T231" s="7"/>
      <c r="U231" s="11">
        <v>823644</v>
      </c>
      <c r="W231" s="7">
        <f>+S231-'Stmt net assets'!Q231-U231</f>
        <v>0</v>
      </c>
    </row>
    <row r="232" spans="1:25" ht="12.75" hidden="1" customHeight="1" x14ac:dyDescent="0.2">
      <c r="A232" s="6" t="s">
        <v>245</v>
      </c>
      <c r="B232" s="20"/>
      <c r="C232" s="6" t="s">
        <v>161</v>
      </c>
      <c r="D232" s="6"/>
      <c r="E232" s="11">
        <f>118654000+100000</f>
        <v>118754000</v>
      </c>
      <c r="F232" s="11"/>
      <c r="G232" s="11">
        <v>0</v>
      </c>
      <c r="H232" s="11"/>
      <c r="I232" s="11">
        <v>0</v>
      </c>
      <c r="J232" s="11"/>
      <c r="K232" s="11">
        <f>5019000+5016000+4217000+2750000+2731000+10825000+12629000</f>
        <v>43187000</v>
      </c>
      <c r="L232" s="11"/>
      <c r="M232" s="11">
        <f>648000+727000+77000+1413000+1588000</f>
        <v>4453000</v>
      </c>
      <c r="N232" s="11"/>
      <c r="O232" s="11">
        <v>24405000</v>
      </c>
      <c r="P232" s="11"/>
      <c r="Q232" s="11">
        <v>15084000</v>
      </c>
      <c r="R232" s="11"/>
      <c r="S232" s="11">
        <f t="shared" si="12"/>
        <v>205883000</v>
      </c>
      <c r="T232" s="7"/>
      <c r="U232" s="11">
        <v>20687000</v>
      </c>
      <c r="W232" s="7">
        <f>+S232-'Stmt net assets'!Q232-U232</f>
        <v>-16000000</v>
      </c>
      <c r="Y232" s="10"/>
    </row>
    <row r="233" spans="1:25" ht="12.75" customHeight="1" x14ac:dyDescent="0.2">
      <c r="A233" s="6" t="s">
        <v>246</v>
      </c>
      <c r="B233" s="20"/>
      <c r="C233" s="6" t="s">
        <v>247</v>
      </c>
      <c r="D233" s="6"/>
      <c r="E233" s="11">
        <v>36562</v>
      </c>
      <c r="F233" s="11"/>
      <c r="G233" s="11">
        <v>0</v>
      </c>
      <c r="H233" s="11"/>
      <c r="I233" s="11">
        <v>0</v>
      </c>
      <c r="J233" s="11"/>
      <c r="K233" s="11">
        <f>608178+82131</f>
        <v>690309</v>
      </c>
      <c r="L233" s="11"/>
      <c r="M233" s="11">
        <v>0</v>
      </c>
      <c r="N233" s="11"/>
      <c r="O233" s="11">
        <v>320019</v>
      </c>
      <c r="P233" s="11"/>
      <c r="Q233" s="11">
        <v>0</v>
      </c>
      <c r="R233" s="11"/>
      <c r="S233" s="11">
        <f t="shared" si="12"/>
        <v>1046890</v>
      </c>
      <c r="T233" s="7"/>
      <c r="U233" s="11">
        <v>93710</v>
      </c>
      <c r="W233" s="7">
        <f>+S233-'Stmt net assets'!Q233-U233</f>
        <v>0</v>
      </c>
    </row>
    <row r="234" spans="1:25" ht="12.75" customHeight="1" x14ac:dyDescent="0.2">
      <c r="A234" s="6" t="s">
        <v>248</v>
      </c>
      <c r="C234" s="6" t="s">
        <v>101</v>
      </c>
      <c r="D234" s="6"/>
      <c r="E234" s="11">
        <f>66338+12796</f>
        <v>79134</v>
      </c>
      <c r="F234" s="11"/>
      <c r="G234" s="11">
        <v>0</v>
      </c>
      <c r="H234" s="11"/>
      <c r="I234" s="11">
        <v>0</v>
      </c>
      <c r="J234" s="11"/>
      <c r="K234" s="11">
        <v>0</v>
      </c>
      <c r="L234" s="11"/>
      <c r="M234" s="11">
        <v>0</v>
      </c>
      <c r="N234" s="11"/>
      <c r="O234" s="11">
        <v>272540</v>
      </c>
      <c r="P234" s="11"/>
      <c r="Q234" s="11">
        <v>0</v>
      </c>
      <c r="R234" s="11"/>
      <c r="S234" s="11">
        <f t="shared" si="12"/>
        <v>351674</v>
      </c>
      <c r="T234" s="7"/>
      <c r="U234" s="11">
        <v>203095</v>
      </c>
      <c r="W234" s="7">
        <f>+S234-'Stmt net assets'!Q234-U234</f>
        <v>0</v>
      </c>
    </row>
    <row r="235" spans="1:25" ht="12.75" customHeight="1" x14ac:dyDescent="0.2">
      <c r="A235" s="6" t="s">
        <v>249</v>
      </c>
      <c r="C235" s="6" t="s">
        <v>64</v>
      </c>
      <c r="D235" s="6"/>
      <c r="E235" s="11">
        <f>2170000+4175000+7665000+404174+948363+883361</f>
        <v>16245898</v>
      </c>
      <c r="F235" s="11"/>
      <c r="G235" s="11">
        <v>0</v>
      </c>
      <c r="H235" s="11"/>
      <c r="I235" s="11">
        <v>0</v>
      </c>
      <c r="J235" s="11"/>
      <c r="K235" s="11">
        <v>0</v>
      </c>
      <c r="L235" s="11"/>
      <c r="M235" s="11">
        <v>874556</v>
      </c>
      <c r="N235" s="11"/>
      <c r="O235" s="11">
        <v>824664</v>
      </c>
      <c r="P235" s="11"/>
      <c r="Q235" s="11">
        <v>0</v>
      </c>
      <c r="R235" s="11"/>
      <c r="S235" s="11">
        <f t="shared" si="12"/>
        <v>17945118</v>
      </c>
      <c r="T235" s="7"/>
      <c r="U235" s="11">
        <v>1534053</v>
      </c>
      <c r="W235" s="7">
        <f>+S235-'Stmt net assets'!Q235-U235</f>
        <v>0</v>
      </c>
    </row>
    <row r="236" spans="1:25" ht="12.75" customHeight="1" x14ac:dyDescent="0.2">
      <c r="A236" s="6" t="s">
        <v>250</v>
      </c>
      <c r="C236" s="6" t="s">
        <v>207</v>
      </c>
      <c r="D236" s="6"/>
      <c r="E236" s="11">
        <v>6988195</v>
      </c>
      <c r="F236" s="11"/>
      <c r="G236" s="11">
        <v>0</v>
      </c>
      <c r="H236" s="11"/>
      <c r="I236" s="11">
        <v>0</v>
      </c>
      <c r="J236" s="11"/>
      <c r="K236" s="11">
        <v>0</v>
      </c>
      <c r="L236" s="11"/>
      <c r="M236" s="11">
        <v>0</v>
      </c>
      <c r="N236" s="11"/>
      <c r="O236" s="11">
        <v>1882282</v>
      </c>
      <c r="P236" s="11"/>
      <c r="Q236" s="11">
        <v>0</v>
      </c>
      <c r="R236" s="11"/>
      <c r="S236" s="11">
        <f t="shared" si="12"/>
        <v>8870477</v>
      </c>
      <c r="T236" s="7"/>
      <c r="U236" s="11">
        <v>1165530</v>
      </c>
      <c r="W236" s="7">
        <f>+S236-'Stmt net assets'!Q236-U236</f>
        <v>0</v>
      </c>
    </row>
    <row r="237" spans="1:25" ht="12.75" hidden="1" customHeight="1" x14ac:dyDescent="0.2">
      <c r="A237" s="6" t="s">
        <v>251</v>
      </c>
      <c r="C237" s="6" t="s">
        <v>11</v>
      </c>
      <c r="D237" s="6"/>
      <c r="E237" s="11">
        <v>11623452</v>
      </c>
      <c r="F237" s="11"/>
      <c r="G237" s="11">
        <v>256000</v>
      </c>
      <c r="H237" s="11"/>
      <c r="I237" s="11">
        <v>0</v>
      </c>
      <c r="J237" s="11"/>
      <c r="K237" s="11">
        <f>795000+656964+342965+343808+824256</f>
        <v>2962993</v>
      </c>
      <c r="L237" s="11"/>
      <c r="M237" s="11">
        <v>54904</v>
      </c>
      <c r="N237" s="11"/>
      <c r="O237" s="11">
        <v>1593122</v>
      </c>
      <c r="P237" s="11"/>
      <c r="Q237" s="11">
        <v>0</v>
      </c>
      <c r="R237" s="11"/>
      <c r="S237" s="11">
        <f t="shared" si="12"/>
        <v>16490471</v>
      </c>
      <c r="T237" s="7"/>
      <c r="U237" s="11">
        <v>1977957</v>
      </c>
      <c r="W237" s="7">
        <f>+S237-'Stmt net assets'!Q237-U237</f>
        <v>0</v>
      </c>
    </row>
    <row r="238" spans="1:25" ht="12" customHeight="1" x14ac:dyDescent="0.2">
      <c r="A238" s="6" t="s">
        <v>252</v>
      </c>
      <c r="C238" s="6" t="s">
        <v>87</v>
      </c>
      <c r="D238" s="6"/>
      <c r="E238" s="11">
        <v>0</v>
      </c>
      <c r="F238" s="11"/>
      <c r="G238" s="11">
        <v>0</v>
      </c>
      <c r="H238" s="11"/>
      <c r="I238" s="11">
        <v>0</v>
      </c>
      <c r="J238" s="11"/>
      <c r="K238" s="11">
        <f>200000+489448+265813+248947+85500+132129+38382+70000</f>
        <v>1530219</v>
      </c>
      <c r="L238" s="11"/>
      <c r="M238" s="11">
        <v>472771</v>
      </c>
      <c r="N238" s="11"/>
      <c r="O238" s="11">
        <v>174217</v>
      </c>
      <c r="P238" s="11"/>
      <c r="Q238" s="11">
        <v>275764</v>
      </c>
      <c r="R238" s="11"/>
      <c r="S238" s="11">
        <f t="shared" si="12"/>
        <v>2452971</v>
      </c>
      <c r="T238" s="7"/>
      <c r="U238" s="11">
        <v>313927</v>
      </c>
      <c r="W238" s="7">
        <f>+S238-'Stmt net assets'!Q238-U238</f>
        <v>0</v>
      </c>
    </row>
    <row r="239" spans="1:25" ht="12.75" customHeight="1" x14ac:dyDescent="0.2">
      <c r="A239" s="6" t="s">
        <v>157</v>
      </c>
      <c r="B239" s="20"/>
      <c r="C239" s="6" t="s">
        <v>64</v>
      </c>
      <c r="D239" s="6"/>
      <c r="E239" s="11">
        <v>1054250</v>
      </c>
      <c r="F239" s="11"/>
      <c r="G239" s="11">
        <v>0</v>
      </c>
      <c r="H239" s="11"/>
      <c r="I239" s="11">
        <v>0</v>
      </c>
      <c r="J239" s="11"/>
      <c r="K239" s="11">
        <v>0</v>
      </c>
      <c r="L239" s="11"/>
      <c r="M239" s="11">
        <v>176570</v>
      </c>
      <c r="N239" s="11"/>
      <c r="O239" s="11">
        <v>96298</v>
      </c>
      <c r="P239" s="11"/>
      <c r="Q239" s="11">
        <v>0</v>
      </c>
      <c r="R239" s="11"/>
      <c r="S239" s="11">
        <f t="shared" si="12"/>
        <v>1327118</v>
      </c>
      <c r="T239" s="7"/>
      <c r="U239" s="11">
        <v>116340</v>
      </c>
      <c r="W239" s="7">
        <f>+S239-'Stmt net assets'!Q239-U239</f>
        <v>0</v>
      </c>
    </row>
    <row r="240" spans="1:25" ht="12.75" customHeight="1" x14ac:dyDescent="0.2">
      <c r="A240" s="6" t="s">
        <v>253</v>
      </c>
      <c r="C240" s="6" t="s">
        <v>25</v>
      </c>
      <c r="D240" s="6"/>
      <c r="E240" s="11">
        <v>275000</v>
      </c>
      <c r="F240" s="11"/>
      <c r="G240" s="11">
        <v>0</v>
      </c>
      <c r="H240" s="11"/>
      <c r="I240" s="11">
        <f>2280000+300000</f>
        <v>2580000</v>
      </c>
      <c r="J240" s="11"/>
      <c r="K240" s="11">
        <f>370626+528302</f>
        <v>898928</v>
      </c>
      <c r="L240" s="11"/>
      <c r="M240" s="11">
        <v>160759</v>
      </c>
      <c r="N240" s="11"/>
      <c r="O240" s="11">
        <v>1239560</v>
      </c>
      <c r="P240" s="11"/>
      <c r="Q240" s="11">
        <v>259228</v>
      </c>
      <c r="R240" s="11"/>
      <c r="S240" s="11">
        <f t="shared" si="12"/>
        <v>5413475</v>
      </c>
      <c r="T240" s="7"/>
      <c r="U240" s="11">
        <v>3382359</v>
      </c>
      <c r="W240" s="7">
        <f>+S240-'Stmt net assets'!Q240-U240</f>
        <v>0</v>
      </c>
    </row>
    <row r="241" spans="1:23" ht="12.75" customHeight="1" x14ac:dyDescent="0.2">
      <c r="A241" s="6" t="s">
        <v>254</v>
      </c>
      <c r="C241" s="6" t="s">
        <v>41</v>
      </c>
      <c r="D241" s="6"/>
      <c r="E241" s="11">
        <f>49457505+680606</f>
        <v>50138111</v>
      </c>
      <c r="F241" s="11"/>
      <c r="G241" s="11">
        <v>0</v>
      </c>
      <c r="H241" s="11"/>
      <c r="I241" s="11">
        <v>0</v>
      </c>
      <c r="J241" s="11"/>
      <c r="K241" s="11">
        <v>0</v>
      </c>
      <c r="L241" s="11"/>
      <c r="M241" s="11">
        <v>0</v>
      </c>
      <c r="N241" s="11"/>
      <c r="O241" s="11">
        <v>2678190</v>
      </c>
      <c r="P241" s="11"/>
      <c r="Q241" s="11">
        <v>0</v>
      </c>
      <c r="R241" s="11"/>
      <c r="S241" s="11">
        <f t="shared" si="12"/>
        <v>52816301</v>
      </c>
      <c r="T241" s="7"/>
      <c r="U241" s="11">
        <v>4064443</v>
      </c>
      <c r="W241" s="7">
        <f>+S241-'Stmt net assets'!Q241-U241</f>
        <v>0</v>
      </c>
    </row>
    <row r="242" spans="1:23" ht="12.75" customHeight="1" x14ac:dyDescent="0.2">
      <c r="A242" s="6"/>
      <c r="C242" s="6"/>
      <c r="D242" s="6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7"/>
      <c r="U242" s="11" t="s">
        <v>478</v>
      </c>
    </row>
    <row r="243" spans="1:23" ht="12.75" customHeight="1" x14ac:dyDescent="0.2">
      <c r="A243" s="6" t="s">
        <v>255</v>
      </c>
      <c r="C243" s="6" t="s">
        <v>256</v>
      </c>
      <c r="D243" s="6"/>
      <c r="E243" s="22">
        <v>397000</v>
      </c>
      <c r="F243" s="22"/>
      <c r="G243" s="22">
        <v>0</v>
      </c>
      <c r="H243" s="22"/>
      <c r="I243" s="22">
        <v>0</v>
      </c>
      <c r="J243" s="22"/>
      <c r="K243" s="22">
        <f>4348568+545489</f>
        <v>4894057</v>
      </c>
      <c r="L243" s="22"/>
      <c r="M243" s="22">
        <v>62656</v>
      </c>
      <c r="N243" s="22"/>
      <c r="O243" s="22">
        <v>158872</v>
      </c>
      <c r="P243" s="22"/>
      <c r="Q243" s="22">
        <v>0</v>
      </c>
      <c r="R243" s="22"/>
      <c r="S243" s="22">
        <f t="shared" ref="S243:S264" si="13">SUM(E243:Q243)</f>
        <v>5512585</v>
      </c>
      <c r="T243" s="9"/>
      <c r="U243" s="22">
        <v>675229</v>
      </c>
      <c r="W243" s="7">
        <f>+S243-'Stmt net assets'!Q243-U243</f>
        <v>0</v>
      </c>
    </row>
    <row r="244" spans="1:23" ht="12.75" customHeight="1" x14ac:dyDescent="0.2">
      <c r="A244" s="6" t="s">
        <v>257</v>
      </c>
      <c r="C244" s="6" t="s">
        <v>367</v>
      </c>
      <c r="D244" s="6"/>
      <c r="E244" s="11">
        <v>2610344</v>
      </c>
      <c r="F244" s="11"/>
      <c r="G244" s="11">
        <v>0</v>
      </c>
      <c r="H244" s="11"/>
      <c r="I244" s="11">
        <v>0</v>
      </c>
      <c r="J244" s="11"/>
      <c r="K244" s="11">
        <v>0</v>
      </c>
      <c r="L244" s="11"/>
      <c r="M244" s="11">
        <v>0</v>
      </c>
      <c r="N244" s="11"/>
      <c r="O244" s="11">
        <v>951641</v>
      </c>
      <c r="P244" s="11"/>
      <c r="Q244" s="11">
        <f>1015846+240053</f>
        <v>1255899</v>
      </c>
      <c r="R244" s="11"/>
      <c r="S244" s="11">
        <f t="shared" si="13"/>
        <v>4817884</v>
      </c>
      <c r="T244" s="7"/>
      <c r="U244" s="11">
        <v>913737</v>
      </c>
      <c r="W244" s="7">
        <f>+S244-'Stmt net assets'!Q244-U244</f>
        <v>0</v>
      </c>
    </row>
    <row r="245" spans="1:23" ht="12.75" customHeight="1" x14ac:dyDescent="0.2">
      <c r="A245" s="6" t="s">
        <v>259</v>
      </c>
      <c r="B245" s="20"/>
      <c r="C245" s="6" t="s">
        <v>64</v>
      </c>
      <c r="D245" s="6"/>
      <c r="E245" s="11">
        <v>10543316</v>
      </c>
      <c r="F245" s="11"/>
      <c r="G245" s="11">
        <v>0</v>
      </c>
      <c r="H245" s="11"/>
      <c r="I245" s="11">
        <v>0</v>
      </c>
      <c r="J245" s="11"/>
      <c r="K245" s="11">
        <v>0</v>
      </c>
      <c r="L245" s="11"/>
      <c r="M245" s="11">
        <v>376041</v>
      </c>
      <c r="N245" s="11"/>
      <c r="O245" s="11">
        <v>1486912</v>
      </c>
      <c r="P245" s="11"/>
      <c r="Q245" s="11">
        <v>0</v>
      </c>
      <c r="R245" s="11"/>
      <c r="S245" s="11">
        <f t="shared" si="13"/>
        <v>12406269</v>
      </c>
      <c r="T245" s="7"/>
      <c r="U245" s="11">
        <v>1843298</v>
      </c>
      <c r="W245" s="7">
        <f>+S245-'Stmt net assets'!Q245-U245</f>
        <v>0</v>
      </c>
    </row>
    <row r="246" spans="1:23" ht="12.75" customHeight="1" x14ac:dyDescent="0.2">
      <c r="A246" s="6" t="s">
        <v>260</v>
      </c>
      <c r="B246" s="20"/>
      <c r="C246" s="6" t="s">
        <v>130</v>
      </c>
      <c r="D246" s="6"/>
      <c r="E246" s="11">
        <v>760387</v>
      </c>
      <c r="F246" s="11"/>
      <c r="G246" s="11">
        <v>999340</v>
      </c>
      <c r="H246" s="11"/>
      <c r="I246" s="11">
        <v>2323000</v>
      </c>
      <c r="J246" s="11"/>
      <c r="K246" s="11">
        <v>700245</v>
      </c>
      <c r="L246" s="11"/>
      <c r="M246" s="11">
        <v>45662</v>
      </c>
      <c r="N246" s="11"/>
      <c r="O246" s="11">
        <v>347559</v>
      </c>
      <c r="P246" s="11"/>
      <c r="Q246" s="11">
        <f>62612+36699</f>
        <v>99311</v>
      </c>
      <c r="R246" s="11"/>
      <c r="S246" s="11">
        <f t="shared" si="13"/>
        <v>5275504</v>
      </c>
      <c r="T246" s="7"/>
      <c r="U246" s="11">
        <v>2676391</v>
      </c>
      <c r="W246" s="7">
        <f>+S246-'Stmt net assets'!Q246-U246</f>
        <v>0</v>
      </c>
    </row>
    <row r="247" spans="1:23" ht="12.75" customHeight="1" x14ac:dyDescent="0.2">
      <c r="A247" s="7" t="s">
        <v>497</v>
      </c>
      <c r="B247" s="10"/>
      <c r="C247" s="7" t="s">
        <v>43</v>
      </c>
      <c r="D247" s="6"/>
      <c r="E247" s="11">
        <v>2166835</v>
      </c>
      <c r="F247" s="11"/>
      <c r="G247" s="11">
        <v>0</v>
      </c>
      <c r="H247" s="11"/>
      <c r="I247" s="11">
        <v>0</v>
      </c>
      <c r="J247" s="11"/>
      <c r="K247" s="11">
        <v>0</v>
      </c>
      <c r="L247" s="11"/>
      <c r="M247" s="11">
        <v>0</v>
      </c>
      <c r="N247" s="11"/>
      <c r="O247" s="11">
        <v>1612694</v>
      </c>
      <c r="P247" s="11"/>
      <c r="Q247" s="11">
        <v>0</v>
      </c>
      <c r="R247" s="11"/>
      <c r="S247" s="11">
        <f t="shared" si="13"/>
        <v>3779529</v>
      </c>
      <c r="T247" s="7"/>
      <c r="U247" s="11">
        <v>1009479</v>
      </c>
      <c r="W247" s="7">
        <f>+S247-'Stmt net assets'!Q247-U247</f>
        <v>0</v>
      </c>
    </row>
    <row r="248" spans="1:23" ht="12.75" customHeight="1" x14ac:dyDescent="0.2">
      <c r="A248" s="6" t="s">
        <v>261</v>
      </c>
      <c r="C248" s="6" t="s">
        <v>51</v>
      </c>
      <c r="D248" s="6"/>
      <c r="E248" s="11">
        <f>40000+581+45000+714+340000+5579-99713</f>
        <v>332161</v>
      </c>
      <c r="F248" s="11"/>
      <c r="G248" s="11">
        <v>0</v>
      </c>
      <c r="H248" s="11"/>
      <c r="I248" s="11">
        <v>0</v>
      </c>
      <c r="J248" s="11"/>
      <c r="K248" s="11">
        <v>0</v>
      </c>
      <c r="L248" s="11"/>
      <c r="M248" s="11">
        <v>0</v>
      </c>
      <c r="N248" s="11"/>
      <c r="O248" s="11">
        <v>3049625</v>
      </c>
      <c r="P248" s="11"/>
      <c r="Q248" s="11">
        <f>89699+17865000</f>
        <v>17954699</v>
      </c>
      <c r="R248" s="11"/>
      <c r="S248" s="11">
        <f t="shared" si="13"/>
        <v>21336485</v>
      </c>
      <c r="T248" s="7"/>
      <c r="U248" s="11">
        <v>1149275</v>
      </c>
      <c r="W248" s="7">
        <f>+S248-'Stmt net assets'!Q248-U248</f>
        <v>0</v>
      </c>
    </row>
    <row r="249" spans="1:23" ht="12.75" customHeight="1" x14ac:dyDescent="0.2">
      <c r="A249" s="6" t="s">
        <v>262</v>
      </c>
      <c r="C249" s="6" t="s">
        <v>237</v>
      </c>
      <c r="D249" s="6"/>
      <c r="E249" s="11">
        <v>225000</v>
      </c>
      <c r="F249" s="11"/>
      <c r="G249" s="11">
        <v>0</v>
      </c>
      <c r="H249" s="11"/>
      <c r="I249" s="11">
        <v>0</v>
      </c>
      <c r="J249" s="11"/>
      <c r="K249" s="11">
        <f>34257+245506</f>
        <v>279763</v>
      </c>
      <c r="L249" s="11"/>
      <c r="M249" s="11">
        <v>0</v>
      </c>
      <c r="N249" s="11"/>
      <c r="O249" s="11">
        <v>459454</v>
      </c>
      <c r="P249" s="11"/>
      <c r="Q249" s="11">
        <v>0</v>
      </c>
      <c r="R249" s="11"/>
      <c r="S249" s="11">
        <f t="shared" si="13"/>
        <v>964217</v>
      </c>
      <c r="T249" s="7"/>
      <c r="U249" s="11">
        <v>390687</v>
      </c>
      <c r="W249" s="7">
        <f>+S249-'Stmt net assets'!Q249-U249</f>
        <v>0</v>
      </c>
    </row>
    <row r="250" spans="1:23" ht="12.75" customHeight="1" x14ac:dyDescent="0.2">
      <c r="A250" s="6" t="s">
        <v>109</v>
      </c>
      <c r="C250" s="6" t="s">
        <v>78</v>
      </c>
      <c r="D250" s="6"/>
      <c r="E250" s="11">
        <f>3527000+84929</f>
        <v>3611929</v>
      </c>
      <c r="F250" s="11"/>
      <c r="G250" s="11">
        <v>0</v>
      </c>
      <c r="H250" s="11"/>
      <c r="I250" s="11">
        <f>67457</f>
        <v>67457</v>
      </c>
      <c r="J250" s="11"/>
      <c r="K250" s="11">
        <f>375000+1320000+192423</f>
        <v>1887423</v>
      </c>
      <c r="L250" s="11"/>
      <c r="M250" s="11">
        <v>61139</v>
      </c>
      <c r="N250" s="11"/>
      <c r="O250" s="11">
        <v>5026805</v>
      </c>
      <c r="P250" s="11"/>
      <c r="Q250" s="11">
        <f>1480729</f>
        <v>1480729</v>
      </c>
      <c r="R250" s="11"/>
      <c r="S250" s="11">
        <f t="shared" si="13"/>
        <v>12135482</v>
      </c>
      <c r="T250" s="7"/>
      <c r="U250" s="11">
        <v>2948552</v>
      </c>
      <c r="W250" s="7">
        <f>+S250-'Stmt net assets'!Q250-U250</f>
        <v>0</v>
      </c>
    </row>
    <row r="251" spans="1:23" ht="12.75" hidden="1" customHeight="1" x14ac:dyDescent="0.2">
      <c r="A251" s="6" t="s">
        <v>263</v>
      </c>
      <c r="C251" s="6" t="s">
        <v>25</v>
      </c>
      <c r="D251" s="6"/>
      <c r="E251" s="11">
        <v>658572</v>
      </c>
      <c r="F251" s="11"/>
      <c r="G251" s="11">
        <v>55000</v>
      </c>
      <c r="H251" s="11"/>
      <c r="I251" s="11">
        <v>8680060</v>
      </c>
      <c r="J251" s="11"/>
      <c r="K251" s="11">
        <v>0</v>
      </c>
      <c r="L251" s="11"/>
      <c r="M251" s="11">
        <v>720684</v>
      </c>
      <c r="N251" s="11"/>
      <c r="O251" s="11">
        <v>2042260</v>
      </c>
      <c r="P251" s="11"/>
      <c r="Q251" s="11">
        <f>11215829+188272+791316</f>
        <v>12195417</v>
      </c>
      <c r="R251" s="11"/>
      <c r="S251" s="11">
        <f t="shared" si="13"/>
        <v>24351993</v>
      </c>
      <c r="T251" s="7"/>
      <c r="U251" s="11">
        <v>12940758</v>
      </c>
      <c r="W251" s="7">
        <f>+S251-'Stmt net assets'!Q251-U251</f>
        <v>260879</v>
      </c>
    </row>
    <row r="252" spans="1:23" ht="12.75" customHeight="1" x14ac:dyDescent="0.2">
      <c r="A252" s="6" t="s">
        <v>498</v>
      </c>
      <c r="C252" s="10" t="s">
        <v>448</v>
      </c>
      <c r="D252" s="6"/>
      <c r="E252" s="11">
        <f>1755000+6010000+2950000+179010+715000+405000+880000+30029</f>
        <v>12924039</v>
      </c>
      <c r="F252" s="11"/>
      <c r="G252" s="11">
        <v>0</v>
      </c>
      <c r="H252" s="11"/>
      <c r="I252" s="11">
        <v>0</v>
      </c>
      <c r="J252" s="11"/>
      <c r="K252" s="11">
        <v>208400</v>
      </c>
      <c r="L252" s="11"/>
      <c r="M252" s="11">
        <v>381093</v>
      </c>
      <c r="N252" s="11"/>
      <c r="O252" s="11">
        <v>960530</v>
      </c>
      <c r="P252" s="11"/>
      <c r="Q252" s="11">
        <v>0</v>
      </c>
      <c r="R252" s="11"/>
      <c r="S252" s="11">
        <f t="shared" si="13"/>
        <v>14474062</v>
      </c>
      <c r="T252" s="7"/>
      <c r="U252" s="11">
        <v>970734</v>
      </c>
      <c r="W252" s="7">
        <f>+S252-'Stmt net assets'!Q252-U252</f>
        <v>0</v>
      </c>
    </row>
    <row r="253" spans="1:23" ht="12.75" customHeight="1" x14ac:dyDescent="0.2">
      <c r="A253" s="7" t="s">
        <v>499</v>
      </c>
      <c r="B253" s="10"/>
      <c r="C253" s="7" t="s">
        <v>161</v>
      </c>
      <c r="D253" s="6"/>
      <c r="E253" s="11">
        <v>2480000</v>
      </c>
      <c r="F253" s="11"/>
      <c r="G253" s="11">
        <v>0</v>
      </c>
      <c r="H253" s="11"/>
      <c r="I253" s="11">
        <v>1044739</v>
      </c>
      <c r="J253" s="11"/>
      <c r="K253" s="11">
        <v>255611</v>
      </c>
      <c r="L253" s="11"/>
      <c r="M253" s="11">
        <v>4451</v>
      </c>
      <c r="N253" s="11"/>
      <c r="O253" s="11">
        <v>102947</v>
      </c>
      <c r="P253" s="11"/>
      <c r="Q253" s="11">
        <v>0</v>
      </c>
      <c r="R253" s="11"/>
      <c r="S253" s="11">
        <f t="shared" si="13"/>
        <v>3887748</v>
      </c>
      <c r="T253" s="7"/>
      <c r="U253" s="11">
        <v>1271393</v>
      </c>
      <c r="W253" s="7">
        <f>+S253-'Stmt net assets'!Q253-U253</f>
        <v>0</v>
      </c>
    </row>
    <row r="254" spans="1:23" ht="12.75" customHeight="1" x14ac:dyDescent="0.2">
      <c r="A254" s="6" t="s">
        <v>264</v>
      </c>
      <c r="C254" s="6" t="s">
        <v>265</v>
      </c>
      <c r="D254" s="6"/>
      <c r="E254" s="11">
        <v>2720000</v>
      </c>
      <c r="F254" s="11"/>
      <c r="G254" s="11">
        <v>0</v>
      </c>
      <c r="H254" s="11"/>
      <c r="I254" s="11">
        <v>0</v>
      </c>
      <c r="J254" s="11"/>
      <c r="K254" s="11">
        <v>0</v>
      </c>
      <c r="L254" s="11"/>
      <c r="M254" s="11">
        <v>0</v>
      </c>
      <c r="N254" s="11"/>
      <c r="O254" s="11">
        <v>350461</v>
      </c>
      <c r="P254" s="11"/>
      <c r="Q254" s="11">
        <v>0</v>
      </c>
      <c r="R254" s="11"/>
      <c r="S254" s="11">
        <f t="shared" si="13"/>
        <v>3070461</v>
      </c>
      <c r="T254" s="7"/>
      <c r="U254" s="11">
        <v>279138</v>
      </c>
      <c r="W254" s="7">
        <f>+S254-'Stmt net assets'!Q254-U254</f>
        <v>0</v>
      </c>
    </row>
    <row r="255" spans="1:23" ht="12.75" hidden="1" customHeight="1" x14ac:dyDescent="0.2">
      <c r="A255" s="19" t="s">
        <v>266</v>
      </c>
      <c r="B255" s="21"/>
      <c r="C255" s="19" t="s">
        <v>267</v>
      </c>
      <c r="D255" s="19"/>
      <c r="E255" s="11">
        <v>0</v>
      </c>
      <c r="F255" s="11"/>
      <c r="G255" s="11">
        <v>0</v>
      </c>
      <c r="H255" s="11"/>
      <c r="I255" s="11">
        <f>98246+366685+113260+41817</f>
        <v>620008</v>
      </c>
      <c r="J255" s="11"/>
      <c r="K255" s="11">
        <f>13498+31730+91667</f>
        <v>136895</v>
      </c>
      <c r="L255" s="11"/>
      <c r="M255" s="11">
        <v>0</v>
      </c>
      <c r="N255" s="11"/>
      <c r="O255" s="11">
        <v>0</v>
      </c>
      <c r="P255" s="11"/>
      <c r="Q255" s="11">
        <v>55526</v>
      </c>
      <c r="R255" s="11"/>
      <c r="S255" s="11">
        <f t="shared" si="13"/>
        <v>812429</v>
      </c>
      <c r="T255" s="7"/>
      <c r="U255" s="11">
        <v>644471</v>
      </c>
      <c r="W255" s="7">
        <f>+S255-'Stmt net assets'!Q255-U255</f>
        <v>0</v>
      </c>
    </row>
    <row r="256" spans="1:23" ht="12.75" customHeight="1" x14ac:dyDescent="0.2">
      <c r="A256" s="6" t="s">
        <v>268</v>
      </c>
      <c r="C256" s="6" t="s">
        <v>134</v>
      </c>
      <c r="D256" s="6"/>
      <c r="E256" s="11">
        <v>0</v>
      </c>
      <c r="F256" s="11"/>
      <c r="G256" s="11">
        <v>0</v>
      </c>
      <c r="H256" s="11"/>
      <c r="I256" s="11">
        <v>0</v>
      </c>
      <c r="J256" s="11"/>
      <c r="K256" s="11">
        <v>137550</v>
      </c>
      <c r="L256" s="11"/>
      <c r="M256" s="11">
        <v>0</v>
      </c>
      <c r="N256" s="11"/>
      <c r="O256" s="11">
        <v>74469</v>
      </c>
      <c r="P256" s="11"/>
      <c r="Q256" s="11">
        <v>0</v>
      </c>
      <c r="R256" s="11"/>
      <c r="S256" s="11">
        <f t="shared" si="13"/>
        <v>212019</v>
      </c>
      <c r="T256" s="7"/>
      <c r="U256" s="11">
        <v>60117</v>
      </c>
      <c r="W256" s="7">
        <f>+S256-'Stmt net assets'!Q256-U256</f>
        <v>0</v>
      </c>
    </row>
    <row r="257" spans="1:23" ht="12.75" customHeight="1" x14ac:dyDescent="0.2">
      <c r="A257" s="6" t="s">
        <v>269</v>
      </c>
      <c r="C257" s="6" t="s">
        <v>64</v>
      </c>
      <c r="D257" s="6"/>
      <c r="E257" s="11">
        <v>2580000</v>
      </c>
      <c r="F257" s="11"/>
      <c r="G257" s="11">
        <v>0</v>
      </c>
      <c r="H257" s="11"/>
      <c r="I257" s="11">
        <v>0</v>
      </c>
      <c r="J257" s="11"/>
      <c r="K257" s="11">
        <f>488337+263624+81083</f>
        <v>833044</v>
      </c>
      <c r="L257" s="11"/>
      <c r="M257" s="11">
        <v>0</v>
      </c>
      <c r="N257" s="11"/>
      <c r="O257" s="11">
        <v>835795</v>
      </c>
      <c r="P257" s="11"/>
      <c r="Q257" s="11">
        <v>0</v>
      </c>
      <c r="R257" s="11"/>
      <c r="S257" s="11">
        <f t="shared" si="13"/>
        <v>4248839</v>
      </c>
      <c r="T257" s="7"/>
      <c r="U257" s="11">
        <v>644359</v>
      </c>
      <c r="W257" s="7">
        <f>+S257-'Stmt net assets'!Q257-U257</f>
        <v>0</v>
      </c>
    </row>
    <row r="258" spans="1:23" ht="12.75" customHeight="1" x14ac:dyDescent="0.2">
      <c r="A258" s="6" t="s">
        <v>270</v>
      </c>
      <c r="C258" s="6" t="s">
        <v>41</v>
      </c>
      <c r="D258" s="6"/>
      <c r="E258" s="11">
        <v>30115222</v>
      </c>
      <c r="F258" s="11"/>
      <c r="G258" s="11">
        <v>0</v>
      </c>
      <c r="H258" s="11"/>
      <c r="I258" s="11">
        <v>0</v>
      </c>
      <c r="J258" s="11"/>
      <c r="K258" s="11">
        <v>2186646</v>
      </c>
      <c r="L258" s="11"/>
      <c r="M258" s="11">
        <v>0</v>
      </c>
      <c r="N258" s="11"/>
      <c r="O258" s="11">
        <v>3467736</v>
      </c>
      <c r="P258" s="11"/>
      <c r="Q258" s="11">
        <v>18271</v>
      </c>
      <c r="R258" s="11"/>
      <c r="S258" s="11">
        <f t="shared" si="13"/>
        <v>35787875</v>
      </c>
      <c r="T258" s="7"/>
      <c r="U258" s="11">
        <v>5292470</v>
      </c>
      <c r="W258" s="7">
        <f>+S258-'Stmt net assets'!Q258-U258</f>
        <v>0</v>
      </c>
    </row>
    <row r="259" spans="1:23" s="21" customFormat="1" ht="12.75" customHeight="1" x14ac:dyDescent="0.2">
      <c r="A259" s="6" t="s">
        <v>271</v>
      </c>
      <c r="B259" s="14"/>
      <c r="C259" s="6" t="s">
        <v>25</v>
      </c>
      <c r="D259" s="6"/>
      <c r="E259" s="11">
        <v>14866286</v>
      </c>
      <c r="F259" s="11"/>
      <c r="G259" s="11">
        <v>4142704</v>
      </c>
      <c r="H259" s="11"/>
      <c r="I259" s="11">
        <v>0</v>
      </c>
      <c r="J259" s="11"/>
      <c r="K259" s="11">
        <v>504189</v>
      </c>
      <c r="L259" s="11"/>
      <c r="M259" s="11">
        <v>8228</v>
      </c>
      <c r="N259" s="11"/>
      <c r="O259" s="11">
        <v>5611959</v>
      </c>
      <c r="P259" s="11"/>
      <c r="Q259" s="11">
        <v>522334</v>
      </c>
      <c r="R259" s="11"/>
      <c r="S259" s="11">
        <f t="shared" si="13"/>
        <v>25655700</v>
      </c>
      <c r="T259" s="7"/>
      <c r="U259" s="11">
        <v>2879342</v>
      </c>
      <c r="V259" s="20"/>
      <c r="W259" s="7">
        <f>+S259-'Stmt net assets'!Q259-U259</f>
        <v>0</v>
      </c>
    </row>
    <row r="260" spans="1:23" ht="12.75" customHeight="1" x14ac:dyDescent="0.2">
      <c r="A260" s="6" t="s">
        <v>272</v>
      </c>
      <c r="C260" s="6" t="s">
        <v>41</v>
      </c>
      <c r="D260" s="6"/>
      <c r="E260" s="11">
        <f>1060000+3644</f>
        <v>1063644</v>
      </c>
      <c r="F260" s="11"/>
      <c r="G260" s="11">
        <v>0</v>
      </c>
      <c r="H260" s="11"/>
      <c r="I260" s="11">
        <v>0</v>
      </c>
      <c r="J260" s="11"/>
      <c r="K260" s="11">
        <v>319655</v>
      </c>
      <c r="L260" s="11"/>
      <c r="M260" s="11">
        <v>24361</v>
      </c>
      <c r="N260" s="11"/>
      <c r="O260" s="11">
        <v>1916053</v>
      </c>
      <c r="P260" s="11"/>
      <c r="Q260" s="11">
        <v>29842</v>
      </c>
      <c r="R260" s="11"/>
      <c r="S260" s="11">
        <f t="shared" si="13"/>
        <v>3353555</v>
      </c>
      <c r="T260" s="7"/>
      <c r="U260" s="11">
        <v>1444058</v>
      </c>
      <c r="W260" s="7">
        <f>+S260-'Stmt net assets'!Q260-U260</f>
        <v>0</v>
      </c>
    </row>
    <row r="261" spans="1:23" ht="12.75" customHeight="1" x14ac:dyDescent="0.2">
      <c r="A261" s="6" t="s">
        <v>273</v>
      </c>
      <c r="C261" s="6" t="s">
        <v>90</v>
      </c>
      <c r="D261" s="6"/>
      <c r="E261" s="11">
        <v>1820000</v>
      </c>
      <c r="F261" s="11"/>
      <c r="G261" s="11">
        <v>0</v>
      </c>
      <c r="H261" s="11"/>
      <c r="I261" s="11">
        <v>0</v>
      </c>
      <c r="J261" s="11"/>
      <c r="K261" s="11">
        <v>150000</v>
      </c>
      <c r="L261" s="11"/>
      <c r="M261" s="11">
        <v>0</v>
      </c>
      <c r="N261" s="11"/>
      <c r="O261" s="11">
        <v>1607850</v>
      </c>
      <c r="P261" s="11"/>
      <c r="Q261" s="11">
        <v>0</v>
      </c>
      <c r="R261" s="11"/>
      <c r="S261" s="11">
        <f t="shared" si="13"/>
        <v>3577850</v>
      </c>
      <c r="T261" s="7"/>
      <c r="U261" s="11">
        <v>283249</v>
      </c>
      <c r="W261" s="7">
        <f>+S261-'Stmt net assets'!Q261-U261</f>
        <v>0</v>
      </c>
    </row>
    <row r="262" spans="1:23" ht="12.75" customHeight="1" x14ac:dyDescent="0.2">
      <c r="A262" s="6" t="s">
        <v>274</v>
      </c>
      <c r="C262" s="6" t="s">
        <v>36</v>
      </c>
      <c r="D262" s="6"/>
      <c r="E262" s="11">
        <v>595000</v>
      </c>
      <c r="F262" s="11"/>
      <c r="G262" s="11">
        <v>0</v>
      </c>
      <c r="H262" s="11"/>
      <c r="I262" s="11">
        <v>0</v>
      </c>
      <c r="J262" s="11"/>
      <c r="K262" s="11">
        <v>279224</v>
      </c>
      <c r="L262" s="11"/>
      <c r="M262" s="11">
        <v>0</v>
      </c>
      <c r="N262" s="11"/>
      <c r="O262" s="11">
        <v>294808</v>
      </c>
      <c r="P262" s="11"/>
      <c r="Q262" s="11">
        <v>0</v>
      </c>
      <c r="R262" s="11"/>
      <c r="S262" s="11">
        <f t="shared" si="13"/>
        <v>1169032</v>
      </c>
      <c r="T262" s="7"/>
      <c r="U262" s="11">
        <v>390122</v>
      </c>
      <c r="W262" s="7">
        <f>+S262-'Stmt net assets'!Q262-U262</f>
        <v>0</v>
      </c>
    </row>
    <row r="263" spans="1:23" ht="12.75" customHeight="1" x14ac:dyDescent="0.2">
      <c r="A263" s="6" t="s">
        <v>275</v>
      </c>
      <c r="C263" s="6" t="s">
        <v>90</v>
      </c>
      <c r="D263" s="6"/>
      <c r="E263" s="11">
        <f>3670000+35030+730000+4565000+222783+3200000+1710000+116525</f>
        <v>14249338</v>
      </c>
      <c r="F263" s="11"/>
      <c r="G263" s="11">
        <v>140000</v>
      </c>
      <c r="H263" s="11"/>
      <c r="I263" s="11">
        <v>0</v>
      </c>
      <c r="J263" s="11"/>
      <c r="K263" s="11">
        <f>3601+7838</f>
        <v>11439</v>
      </c>
      <c r="L263" s="11"/>
      <c r="M263" s="11">
        <v>0</v>
      </c>
      <c r="N263" s="11"/>
      <c r="O263" s="11">
        <v>5592103</v>
      </c>
      <c r="P263" s="11"/>
      <c r="Q263" s="11">
        <f>106310+727956</f>
        <v>834266</v>
      </c>
      <c r="R263" s="11"/>
      <c r="S263" s="11">
        <f t="shared" si="13"/>
        <v>20827146</v>
      </c>
      <c r="T263" s="7"/>
      <c r="U263" s="11">
        <v>2555724</v>
      </c>
      <c r="W263" s="7">
        <f>+S263-'Stmt net assets'!Q263-U263</f>
        <v>0</v>
      </c>
    </row>
    <row r="264" spans="1:23" ht="12.75" customHeight="1" x14ac:dyDescent="0.2">
      <c r="A264" s="6" t="s">
        <v>276</v>
      </c>
      <c r="C264" s="6" t="s">
        <v>90</v>
      </c>
      <c r="D264" s="6"/>
      <c r="E264" s="11">
        <v>1542900</v>
      </c>
      <c r="F264" s="11"/>
      <c r="G264" s="11">
        <v>17358</v>
      </c>
      <c r="H264" s="11"/>
      <c r="I264" s="11">
        <v>1200000</v>
      </c>
      <c r="J264" s="11"/>
      <c r="K264" s="11">
        <f>41998+9236126</f>
        <v>9278124</v>
      </c>
      <c r="L264" s="11"/>
      <c r="M264" s="11">
        <v>125100</v>
      </c>
      <c r="N264" s="11"/>
      <c r="O264" s="11">
        <v>697281</v>
      </c>
      <c r="P264" s="11"/>
      <c r="Q264" s="11">
        <v>45098</v>
      </c>
      <c r="R264" s="11"/>
      <c r="S264" s="11">
        <f t="shared" si="13"/>
        <v>12905861</v>
      </c>
      <c r="T264" s="7"/>
      <c r="U264" s="11">
        <v>882554</v>
      </c>
      <c r="W264" s="7">
        <f>+S264-'Stmt net assets'!Q264-U264</f>
        <v>0</v>
      </c>
    </row>
    <row r="265" spans="1:23" ht="12.75" customHeight="1" x14ac:dyDescent="0.2">
      <c r="A265" s="6" t="s">
        <v>277</v>
      </c>
      <c r="C265" s="6" t="s">
        <v>90</v>
      </c>
      <c r="D265" s="6"/>
      <c r="E265" s="11">
        <v>0</v>
      </c>
      <c r="F265" s="11"/>
      <c r="G265" s="11">
        <v>0</v>
      </c>
      <c r="H265" s="11"/>
      <c r="I265" s="11">
        <f>2000000+280000</f>
        <v>2280000</v>
      </c>
      <c r="J265" s="11"/>
      <c r="K265" s="11">
        <v>397228</v>
      </c>
      <c r="L265" s="11"/>
      <c r="M265" s="11">
        <v>5840</v>
      </c>
      <c r="N265" s="11"/>
      <c r="O265" s="11">
        <v>1201001</v>
      </c>
      <c r="P265" s="11"/>
      <c r="Q265" s="11">
        <v>100000</v>
      </c>
      <c r="R265" s="11"/>
      <c r="S265" s="11">
        <f t="shared" ref="S265:S272" si="14">SUM(E265:Q265)</f>
        <v>3984069</v>
      </c>
      <c r="T265" s="7"/>
      <c r="U265" s="11">
        <v>972483</v>
      </c>
      <c r="W265" s="7">
        <f>+S265-'Stmt net assets'!Q265-U265</f>
        <v>0</v>
      </c>
    </row>
    <row r="266" spans="1:23" ht="12.75" customHeight="1" x14ac:dyDescent="0.2">
      <c r="A266" s="6" t="s">
        <v>278</v>
      </c>
      <c r="C266" s="6" t="s">
        <v>279</v>
      </c>
      <c r="D266" s="6"/>
      <c r="E266" s="11">
        <v>4360000</v>
      </c>
      <c r="F266" s="11"/>
      <c r="G266" s="11">
        <v>0</v>
      </c>
      <c r="H266" s="11"/>
      <c r="I266" s="11">
        <v>1153246</v>
      </c>
      <c r="J266" s="11"/>
      <c r="K266" s="11">
        <v>0</v>
      </c>
      <c r="L266" s="11"/>
      <c r="M266" s="11">
        <v>303051</v>
      </c>
      <c r="N266" s="11"/>
      <c r="O266" s="11">
        <v>617990</v>
      </c>
      <c r="P266" s="11"/>
      <c r="Q266" s="11">
        <v>92688</v>
      </c>
      <c r="R266" s="11"/>
      <c r="S266" s="11">
        <f t="shared" si="14"/>
        <v>6526975</v>
      </c>
      <c r="T266" s="7"/>
      <c r="U266" s="11">
        <v>610963</v>
      </c>
      <c r="W266" s="7">
        <f>+S266-'Stmt net assets'!Q266-U266</f>
        <v>0</v>
      </c>
    </row>
    <row r="267" spans="1:23" ht="12.75" customHeight="1" x14ac:dyDescent="0.2">
      <c r="A267" s="6" t="s">
        <v>280</v>
      </c>
      <c r="C267" s="6" t="s">
        <v>197</v>
      </c>
      <c r="D267" s="6"/>
      <c r="E267" s="11">
        <v>3064323</v>
      </c>
      <c r="F267" s="11"/>
      <c r="G267" s="11">
        <v>647252</v>
      </c>
      <c r="H267" s="11"/>
      <c r="I267" s="11">
        <v>0</v>
      </c>
      <c r="J267" s="11"/>
      <c r="K267" s="11">
        <v>130721</v>
      </c>
      <c r="L267" s="11"/>
      <c r="M267" s="11">
        <v>0</v>
      </c>
      <c r="N267" s="11"/>
      <c r="O267" s="11">
        <v>1860096</v>
      </c>
      <c r="P267" s="11"/>
      <c r="Q267" s="11">
        <v>0</v>
      </c>
      <c r="R267" s="11"/>
      <c r="S267" s="11">
        <f t="shared" si="14"/>
        <v>5702392</v>
      </c>
      <c r="T267" s="7"/>
      <c r="U267" s="11">
        <v>907888</v>
      </c>
      <c r="W267" s="7">
        <f>+S267-'Stmt net assets'!Q267-U267</f>
        <v>0</v>
      </c>
    </row>
    <row r="268" spans="1:23" ht="12.75" customHeight="1" x14ac:dyDescent="0.2">
      <c r="A268" s="6" t="s">
        <v>281</v>
      </c>
      <c r="C268" s="6" t="s">
        <v>41</v>
      </c>
      <c r="D268" s="6"/>
      <c r="E268" s="11">
        <v>6345000</v>
      </c>
      <c r="F268" s="11"/>
      <c r="G268" s="11">
        <v>0</v>
      </c>
      <c r="H268" s="11"/>
      <c r="I268" s="11">
        <v>1860000</v>
      </c>
      <c r="J268" s="11"/>
      <c r="K268" s="11">
        <v>121056</v>
      </c>
      <c r="L268" s="11"/>
      <c r="M268" s="11">
        <v>0</v>
      </c>
      <c r="N268" s="11"/>
      <c r="O268" s="11">
        <v>1619484</v>
      </c>
      <c r="P268" s="11"/>
      <c r="Q268" s="11">
        <v>0</v>
      </c>
      <c r="R268" s="11"/>
      <c r="S268" s="11">
        <f t="shared" si="14"/>
        <v>9945540</v>
      </c>
      <c r="T268" s="7"/>
      <c r="U268" s="11">
        <v>1159526</v>
      </c>
      <c r="W268" s="7">
        <f>+S268-'Stmt net assets'!Q268-U268</f>
        <v>0</v>
      </c>
    </row>
    <row r="269" spans="1:23" ht="12.75" customHeight="1" x14ac:dyDescent="0.2">
      <c r="A269" s="6" t="s">
        <v>282</v>
      </c>
      <c r="C269" s="6" t="s">
        <v>43</v>
      </c>
      <c r="D269" s="6"/>
      <c r="E269" s="11">
        <v>11665688</v>
      </c>
      <c r="F269" s="11"/>
      <c r="G269" s="11">
        <v>0</v>
      </c>
      <c r="H269" s="11"/>
      <c r="I269" s="11">
        <v>0</v>
      </c>
      <c r="J269" s="11"/>
      <c r="K269" s="11">
        <v>0</v>
      </c>
      <c r="L269" s="11"/>
      <c r="M269" s="11">
        <v>0</v>
      </c>
      <c r="N269" s="11"/>
      <c r="O269" s="11">
        <v>688302</v>
      </c>
      <c r="P269" s="11"/>
      <c r="Q269" s="11">
        <v>161524</v>
      </c>
      <c r="R269" s="11"/>
      <c r="S269" s="11">
        <f t="shared" si="14"/>
        <v>12515514</v>
      </c>
      <c r="T269" s="7"/>
      <c r="U269" s="11">
        <v>773104</v>
      </c>
      <c r="W269" s="7">
        <f>+S269-'Stmt net assets'!Q269-U269</f>
        <v>0</v>
      </c>
    </row>
    <row r="270" spans="1:23" ht="12.75" customHeight="1" x14ac:dyDescent="0.2">
      <c r="A270" s="6" t="s">
        <v>283</v>
      </c>
      <c r="C270" s="6" t="s">
        <v>28</v>
      </c>
      <c r="D270" s="6"/>
      <c r="E270" s="11">
        <f>775000+867248</f>
        <v>1642248</v>
      </c>
      <c r="F270" s="11"/>
      <c r="G270" s="11">
        <v>0</v>
      </c>
      <c r="H270" s="11"/>
      <c r="I270" s="11">
        <v>0</v>
      </c>
      <c r="J270" s="11"/>
      <c r="K270" s="11">
        <v>0</v>
      </c>
      <c r="L270" s="11"/>
      <c r="M270" s="11">
        <v>478680</v>
      </c>
      <c r="N270" s="11"/>
      <c r="O270" s="11">
        <v>1885664</v>
      </c>
      <c r="P270" s="11"/>
      <c r="Q270" s="11">
        <v>0</v>
      </c>
      <c r="R270" s="11"/>
      <c r="S270" s="11">
        <f t="shared" si="14"/>
        <v>4006592</v>
      </c>
      <c r="T270" s="7"/>
      <c r="U270" s="11">
        <v>587028</v>
      </c>
      <c r="W270" s="7">
        <f>+S270-'Stmt net assets'!Q270-U270</f>
        <v>0</v>
      </c>
    </row>
    <row r="271" spans="1:23" ht="12.75" customHeight="1" x14ac:dyDescent="0.2">
      <c r="A271" s="6" t="s">
        <v>284</v>
      </c>
      <c r="B271" s="20"/>
      <c r="C271" s="6" t="s">
        <v>59</v>
      </c>
      <c r="D271" s="6"/>
      <c r="E271" s="11">
        <f>15970000+116925-488179</f>
        <v>15598746</v>
      </c>
      <c r="F271" s="11"/>
      <c r="G271" s="11">
        <v>0</v>
      </c>
      <c r="H271" s="11"/>
      <c r="I271" s="11">
        <v>0</v>
      </c>
      <c r="J271" s="11"/>
      <c r="K271" s="11">
        <f>1579950+278574</f>
        <v>1858524</v>
      </c>
      <c r="L271" s="11"/>
      <c r="M271" s="11">
        <v>88880</v>
      </c>
      <c r="N271" s="11"/>
      <c r="O271" s="11">
        <v>7278674</v>
      </c>
      <c r="P271" s="11"/>
      <c r="Q271" s="11">
        <f>2738924+634254</f>
        <v>3373178</v>
      </c>
      <c r="R271" s="11"/>
      <c r="S271" s="11">
        <f t="shared" si="14"/>
        <v>28198002</v>
      </c>
      <c r="T271" s="7"/>
      <c r="U271" s="11">
        <v>3893012</v>
      </c>
      <c r="W271" s="7">
        <f>+S271-'Stmt net assets'!Q271-U271</f>
        <v>0</v>
      </c>
    </row>
    <row r="272" spans="1:23" ht="12.75" customHeight="1" x14ac:dyDescent="0.2">
      <c r="A272" s="6" t="s">
        <v>285</v>
      </c>
      <c r="B272" s="20"/>
      <c r="C272" s="6" t="s">
        <v>286</v>
      </c>
      <c r="D272" s="6"/>
      <c r="E272" s="11">
        <v>2090902</v>
      </c>
      <c r="F272" s="11"/>
      <c r="G272" s="11">
        <v>0</v>
      </c>
      <c r="H272" s="11"/>
      <c r="I272" s="11">
        <v>0</v>
      </c>
      <c r="J272" s="11"/>
      <c r="K272" s="11">
        <v>3628581</v>
      </c>
      <c r="L272" s="11"/>
      <c r="M272" s="11">
        <v>0</v>
      </c>
      <c r="N272" s="11"/>
      <c r="O272" s="11">
        <v>1657148</v>
      </c>
      <c r="P272" s="11"/>
      <c r="Q272" s="11">
        <v>0</v>
      </c>
      <c r="R272" s="11"/>
      <c r="S272" s="11">
        <f t="shared" si="14"/>
        <v>7376631</v>
      </c>
      <c r="T272" s="7"/>
      <c r="U272" s="11">
        <v>1708322</v>
      </c>
      <c r="W272" s="7">
        <f>+S272-'Stmt net assets'!Q272-U272</f>
        <v>0</v>
      </c>
    </row>
    <row r="273" spans="1:20" ht="12.75" customHeight="1" x14ac:dyDescent="0.2">
      <c r="A273" s="6"/>
      <c r="C273" s="6"/>
      <c r="D273" s="6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7"/>
    </row>
    <row r="274" spans="1:20" ht="12.75" customHeight="1" x14ac:dyDescent="0.2"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</row>
    <row r="275" spans="1:20" ht="12.75" customHeight="1" x14ac:dyDescent="0.2"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</row>
    <row r="276" spans="1:20" ht="12.75" customHeight="1" x14ac:dyDescent="0.2"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</row>
    <row r="277" spans="1:20" ht="12.75" customHeight="1" x14ac:dyDescent="0.2"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</row>
    <row r="278" spans="1:20" ht="12.75" customHeight="1" x14ac:dyDescent="0.2"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</row>
    <row r="279" spans="1:20" ht="12.75" customHeight="1" x14ac:dyDescent="0.2"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</row>
    <row r="280" spans="1:20" ht="12.75" customHeight="1" x14ac:dyDescent="0.2"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</row>
    <row r="283" spans="1:20" ht="12.75" customHeight="1" x14ac:dyDescent="0.2">
      <c r="A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</row>
    <row r="284" spans="1:20" ht="12.75" customHeight="1" x14ac:dyDescent="0.2">
      <c r="A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11"/>
      <c r="T284" s="7"/>
    </row>
    <row r="285" spans="1:20" ht="12.75" customHeight="1" x14ac:dyDescent="0.2">
      <c r="A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</row>
    <row r="286" spans="1:20" ht="12.75" customHeight="1" x14ac:dyDescent="0.2">
      <c r="A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</row>
    <row r="287" spans="1:20" ht="12.75" customHeight="1" x14ac:dyDescent="0.2">
      <c r="A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</row>
    <row r="288" spans="1:20" ht="12.75" customHeight="1" x14ac:dyDescent="0.2">
      <c r="A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</row>
    <row r="289" spans="1:20" ht="12.75" customHeight="1" x14ac:dyDescent="0.2">
      <c r="A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</row>
    <row r="290" spans="1:20" ht="12.75" customHeight="1" x14ac:dyDescent="0.2">
      <c r="A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</row>
    <row r="291" spans="1:20" ht="12.75" customHeight="1" x14ac:dyDescent="0.2">
      <c r="A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</row>
    <row r="292" spans="1:20" ht="12.75" customHeight="1" x14ac:dyDescent="0.2">
      <c r="A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</row>
    <row r="293" spans="1:20" ht="12.75" customHeight="1" x14ac:dyDescent="0.2">
      <c r="A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</row>
    <row r="294" spans="1:20" ht="12.75" customHeight="1" x14ac:dyDescent="0.2">
      <c r="A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</row>
    <row r="295" spans="1:20" ht="12.75" customHeight="1" x14ac:dyDescent="0.2">
      <c r="A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</row>
    <row r="296" spans="1:20" ht="12.75" customHeight="1" x14ac:dyDescent="0.2">
      <c r="A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</row>
    <row r="297" spans="1:20" ht="12.75" customHeight="1" x14ac:dyDescent="0.2">
      <c r="A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</row>
    <row r="298" spans="1:20" ht="12.75" customHeight="1" x14ac:dyDescent="0.2">
      <c r="A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</row>
    <row r="299" spans="1:20" ht="12.75" customHeight="1" x14ac:dyDescent="0.2">
      <c r="A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</row>
    <row r="300" spans="1:20" ht="12.75" customHeight="1" x14ac:dyDescent="0.2">
      <c r="A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</row>
    <row r="301" spans="1:20" ht="12.75" customHeight="1" x14ac:dyDescent="0.2">
      <c r="A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</row>
    <row r="302" spans="1:20" ht="12.75" customHeight="1" x14ac:dyDescent="0.2">
      <c r="A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</row>
    <row r="303" spans="1:20" ht="12.75" customHeight="1" x14ac:dyDescent="0.2">
      <c r="A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</row>
    <row r="304" spans="1:20" ht="12.75" customHeight="1" x14ac:dyDescent="0.2">
      <c r="A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</row>
    <row r="305" spans="1:20" ht="12.75" customHeight="1" x14ac:dyDescent="0.2">
      <c r="A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</row>
    <row r="306" spans="1:20" ht="12.75" customHeight="1" x14ac:dyDescent="0.2">
      <c r="A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</row>
    <row r="307" spans="1:20" ht="12.75" customHeight="1" x14ac:dyDescent="0.2">
      <c r="A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</row>
    <row r="308" spans="1:20" ht="12.75" customHeight="1" x14ac:dyDescent="0.2">
      <c r="A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</row>
    <row r="309" spans="1:20" ht="12.75" customHeight="1" x14ac:dyDescent="0.2">
      <c r="A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</row>
    <row r="310" spans="1:20" ht="12.75" customHeight="1" x14ac:dyDescent="0.2">
      <c r="A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</row>
    <row r="311" spans="1:20" ht="12.75" customHeight="1" x14ac:dyDescent="0.2">
      <c r="A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</row>
    <row r="312" spans="1:20" ht="12.75" customHeight="1" x14ac:dyDescent="0.2">
      <c r="A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</row>
    <row r="313" spans="1:20" ht="12.75" customHeight="1" x14ac:dyDescent="0.2">
      <c r="A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</row>
    <row r="314" spans="1:20" ht="12.75" customHeight="1" x14ac:dyDescent="0.2">
      <c r="A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</row>
    <row r="315" spans="1:20" ht="12.75" customHeight="1" x14ac:dyDescent="0.2">
      <c r="A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</row>
    <row r="316" spans="1:20" ht="12.75" customHeight="1" x14ac:dyDescent="0.2">
      <c r="A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</row>
    <row r="317" spans="1:20" ht="12.75" customHeight="1" x14ac:dyDescent="0.2">
      <c r="A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</row>
  </sheetData>
  <phoneticPr fontId="4" type="noConversion"/>
  <pageMargins left="0.45" right="0.45" top="0.5" bottom="0.5" header="0" footer="0.25"/>
  <pageSetup scale="74" firstPageNumber="120" pageOrder="overThenDown" orientation="portrait" useFirstPageNumber="1" r:id="rId1"/>
  <headerFooter alignWithMargins="0">
    <oddFooter>&amp;C&amp;"Times New Roman,Regular"&amp;11&amp;P</oddFooter>
  </headerFooter>
  <rowBreaks count="1" manualBreakCount="1">
    <brk id="242" max="2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74"/>
  <sheetViews>
    <sheetView view="pageBreakPreview" topLeftCell="A238" zoomScaleNormal="100" zoomScaleSheetLayoutView="100" workbookViewId="0">
      <selection activeCell="E241" sqref="E241:AC241"/>
    </sheetView>
  </sheetViews>
  <sheetFormatPr defaultColWidth="9.140625" defaultRowHeight="12.75" customHeight="1" x14ac:dyDescent="0.2"/>
  <cols>
    <col min="1" max="1" width="23" style="10" customWidth="1"/>
    <col min="2" max="2" width="1.7109375" style="10" customWidth="1"/>
    <col min="3" max="3" width="11" style="10" customWidth="1"/>
    <col min="4" max="4" width="1.7109375" style="10" customWidth="1"/>
    <col min="5" max="5" width="12.42578125" style="10" bestFit="1" customWidth="1"/>
    <col min="6" max="6" width="1.7109375" style="10" customWidth="1"/>
    <col min="7" max="7" width="12.5703125" style="10" customWidth="1"/>
    <col min="8" max="8" width="1.7109375" style="10" customWidth="1"/>
    <col min="9" max="9" width="12.42578125" style="10" bestFit="1" customWidth="1"/>
    <col min="10" max="10" width="1.7109375" style="10" customWidth="1"/>
    <col min="11" max="11" width="12.140625" style="10" bestFit="1" customWidth="1"/>
    <col min="12" max="12" width="1.7109375" style="10" customWidth="1"/>
    <col min="13" max="13" width="13.140625" style="10" bestFit="1" customWidth="1"/>
    <col min="14" max="14" width="1.7109375" style="10" customWidth="1"/>
    <col min="15" max="15" width="11.7109375" style="10" customWidth="1"/>
    <col min="16" max="16" width="1.7109375" style="10" customWidth="1"/>
    <col min="17" max="17" width="11.7109375" style="10" customWidth="1"/>
    <col min="18" max="18" width="1.7109375" style="10" customWidth="1"/>
    <col min="19" max="19" width="11.7109375" style="10" customWidth="1"/>
    <col min="20" max="20" width="1.7109375" style="10" customWidth="1"/>
    <col min="21" max="21" width="11.7109375" style="10" customWidth="1"/>
    <col min="22" max="22" width="1" style="10" customWidth="1"/>
    <col min="23" max="23" width="12.42578125" style="10" customWidth="1"/>
    <col min="24" max="24" width="1.7109375" style="10" customWidth="1"/>
    <col min="25" max="25" width="11.28515625" style="10" bestFit="1" customWidth="1"/>
    <col min="26" max="26" width="1.7109375" style="10" customWidth="1"/>
    <col min="27" max="27" width="13.140625" style="10" bestFit="1" customWidth="1"/>
    <col min="28" max="28" width="2.7109375" style="10" customWidth="1"/>
    <col min="29" max="29" width="13.5703125" style="10" bestFit="1" customWidth="1"/>
    <col min="30" max="30" width="9.5703125" style="10" bestFit="1" customWidth="1"/>
    <col min="31" max="31" width="11" style="10" bestFit="1" customWidth="1"/>
    <col min="32" max="16384" width="9.140625" style="10"/>
  </cols>
  <sheetData>
    <row r="1" spans="1:30" ht="12.75" customHeight="1" x14ac:dyDescent="0.2">
      <c r="A1" s="74" t="s">
        <v>382</v>
      </c>
    </row>
    <row r="2" spans="1:30" ht="12.75" customHeight="1" x14ac:dyDescent="0.2">
      <c r="A2" s="74" t="s">
        <v>505</v>
      </c>
    </row>
    <row r="3" spans="1:30" ht="12.75" customHeight="1" x14ac:dyDescent="0.2">
      <c r="A3" s="74" t="s">
        <v>287</v>
      </c>
    </row>
    <row r="4" spans="1:30" ht="12.75" customHeight="1" x14ac:dyDescent="0.2">
      <c r="A4" s="29"/>
    </row>
    <row r="5" spans="1:30" ht="12.75" customHeight="1" x14ac:dyDescent="0.2">
      <c r="E5" s="84" t="s">
        <v>289</v>
      </c>
      <c r="F5" s="84"/>
      <c r="G5" s="84"/>
      <c r="H5" s="84"/>
      <c r="I5" s="84"/>
      <c r="K5" s="95" t="s">
        <v>466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82"/>
      <c r="W5" s="2"/>
      <c r="X5" s="85"/>
      <c r="Y5" s="85"/>
      <c r="Z5" s="85"/>
      <c r="AA5" s="2" t="s">
        <v>422</v>
      </c>
      <c r="AC5" s="2" t="s">
        <v>423</v>
      </c>
    </row>
    <row r="6" spans="1:30" ht="12.75" customHeight="1" x14ac:dyDescent="0.2">
      <c r="G6" s="43" t="s">
        <v>397</v>
      </c>
      <c r="V6" s="4"/>
      <c r="W6" s="2"/>
      <c r="AA6" s="2" t="s">
        <v>441</v>
      </c>
      <c r="AC6" s="2" t="s">
        <v>441</v>
      </c>
    </row>
    <row r="7" spans="1:30" ht="12.75" customHeight="1" x14ac:dyDescent="0.2">
      <c r="A7" s="13"/>
      <c r="C7" s="13"/>
      <c r="D7" s="13"/>
      <c r="E7" s="43" t="s">
        <v>290</v>
      </c>
      <c r="F7" s="43"/>
      <c r="G7" s="43" t="s">
        <v>359</v>
      </c>
      <c r="H7" s="43"/>
      <c r="I7" s="43" t="s">
        <v>3</v>
      </c>
      <c r="K7" s="2" t="s">
        <v>291</v>
      </c>
      <c r="L7" s="2"/>
      <c r="M7" s="2" t="s">
        <v>301</v>
      </c>
      <c r="N7" s="2"/>
      <c r="O7" s="2" t="s">
        <v>302</v>
      </c>
      <c r="P7" s="2"/>
      <c r="Q7" s="2" t="s">
        <v>9</v>
      </c>
      <c r="R7" s="2"/>
      <c r="S7" s="43" t="s">
        <v>293</v>
      </c>
      <c r="T7" s="43"/>
      <c r="U7" s="43"/>
      <c r="V7" s="43"/>
      <c r="W7" s="43" t="s">
        <v>299</v>
      </c>
      <c r="X7" s="43"/>
      <c r="Y7" s="43" t="s">
        <v>326</v>
      </c>
      <c r="Z7" s="43"/>
      <c r="AA7" s="2" t="s">
        <v>442</v>
      </c>
      <c r="AB7" s="4"/>
      <c r="AC7" s="2" t="s">
        <v>442</v>
      </c>
    </row>
    <row r="8" spans="1:30" ht="12.75" customHeight="1" x14ac:dyDescent="0.2">
      <c r="A8" s="46" t="s">
        <v>6</v>
      </c>
      <c r="C8" s="46" t="s">
        <v>7</v>
      </c>
      <c r="D8" s="13"/>
      <c r="E8" s="1" t="s">
        <v>295</v>
      </c>
      <c r="F8" s="2"/>
      <c r="G8" s="1" t="s">
        <v>398</v>
      </c>
      <c r="H8" s="2"/>
      <c r="I8" s="1" t="s">
        <v>296</v>
      </c>
      <c r="K8" s="1" t="s">
        <v>421</v>
      </c>
      <c r="L8" s="2"/>
      <c r="M8" s="1" t="s">
        <v>297</v>
      </c>
      <c r="N8" s="2"/>
      <c r="O8" s="1" t="s">
        <v>297</v>
      </c>
      <c r="P8" s="2"/>
      <c r="Q8" s="1" t="s">
        <v>296</v>
      </c>
      <c r="R8" s="2"/>
      <c r="S8" s="1" t="s">
        <v>298</v>
      </c>
      <c r="T8" s="2"/>
      <c r="U8" s="1" t="s">
        <v>292</v>
      </c>
      <c r="V8" s="2"/>
      <c r="W8" s="1" t="s">
        <v>436</v>
      </c>
      <c r="X8" s="2"/>
      <c r="Y8" s="1" t="s">
        <v>440</v>
      </c>
      <c r="Z8" s="2"/>
      <c r="AA8" s="1" t="s">
        <v>443</v>
      </c>
      <c r="AB8" s="2"/>
      <c r="AC8" s="1" t="s">
        <v>443</v>
      </c>
    </row>
    <row r="9" spans="1:30" ht="12.75" customHeight="1" x14ac:dyDescent="0.2">
      <c r="A9" s="3"/>
      <c r="C9" s="3"/>
      <c r="D9" s="13"/>
      <c r="E9" s="2"/>
      <c r="F9" s="2"/>
      <c r="G9" s="2"/>
      <c r="H9" s="2"/>
      <c r="I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30" s="9" customFormat="1" ht="12.75" hidden="1" customHeight="1" x14ac:dyDescent="0.2">
      <c r="A10" s="10" t="s">
        <v>10</v>
      </c>
      <c r="B10" s="10"/>
      <c r="C10" s="10" t="s">
        <v>11</v>
      </c>
      <c r="D10" s="10"/>
      <c r="E10" s="9">
        <v>25741269</v>
      </c>
      <c r="G10" s="9">
        <v>19658258</v>
      </c>
      <c r="I10" s="9">
        <v>35507412</v>
      </c>
      <c r="K10" s="9">
        <v>24003912</v>
      </c>
      <c r="M10" s="9">
        <v>131601798</v>
      </c>
      <c r="O10" s="9">
        <v>0</v>
      </c>
      <c r="Q10" s="9">
        <v>69710284</v>
      </c>
      <c r="S10" s="9">
        <v>439005</v>
      </c>
      <c r="U10" s="9">
        <f>20706211+8337078+60045</f>
        <v>29103334</v>
      </c>
      <c r="W10" s="9">
        <v>-308000</v>
      </c>
      <c r="Y10" s="9">
        <v>0</v>
      </c>
      <c r="AA10" s="9">
        <f>SUM(K10:Y10)</f>
        <v>254550333</v>
      </c>
      <c r="AC10" s="9">
        <f>SUM(E10:Y10)</f>
        <v>335457272</v>
      </c>
    </row>
    <row r="11" spans="1:30" s="9" customFormat="1" ht="12.75" customHeight="1" x14ac:dyDescent="0.2">
      <c r="A11" s="10" t="s">
        <v>12</v>
      </c>
      <c r="B11" s="10"/>
      <c r="C11" s="10" t="s">
        <v>13</v>
      </c>
      <c r="D11" s="10"/>
      <c r="E11" s="9">
        <v>1505321</v>
      </c>
      <c r="G11" s="9">
        <v>2208897</v>
      </c>
      <c r="I11" s="9">
        <v>115061</v>
      </c>
      <c r="K11" s="9">
        <f>916266+77605+77605</f>
        <v>1071476</v>
      </c>
      <c r="M11" s="9">
        <f>8179934+654641+935038</f>
        <v>9769613</v>
      </c>
      <c r="O11" s="9">
        <v>0</v>
      </c>
      <c r="Q11" s="9">
        <v>880730</v>
      </c>
      <c r="S11" s="9">
        <v>4428</v>
      </c>
      <c r="U11" s="9">
        <v>287368</v>
      </c>
      <c r="W11" s="9">
        <v>0</v>
      </c>
      <c r="Y11" s="9">
        <v>0</v>
      </c>
      <c r="AA11" s="9">
        <f t="shared" ref="AA11:AA67" si="0">SUM(K11:Y11)</f>
        <v>12013615</v>
      </c>
      <c r="AC11" s="9">
        <f t="shared" ref="AC11:AC67" si="1">SUM(E11:Y11)</f>
        <v>15842894</v>
      </c>
    </row>
    <row r="12" spans="1:30" ht="12.75" customHeight="1" x14ac:dyDescent="0.2">
      <c r="A12" s="10" t="s">
        <v>14</v>
      </c>
      <c r="C12" s="10" t="s">
        <v>15</v>
      </c>
      <c r="E12" s="7">
        <v>790448</v>
      </c>
      <c r="F12" s="7"/>
      <c r="G12" s="7">
        <v>662183</v>
      </c>
      <c r="H12" s="7"/>
      <c r="I12" s="7">
        <v>44133</v>
      </c>
      <c r="J12" s="7"/>
      <c r="K12" s="7">
        <f>821602+196464+239478</f>
        <v>1257544</v>
      </c>
      <c r="L12" s="7"/>
      <c r="M12" s="7">
        <f>2973483+1130048</f>
        <v>4103531</v>
      </c>
      <c r="N12" s="7"/>
      <c r="O12" s="7">
        <v>48618</v>
      </c>
      <c r="P12" s="7"/>
      <c r="Q12" s="7">
        <v>1269888</v>
      </c>
      <c r="R12" s="7"/>
      <c r="S12" s="7">
        <v>49631</v>
      </c>
      <c r="T12" s="7"/>
      <c r="U12" s="7">
        <f>109109+3250</f>
        <v>112359</v>
      </c>
      <c r="V12" s="7"/>
      <c r="W12" s="7">
        <v>0</v>
      </c>
      <c r="X12" s="7"/>
      <c r="Y12" s="7">
        <v>0</v>
      </c>
      <c r="Z12" s="7"/>
      <c r="AA12" s="7">
        <f t="shared" si="0"/>
        <v>6841571</v>
      </c>
      <c r="AB12" s="7"/>
      <c r="AC12" s="7">
        <f t="shared" si="1"/>
        <v>8338335</v>
      </c>
    </row>
    <row r="13" spans="1:30" s="9" customFormat="1" ht="12.75" customHeight="1" x14ac:dyDescent="0.2">
      <c r="A13" s="10" t="s">
        <v>16</v>
      </c>
      <c r="B13" s="10"/>
      <c r="C13" s="10" t="s">
        <v>16</v>
      </c>
      <c r="D13" s="10"/>
      <c r="E13" s="7">
        <v>2756133</v>
      </c>
      <c r="F13" s="7"/>
      <c r="G13" s="7">
        <v>1854051</v>
      </c>
      <c r="H13" s="7"/>
      <c r="I13" s="7">
        <v>304663</v>
      </c>
      <c r="J13" s="7"/>
      <c r="K13" s="7">
        <f>535666+133842+175434+231850</f>
        <v>1076792</v>
      </c>
      <c r="L13" s="7"/>
      <c r="M13" s="7">
        <f>7026505+651885+742245</f>
        <v>8420635</v>
      </c>
      <c r="N13" s="7"/>
      <c r="O13" s="7">
        <v>0</v>
      </c>
      <c r="P13" s="7"/>
      <c r="Q13" s="7">
        <v>718298</v>
      </c>
      <c r="R13" s="7"/>
      <c r="S13" s="7">
        <v>14052</v>
      </c>
      <c r="T13" s="7"/>
      <c r="U13" s="7">
        <v>133248</v>
      </c>
      <c r="V13" s="7"/>
      <c r="W13" s="7">
        <v>-166107</v>
      </c>
      <c r="X13" s="7"/>
      <c r="Y13" s="7">
        <v>0</v>
      </c>
      <c r="Z13" s="7"/>
      <c r="AA13" s="7">
        <f t="shared" si="0"/>
        <v>10196918</v>
      </c>
      <c r="AB13" s="7"/>
      <c r="AC13" s="7">
        <f t="shared" si="1"/>
        <v>15111765</v>
      </c>
    </row>
    <row r="14" spans="1:30" ht="12.75" customHeight="1" x14ac:dyDescent="0.2">
      <c r="A14" s="7" t="s">
        <v>17</v>
      </c>
      <c r="B14" s="9"/>
      <c r="C14" s="7" t="s">
        <v>17</v>
      </c>
      <c r="D14" s="7"/>
      <c r="E14" s="7">
        <v>1875273</v>
      </c>
      <c r="F14" s="7"/>
      <c r="G14" s="7">
        <v>2029824</v>
      </c>
      <c r="H14" s="7"/>
      <c r="I14" s="7">
        <v>13250</v>
      </c>
      <c r="J14" s="7"/>
      <c r="K14" s="7">
        <f>825015+489993+350201</f>
        <v>1665209</v>
      </c>
      <c r="L14" s="7"/>
      <c r="M14" s="7">
        <f>5137126+566893</f>
        <v>5704019</v>
      </c>
      <c r="N14" s="7"/>
      <c r="O14" s="7">
        <v>252342</v>
      </c>
      <c r="P14" s="7"/>
      <c r="Q14" s="7">
        <v>811927</v>
      </c>
      <c r="R14" s="7"/>
      <c r="S14" s="7">
        <v>190</v>
      </c>
      <c r="T14" s="7"/>
      <c r="U14" s="7">
        <v>113856</v>
      </c>
      <c r="V14" s="7"/>
      <c r="W14" s="7">
        <v>-39275</v>
      </c>
      <c r="X14" s="7"/>
      <c r="Y14" s="7">
        <v>0</v>
      </c>
      <c r="Z14" s="7"/>
      <c r="AA14" s="7">
        <f t="shared" si="0"/>
        <v>8508268</v>
      </c>
      <c r="AB14" s="7"/>
      <c r="AC14" s="7">
        <f t="shared" si="1"/>
        <v>12426615</v>
      </c>
      <c r="AD14" s="7"/>
    </row>
    <row r="15" spans="1:30" ht="12.75" customHeight="1" x14ac:dyDescent="0.2">
      <c r="A15" s="10" t="s">
        <v>18</v>
      </c>
      <c r="C15" s="10" t="s">
        <v>18</v>
      </c>
      <c r="E15" s="7">
        <v>4218379</v>
      </c>
      <c r="F15" s="7"/>
      <c r="G15" s="7">
        <v>1196506</v>
      </c>
      <c r="H15" s="7"/>
      <c r="I15" s="7">
        <v>576159</v>
      </c>
      <c r="J15" s="7"/>
      <c r="K15" s="7">
        <v>753036</v>
      </c>
      <c r="L15" s="7"/>
      <c r="M15" s="7">
        <f>8991458+632248+888301</f>
        <v>10512007</v>
      </c>
      <c r="N15" s="7"/>
      <c r="O15" s="7">
        <f>315944+485728</f>
        <v>801672</v>
      </c>
      <c r="P15" s="7"/>
      <c r="Q15" s="7">
        <v>884048</v>
      </c>
      <c r="R15" s="7"/>
      <c r="S15" s="7">
        <v>80419</v>
      </c>
      <c r="T15" s="7"/>
      <c r="U15" s="7">
        <v>433328</v>
      </c>
      <c r="V15" s="7"/>
      <c r="W15" s="7">
        <v>-3212</v>
      </c>
      <c r="X15" s="7"/>
      <c r="Y15" s="7">
        <v>0</v>
      </c>
      <c r="Z15" s="7"/>
      <c r="AA15" s="7">
        <f t="shared" si="0"/>
        <v>13461298</v>
      </c>
      <c r="AB15" s="7"/>
      <c r="AC15" s="7">
        <f t="shared" si="1"/>
        <v>19452342</v>
      </c>
    </row>
    <row r="16" spans="1:30" ht="12.75" customHeight="1" x14ac:dyDescent="0.2">
      <c r="A16" s="10" t="s">
        <v>19</v>
      </c>
      <c r="C16" s="10" t="s">
        <v>20</v>
      </c>
      <c r="E16" s="7">
        <v>820167</v>
      </c>
      <c r="F16" s="7"/>
      <c r="G16" s="7">
        <v>1052360</v>
      </c>
      <c r="H16" s="7"/>
      <c r="I16" s="7">
        <v>1115992</v>
      </c>
      <c r="J16" s="7"/>
      <c r="K16" s="7">
        <f>4306011+402133</f>
        <v>4708144</v>
      </c>
      <c r="L16" s="7"/>
      <c r="M16" s="7">
        <f>11009902+600000</f>
        <v>11609902</v>
      </c>
      <c r="N16" s="7"/>
      <c r="O16" s="7">
        <v>0</v>
      </c>
      <c r="P16" s="7"/>
      <c r="Q16" s="7">
        <v>598423</v>
      </c>
      <c r="R16" s="7"/>
      <c r="S16" s="7">
        <v>73314</v>
      </c>
      <c r="T16" s="7"/>
      <c r="U16" s="7">
        <v>102885</v>
      </c>
      <c r="V16" s="7"/>
      <c r="W16" s="7">
        <v>-160000</v>
      </c>
      <c r="X16" s="7"/>
      <c r="Y16" s="7">
        <v>0</v>
      </c>
      <c r="Z16" s="7"/>
      <c r="AA16" s="7">
        <f t="shared" si="0"/>
        <v>16932668</v>
      </c>
      <c r="AB16" s="7"/>
      <c r="AC16" s="7">
        <f t="shared" si="1"/>
        <v>19921187</v>
      </c>
      <c r="AD16" s="7"/>
    </row>
    <row r="17" spans="1:31" ht="12.75" customHeight="1" x14ac:dyDescent="0.2">
      <c r="A17" s="10" t="s">
        <v>21</v>
      </c>
      <c r="C17" s="10" t="s">
        <v>15</v>
      </c>
      <c r="E17" s="7">
        <v>9753920</v>
      </c>
      <c r="F17" s="7"/>
      <c r="G17" s="7">
        <v>1285416</v>
      </c>
      <c r="H17" s="7"/>
      <c r="I17" s="7">
        <v>184896</v>
      </c>
      <c r="J17" s="7"/>
      <c r="K17" s="7">
        <f>1612249+1268453+1185028+300430+69927+580310</f>
        <v>5016397</v>
      </c>
      <c r="L17" s="7"/>
      <c r="M17" s="7">
        <f>6336213+17669+3839955+1613687</f>
        <v>11807524</v>
      </c>
      <c r="N17" s="7"/>
      <c r="O17" s="7">
        <v>2150075</v>
      </c>
      <c r="P17" s="7"/>
      <c r="Q17" s="7">
        <v>1537673</v>
      </c>
      <c r="R17" s="7"/>
      <c r="S17" s="7">
        <v>154534</v>
      </c>
      <c r="T17" s="7"/>
      <c r="U17" s="7">
        <v>302223</v>
      </c>
      <c r="V17" s="7"/>
      <c r="W17" s="7">
        <v>26011</v>
      </c>
      <c r="X17" s="7"/>
      <c r="Y17" s="7">
        <v>-10874443</v>
      </c>
      <c r="Z17" s="7"/>
      <c r="AA17" s="7">
        <f t="shared" si="0"/>
        <v>10119994</v>
      </c>
      <c r="AB17" s="7"/>
      <c r="AC17" s="7">
        <f t="shared" si="1"/>
        <v>21344226</v>
      </c>
    </row>
    <row r="18" spans="1:31" ht="12.75" customHeight="1" x14ac:dyDescent="0.2">
      <c r="A18" s="10" t="s">
        <v>22</v>
      </c>
      <c r="C18" s="10" t="s">
        <v>15</v>
      </c>
      <c r="E18" s="7">
        <v>1833786</v>
      </c>
      <c r="F18" s="7"/>
      <c r="G18" s="7">
        <v>947621</v>
      </c>
      <c r="H18" s="7"/>
      <c r="I18" s="7">
        <v>315084</v>
      </c>
      <c r="J18" s="7"/>
      <c r="K18" s="7">
        <f>3876214+285046+1352126</f>
        <v>5513386</v>
      </c>
      <c r="L18" s="7"/>
      <c r="M18" s="7">
        <v>9763450</v>
      </c>
      <c r="N18" s="7"/>
      <c r="O18" s="7">
        <v>0</v>
      </c>
      <c r="P18" s="7"/>
      <c r="Q18" s="7">
        <v>2056510</v>
      </c>
      <c r="R18" s="7"/>
      <c r="S18" s="7">
        <v>123385</v>
      </c>
      <c r="T18" s="7"/>
      <c r="U18" s="7">
        <v>370066</v>
      </c>
      <c r="V18" s="7"/>
      <c r="W18" s="7">
        <v>25703</v>
      </c>
      <c r="X18" s="7"/>
      <c r="Y18" s="7">
        <v>0</v>
      </c>
      <c r="Z18" s="7"/>
      <c r="AA18" s="7">
        <f t="shared" ref="AA18" si="2">SUM(K18:Y18)</f>
        <v>17852500</v>
      </c>
      <c r="AB18" s="7"/>
      <c r="AC18" s="7">
        <f t="shared" ref="AC18" si="3">SUM(E18:Y18)</f>
        <v>20948991</v>
      </c>
    </row>
    <row r="19" spans="1:31" ht="12.75" customHeight="1" x14ac:dyDescent="0.2">
      <c r="A19" s="10" t="s">
        <v>23</v>
      </c>
      <c r="C19" s="10" t="s">
        <v>11</v>
      </c>
      <c r="E19" s="7">
        <v>3382048</v>
      </c>
      <c r="F19" s="7"/>
      <c r="G19" s="7">
        <v>4081718</v>
      </c>
      <c r="H19" s="7"/>
      <c r="I19" s="7">
        <v>250412</v>
      </c>
      <c r="J19" s="7"/>
      <c r="K19" s="7">
        <f>637608+211858+84744+84744</f>
        <v>1018954</v>
      </c>
      <c r="L19" s="7"/>
      <c r="M19" s="7">
        <v>9913010</v>
      </c>
      <c r="N19" s="7"/>
      <c r="O19" s="7">
        <v>0</v>
      </c>
      <c r="P19" s="7"/>
      <c r="Q19" s="7">
        <v>1965699</v>
      </c>
      <c r="R19" s="7"/>
      <c r="S19" s="7">
        <v>31249</v>
      </c>
      <c r="T19" s="7"/>
      <c r="U19" s="7">
        <v>86748</v>
      </c>
      <c r="V19" s="7"/>
      <c r="W19" s="7">
        <v>-31146</v>
      </c>
      <c r="X19" s="7"/>
      <c r="Y19" s="7">
        <v>0</v>
      </c>
      <c r="Z19" s="7"/>
      <c r="AA19" s="7">
        <f t="shared" si="0"/>
        <v>12984514</v>
      </c>
      <c r="AB19" s="7"/>
      <c r="AC19" s="7">
        <f t="shared" si="1"/>
        <v>20698692</v>
      </c>
    </row>
    <row r="20" spans="1:31" ht="12.75" customHeight="1" x14ac:dyDescent="0.2">
      <c r="A20" s="10" t="s">
        <v>24</v>
      </c>
      <c r="C20" s="10" t="s">
        <v>25</v>
      </c>
      <c r="E20" s="7">
        <v>1464480</v>
      </c>
      <c r="F20" s="7"/>
      <c r="G20" s="7">
        <v>804967</v>
      </c>
      <c r="H20" s="7"/>
      <c r="I20" s="7">
        <v>653734</v>
      </c>
      <c r="J20" s="7"/>
      <c r="K20" s="7">
        <f>3442607+605097+205994+140053+140053+1599574</f>
        <v>6133378</v>
      </c>
      <c r="L20" s="7"/>
      <c r="M20" s="7">
        <f>5086482+107251+168820</f>
        <v>5362553</v>
      </c>
      <c r="N20" s="7"/>
      <c r="O20" s="7">
        <v>0</v>
      </c>
      <c r="P20" s="7"/>
      <c r="Q20" s="7">
        <v>2608930</v>
      </c>
      <c r="R20" s="7"/>
      <c r="S20" s="7">
        <v>107134</v>
      </c>
      <c r="T20" s="7"/>
      <c r="U20" s="7">
        <v>52265</v>
      </c>
      <c r="V20" s="7"/>
      <c r="W20" s="7">
        <f>448300-89000</f>
        <v>359300</v>
      </c>
      <c r="X20" s="7"/>
      <c r="Y20" s="7">
        <v>0</v>
      </c>
      <c r="Z20" s="7"/>
      <c r="AA20" s="7">
        <f t="shared" si="0"/>
        <v>14623560</v>
      </c>
      <c r="AB20" s="7"/>
      <c r="AC20" s="7">
        <f t="shared" si="1"/>
        <v>17546741</v>
      </c>
      <c r="AD20" s="7"/>
    </row>
    <row r="21" spans="1:31" ht="12.75" customHeight="1" x14ac:dyDescent="0.2">
      <c r="A21" s="10" t="s">
        <v>26</v>
      </c>
      <c r="C21" s="10" t="s">
        <v>25</v>
      </c>
      <c r="E21" s="7">
        <v>3567097</v>
      </c>
      <c r="F21" s="7"/>
      <c r="G21" s="7">
        <v>695557</v>
      </c>
      <c r="H21" s="7"/>
      <c r="I21" s="7">
        <v>0</v>
      </c>
      <c r="J21" s="7"/>
      <c r="K21" s="7">
        <f>2674494+216427</f>
        <v>2890921</v>
      </c>
      <c r="L21" s="7"/>
      <c r="M21" s="7">
        <v>28447634</v>
      </c>
      <c r="N21" s="7"/>
      <c r="O21" s="7">
        <f>1336222+3115899</f>
        <v>4452121</v>
      </c>
      <c r="P21" s="7"/>
      <c r="Q21" s="7">
        <v>496054</v>
      </c>
      <c r="R21" s="7"/>
      <c r="S21" s="7">
        <v>145983</v>
      </c>
      <c r="T21" s="7"/>
      <c r="U21" s="7">
        <f>479070+286935</f>
        <v>766005</v>
      </c>
      <c r="V21" s="7"/>
      <c r="W21" s="7">
        <v>0</v>
      </c>
      <c r="X21" s="7"/>
      <c r="Y21" s="7">
        <v>0</v>
      </c>
      <c r="Z21" s="7"/>
      <c r="AA21" s="7">
        <f t="shared" si="0"/>
        <v>37198718</v>
      </c>
      <c r="AB21" s="7"/>
      <c r="AC21" s="7">
        <f t="shared" si="1"/>
        <v>41461372</v>
      </c>
      <c r="AD21" s="7"/>
    </row>
    <row r="22" spans="1:31" ht="12.75" customHeight="1" x14ac:dyDescent="0.2">
      <c r="A22" s="10" t="s">
        <v>27</v>
      </c>
      <c r="C22" s="10" t="s">
        <v>28</v>
      </c>
      <c r="E22" s="7">
        <v>2659384</v>
      </c>
      <c r="F22" s="7"/>
      <c r="G22" s="7">
        <v>5210129</v>
      </c>
      <c r="H22" s="7"/>
      <c r="I22" s="7">
        <v>1578480</v>
      </c>
      <c r="J22" s="7"/>
      <c r="K22" s="7">
        <f>1292857+6926568+4487777+352600</f>
        <v>13059802</v>
      </c>
      <c r="L22" s="7"/>
      <c r="M22" s="7">
        <v>0</v>
      </c>
      <c r="N22" s="7"/>
      <c r="O22" s="7">
        <v>331096</v>
      </c>
      <c r="P22" s="7"/>
      <c r="Q22" s="7">
        <v>2099220</v>
      </c>
      <c r="R22" s="7"/>
      <c r="S22" s="7">
        <v>370931</v>
      </c>
      <c r="T22" s="7"/>
      <c r="U22" s="7">
        <v>364911</v>
      </c>
      <c r="V22" s="7"/>
      <c r="W22" s="7">
        <v>-985258</v>
      </c>
      <c r="X22" s="7"/>
      <c r="Y22" s="7">
        <v>0</v>
      </c>
      <c r="Z22" s="7"/>
      <c r="AA22" s="7">
        <f t="shared" si="0"/>
        <v>15240702</v>
      </c>
      <c r="AB22" s="7"/>
      <c r="AC22" s="7">
        <f t="shared" si="1"/>
        <v>24688695</v>
      </c>
      <c r="AD22" s="7"/>
    </row>
    <row r="23" spans="1:31" ht="12.75" customHeight="1" x14ac:dyDescent="0.2">
      <c r="A23" s="10" t="s">
        <v>29</v>
      </c>
      <c r="C23" s="10" t="s">
        <v>25</v>
      </c>
      <c r="E23" s="7">
        <v>3359768</v>
      </c>
      <c r="F23" s="7"/>
      <c r="G23" s="7">
        <v>2306058</v>
      </c>
      <c r="H23" s="7"/>
      <c r="I23" s="7">
        <v>5000</v>
      </c>
      <c r="J23" s="7"/>
      <c r="K23" s="7">
        <f>1898877+225894+2778562</f>
        <v>4903333</v>
      </c>
      <c r="L23" s="7"/>
      <c r="M23" s="7">
        <f>8904771+720216</f>
        <v>9624987</v>
      </c>
      <c r="N23" s="7"/>
      <c r="O23" s="7">
        <v>0</v>
      </c>
      <c r="P23" s="7"/>
      <c r="Q23" s="7">
        <v>632800</v>
      </c>
      <c r="R23" s="7"/>
      <c r="S23" s="7">
        <v>20824</v>
      </c>
      <c r="T23" s="7"/>
      <c r="U23" s="7">
        <f>32484+166941</f>
        <v>199425</v>
      </c>
      <c r="V23" s="7"/>
      <c r="W23" s="7">
        <v>0</v>
      </c>
      <c r="X23" s="7"/>
      <c r="Y23" s="7">
        <v>0</v>
      </c>
      <c r="Z23" s="7"/>
      <c r="AA23" s="7">
        <f t="shared" si="0"/>
        <v>15381369</v>
      </c>
      <c r="AB23" s="7"/>
      <c r="AC23" s="7">
        <f t="shared" si="1"/>
        <v>21052195</v>
      </c>
    </row>
    <row r="24" spans="1:31" ht="12.75" customHeight="1" x14ac:dyDescent="0.2">
      <c r="A24" s="10" t="s">
        <v>30</v>
      </c>
      <c r="C24" s="10" t="s">
        <v>25</v>
      </c>
      <c r="E24" s="7">
        <v>3800362</v>
      </c>
      <c r="F24" s="7"/>
      <c r="G24" s="7">
        <v>193181</v>
      </c>
      <c r="H24" s="7"/>
      <c r="I24" s="7">
        <v>37918</v>
      </c>
      <c r="J24" s="7"/>
      <c r="K24" s="7">
        <f>1185043+2574507+411921+411920</f>
        <v>4583391</v>
      </c>
      <c r="L24" s="7"/>
      <c r="M24" s="7">
        <v>8567738</v>
      </c>
      <c r="N24" s="7"/>
      <c r="O24" s="7">
        <v>0</v>
      </c>
      <c r="P24" s="7"/>
      <c r="Q24" s="7">
        <v>1547569</v>
      </c>
      <c r="R24" s="7"/>
      <c r="S24" s="7">
        <v>526</v>
      </c>
      <c r="T24" s="7"/>
      <c r="U24" s="7">
        <v>161614</v>
      </c>
      <c r="V24" s="7"/>
      <c r="W24" s="7">
        <v>-34904</v>
      </c>
      <c r="X24" s="7"/>
      <c r="Y24" s="7">
        <v>0</v>
      </c>
      <c r="Z24" s="7"/>
      <c r="AA24" s="7">
        <f t="shared" si="0"/>
        <v>14825934</v>
      </c>
      <c r="AB24" s="7"/>
      <c r="AC24" s="7">
        <f>SUM(E24:Y24)</f>
        <v>18857395</v>
      </c>
    </row>
    <row r="25" spans="1:31" ht="12.75" customHeight="1" x14ac:dyDescent="0.2">
      <c r="A25" s="10" t="s">
        <v>32</v>
      </c>
      <c r="C25" s="10" t="s">
        <v>28</v>
      </c>
      <c r="E25" s="7">
        <v>147808</v>
      </c>
      <c r="F25" s="7"/>
      <c r="G25" s="7">
        <v>436035</v>
      </c>
      <c r="H25" s="7"/>
      <c r="I25" s="7">
        <v>352499</v>
      </c>
      <c r="J25" s="7"/>
      <c r="K25" s="7">
        <v>2622998</v>
      </c>
      <c r="L25" s="7"/>
      <c r="M25" s="7">
        <v>0</v>
      </c>
      <c r="N25" s="7"/>
      <c r="O25" s="7">
        <v>67656</v>
      </c>
      <c r="P25" s="7"/>
      <c r="Q25" s="7">
        <v>618590</v>
      </c>
      <c r="R25" s="7"/>
      <c r="S25" s="7">
        <v>11107</v>
      </c>
      <c r="T25" s="7"/>
      <c r="U25" s="7">
        <v>25831</v>
      </c>
      <c r="V25" s="7"/>
      <c r="W25" s="7">
        <v>0</v>
      </c>
      <c r="X25" s="7"/>
      <c r="Y25" s="7">
        <v>0</v>
      </c>
      <c r="Z25" s="7"/>
      <c r="AA25" s="7">
        <f t="shared" si="0"/>
        <v>3346182</v>
      </c>
      <c r="AB25" s="7"/>
      <c r="AC25" s="7">
        <f t="shared" si="1"/>
        <v>4282524</v>
      </c>
    </row>
    <row r="26" spans="1:31" ht="12.75" customHeight="1" x14ac:dyDescent="0.2">
      <c r="A26" s="10" t="s">
        <v>33</v>
      </c>
      <c r="C26" s="10" t="s">
        <v>34</v>
      </c>
      <c r="E26" s="7">
        <v>1059885</v>
      </c>
      <c r="F26" s="7"/>
      <c r="G26" s="7">
        <v>1543125</v>
      </c>
      <c r="H26" s="7"/>
      <c r="I26" s="7">
        <v>1078169</v>
      </c>
      <c r="J26" s="7"/>
      <c r="K26" s="7">
        <v>579267</v>
      </c>
      <c r="L26" s="7"/>
      <c r="M26" s="7">
        <v>5293008</v>
      </c>
      <c r="N26" s="7"/>
      <c r="O26" s="7">
        <f>53736+146362</f>
        <v>200098</v>
      </c>
      <c r="P26" s="7"/>
      <c r="Q26" s="7">
        <v>354297</v>
      </c>
      <c r="R26" s="7"/>
      <c r="S26" s="7">
        <v>29526</v>
      </c>
      <c r="T26" s="7"/>
      <c r="U26" s="7">
        <v>229991</v>
      </c>
      <c r="V26" s="7"/>
      <c r="W26" s="7">
        <v>-266000</v>
      </c>
      <c r="X26" s="7"/>
      <c r="Y26" s="7">
        <v>0</v>
      </c>
      <c r="Z26" s="7"/>
      <c r="AA26" s="7">
        <f>SUM(K26:Y26)</f>
        <v>6420187</v>
      </c>
      <c r="AB26" s="7"/>
      <c r="AC26" s="7">
        <f t="shared" si="1"/>
        <v>10101366</v>
      </c>
    </row>
    <row r="27" spans="1:31" ht="12.75" customHeight="1" x14ac:dyDescent="0.2">
      <c r="A27" s="10" t="s">
        <v>35</v>
      </c>
      <c r="C27" s="10" t="s">
        <v>36</v>
      </c>
      <c r="E27" s="7">
        <v>475128</v>
      </c>
      <c r="F27" s="7"/>
      <c r="G27" s="7">
        <v>385548</v>
      </c>
      <c r="H27" s="7"/>
      <c r="I27" s="7">
        <v>99000</v>
      </c>
      <c r="J27" s="7"/>
      <c r="K27" s="7">
        <v>677812</v>
      </c>
      <c r="L27" s="7"/>
      <c r="M27" s="7">
        <v>3590499</v>
      </c>
      <c r="N27" s="7"/>
      <c r="O27" s="7">
        <v>0</v>
      </c>
      <c r="P27" s="7"/>
      <c r="Q27" s="7">
        <v>473872</v>
      </c>
      <c r="R27" s="7"/>
      <c r="S27" s="7">
        <v>20701</v>
      </c>
      <c r="T27" s="7"/>
      <c r="U27" s="7">
        <v>61683</v>
      </c>
      <c r="V27" s="7"/>
      <c r="W27" s="7">
        <v>-421</v>
      </c>
      <c r="X27" s="7"/>
      <c r="Y27" s="7">
        <v>0</v>
      </c>
      <c r="Z27" s="7"/>
      <c r="AA27" s="7">
        <f t="shared" si="0"/>
        <v>4824146</v>
      </c>
      <c r="AB27" s="7"/>
      <c r="AC27" s="7">
        <f t="shared" si="1"/>
        <v>5783822</v>
      </c>
    </row>
    <row r="28" spans="1:31" ht="12.75" customHeight="1" x14ac:dyDescent="0.2">
      <c r="A28" s="10" t="s">
        <v>37</v>
      </c>
      <c r="C28" s="10" t="s">
        <v>38</v>
      </c>
      <c r="E28" s="7">
        <v>1285546</v>
      </c>
      <c r="F28" s="7"/>
      <c r="G28" s="7">
        <v>429496</v>
      </c>
      <c r="H28" s="7"/>
      <c r="I28" s="7">
        <v>0</v>
      </c>
      <c r="J28" s="7"/>
      <c r="K28" s="7">
        <v>285816</v>
      </c>
      <c r="L28" s="7"/>
      <c r="M28" s="7">
        <v>1374112</v>
      </c>
      <c r="N28" s="7"/>
      <c r="O28" s="7">
        <v>119449</v>
      </c>
      <c r="P28" s="7"/>
      <c r="Q28" s="7">
        <v>581022</v>
      </c>
      <c r="R28" s="7"/>
      <c r="S28" s="7">
        <v>22658</v>
      </c>
      <c r="T28" s="7"/>
      <c r="U28" s="7">
        <f>8390+58840</f>
        <v>67230</v>
      </c>
      <c r="V28" s="7"/>
      <c r="W28" s="7">
        <v>0</v>
      </c>
      <c r="X28" s="7"/>
      <c r="Y28" s="7">
        <v>0</v>
      </c>
      <c r="Z28" s="7"/>
      <c r="AA28" s="7">
        <f t="shared" si="0"/>
        <v>2450287</v>
      </c>
      <c r="AB28" s="7"/>
      <c r="AC28" s="7">
        <f t="shared" si="1"/>
        <v>4165329</v>
      </c>
    </row>
    <row r="29" spans="1:31" ht="12.75" customHeight="1" x14ac:dyDescent="0.2">
      <c r="A29" s="10" t="s">
        <v>39</v>
      </c>
      <c r="C29" s="10" t="s">
        <v>25</v>
      </c>
      <c r="E29" s="7">
        <v>4748576</v>
      </c>
      <c r="F29" s="7"/>
      <c r="G29" s="7">
        <v>976221</v>
      </c>
      <c r="H29" s="7"/>
      <c r="I29" s="7">
        <v>761383</v>
      </c>
      <c r="J29" s="7"/>
      <c r="K29" s="7">
        <f>1643154+747797+1593210</f>
        <v>3984161</v>
      </c>
      <c r="L29" s="7"/>
      <c r="M29" s="7">
        <v>11446700</v>
      </c>
      <c r="N29" s="7"/>
      <c r="O29" s="7">
        <v>278888</v>
      </c>
      <c r="P29" s="7"/>
      <c r="Q29" s="7">
        <v>1244125</v>
      </c>
      <c r="R29" s="7"/>
      <c r="S29" s="7">
        <v>128363</v>
      </c>
      <c r="T29" s="7"/>
      <c r="U29" s="7">
        <v>57616</v>
      </c>
      <c r="V29" s="7"/>
      <c r="W29" s="7">
        <v>-261000</v>
      </c>
      <c r="X29" s="7"/>
      <c r="Y29" s="7">
        <v>0</v>
      </c>
      <c r="Z29" s="7"/>
      <c r="AA29" s="7">
        <f t="shared" si="0"/>
        <v>16878853</v>
      </c>
      <c r="AB29" s="7"/>
      <c r="AC29" s="7">
        <f t="shared" si="1"/>
        <v>23365033</v>
      </c>
    </row>
    <row r="30" spans="1:31" ht="12.75" customHeight="1" x14ac:dyDescent="0.2">
      <c r="A30" s="10" t="s">
        <v>40</v>
      </c>
      <c r="C30" s="10" t="s">
        <v>41</v>
      </c>
      <c r="E30" s="7">
        <v>1304284</v>
      </c>
      <c r="F30" s="7"/>
      <c r="G30" s="7">
        <v>613427</v>
      </c>
      <c r="H30" s="7"/>
      <c r="I30" s="7">
        <v>945816</v>
      </c>
      <c r="J30" s="7"/>
      <c r="K30" s="7">
        <f>663552+731686+384832</f>
        <v>1780070</v>
      </c>
      <c r="L30" s="7"/>
      <c r="M30" s="7">
        <v>7174609</v>
      </c>
      <c r="N30" s="7"/>
      <c r="O30" s="7">
        <f>446753+189935</f>
        <v>636688</v>
      </c>
      <c r="P30" s="7"/>
      <c r="Q30" s="7">
        <v>1645431</v>
      </c>
      <c r="R30" s="7"/>
      <c r="S30" s="7">
        <v>95683</v>
      </c>
      <c r="T30" s="7"/>
      <c r="U30" s="7">
        <v>21095</v>
      </c>
      <c r="V30" s="7"/>
      <c r="W30" s="7">
        <v>-252825</v>
      </c>
      <c r="X30" s="7"/>
      <c r="Y30" s="7">
        <v>0</v>
      </c>
      <c r="Z30" s="7"/>
      <c r="AA30" s="7">
        <f t="shared" si="0"/>
        <v>11100751</v>
      </c>
      <c r="AB30" s="7"/>
      <c r="AC30" s="7">
        <f t="shared" si="1"/>
        <v>13964278</v>
      </c>
    </row>
    <row r="31" spans="1:31" ht="12.75" customHeight="1" x14ac:dyDescent="0.2">
      <c r="A31" s="10" t="s">
        <v>42</v>
      </c>
      <c r="C31" s="10" t="s">
        <v>43</v>
      </c>
      <c r="E31" s="7">
        <v>1679975</v>
      </c>
      <c r="F31" s="7"/>
      <c r="G31" s="7">
        <v>1676731</v>
      </c>
      <c r="H31" s="7"/>
      <c r="I31" s="7">
        <v>3955031</v>
      </c>
      <c r="J31" s="7"/>
      <c r="K31" s="7">
        <f>1951949+1297379</f>
        <v>3249328</v>
      </c>
      <c r="L31" s="7"/>
      <c r="M31" s="7">
        <v>32063469</v>
      </c>
      <c r="N31" s="7"/>
      <c r="O31" s="7">
        <v>977428</v>
      </c>
      <c r="P31" s="7"/>
      <c r="Q31" s="7">
        <v>1947792</v>
      </c>
      <c r="R31" s="7"/>
      <c r="S31" s="7">
        <v>20212</v>
      </c>
      <c r="T31" s="7"/>
      <c r="U31" s="7">
        <v>1052165</v>
      </c>
      <c r="V31" s="7"/>
      <c r="W31" s="7">
        <v>-589538</v>
      </c>
      <c r="X31" s="7"/>
      <c r="Y31" s="7">
        <v>0</v>
      </c>
      <c r="Z31" s="7"/>
      <c r="AA31" s="7">
        <f t="shared" si="0"/>
        <v>38720856</v>
      </c>
      <c r="AB31" s="7"/>
      <c r="AC31" s="7">
        <f t="shared" si="1"/>
        <v>46032593</v>
      </c>
    </row>
    <row r="32" spans="1:31" ht="12.75" customHeight="1" x14ac:dyDescent="0.2">
      <c r="A32" s="10" t="s">
        <v>44</v>
      </c>
      <c r="C32" s="10" t="s">
        <v>45</v>
      </c>
      <c r="E32" s="7">
        <v>4120498</v>
      </c>
      <c r="F32" s="7"/>
      <c r="G32" s="7">
        <v>2179147</v>
      </c>
      <c r="H32" s="7"/>
      <c r="I32" s="7">
        <v>5896744</v>
      </c>
      <c r="J32" s="7"/>
      <c r="K32" s="7">
        <f>1463354+569082</f>
        <v>2032436</v>
      </c>
      <c r="L32" s="7"/>
      <c r="M32" s="7">
        <f>6258683+417262+3650524+4172473+1668944</f>
        <v>16167886</v>
      </c>
      <c r="N32" s="7"/>
      <c r="O32" s="7">
        <f>1959175+320000</f>
        <v>2279175</v>
      </c>
      <c r="P32" s="7"/>
      <c r="Q32" s="7">
        <v>1683772</v>
      </c>
      <c r="R32" s="7"/>
      <c r="S32" s="7">
        <v>191533</v>
      </c>
      <c r="T32" s="7"/>
      <c r="U32" s="7">
        <v>686276</v>
      </c>
      <c r="V32" s="7"/>
      <c r="W32" s="7">
        <v>-3556809</v>
      </c>
      <c r="X32" s="7"/>
      <c r="Y32" s="7">
        <v>0</v>
      </c>
      <c r="Z32" s="7"/>
      <c r="AA32" s="7">
        <f t="shared" si="0"/>
        <v>19484269</v>
      </c>
      <c r="AB32" s="7"/>
      <c r="AC32" s="7">
        <f t="shared" si="1"/>
        <v>31680658</v>
      </c>
      <c r="AE32" s="7"/>
    </row>
    <row r="33" spans="1:30" ht="12.75" customHeight="1" x14ac:dyDescent="0.2">
      <c r="A33" s="10" t="s">
        <v>46</v>
      </c>
      <c r="C33" s="10" t="s">
        <v>25</v>
      </c>
      <c r="E33" s="7">
        <v>4357915</v>
      </c>
      <c r="F33" s="7"/>
      <c r="G33" s="7">
        <v>1047091</v>
      </c>
      <c r="H33" s="7"/>
      <c r="I33" s="7">
        <v>1302454</v>
      </c>
      <c r="J33" s="7"/>
      <c r="K33" s="7">
        <f>1827272+1770008+520591+156178</f>
        <v>4274049</v>
      </c>
      <c r="L33" s="7"/>
      <c r="M33" s="7">
        <f>12853245+2410000</f>
        <v>15263245</v>
      </c>
      <c r="N33" s="7"/>
      <c r="O33" s="7">
        <v>0</v>
      </c>
      <c r="P33" s="7"/>
      <c r="Q33" s="7">
        <v>1217585</v>
      </c>
      <c r="R33" s="7"/>
      <c r="S33" s="7">
        <v>130002</v>
      </c>
      <c r="T33" s="7"/>
      <c r="U33" s="7">
        <f>27112+468793</f>
        <v>495905</v>
      </c>
      <c r="V33" s="7"/>
      <c r="W33" s="7">
        <v>0</v>
      </c>
      <c r="X33" s="7"/>
      <c r="Y33" s="7">
        <v>0</v>
      </c>
      <c r="Z33" s="7"/>
      <c r="AA33" s="7">
        <f t="shared" si="0"/>
        <v>21380786</v>
      </c>
      <c r="AB33" s="7"/>
      <c r="AC33" s="7">
        <f t="shared" si="1"/>
        <v>28088246</v>
      </c>
    </row>
    <row r="34" spans="1:30" ht="12.75" customHeight="1" x14ac:dyDescent="0.2">
      <c r="A34" s="10" t="s">
        <v>47</v>
      </c>
      <c r="C34" s="10" t="s">
        <v>25</v>
      </c>
      <c r="E34" s="7">
        <v>3794862</v>
      </c>
      <c r="F34" s="7"/>
      <c r="G34" s="7">
        <v>972822</v>
      </c>
      <c r="H34" s="7"/>
      <c r="I34" s="7">
        <v>28091</v>
      </c>
      <c r="J34" s="7"/>
      <c r="K34" s="7">
        <f>1445737+1970410+53602</f>
        <v>3469749</v>
      </c>
      <c r="L34" s="7"/>
      <c r="M34" s="7">
        <f>8292959+1951012+498205</f>
        <v>10742176</v>
      </c>
      <c r="N34" s="7"/>
      <c r="O34" s="7">
        <v>0</v>
      </c>
      <c r="P34" s="7"/>
      <c r="Q34" s="7">
        <v>1202081</v>
      </c>
      <c r="R34" s="7"/>
      <c r="S34" s="7">
        <v>14347</v>
      </c>
      <c r="T34" s="7"/>
      <c r="U34" s="7">
        <v>51754</v>
      </c>
      <c r="V34" s="7"/>
      <c r="W34" s="7">
        <v>-256128</v>
      </c>
      <c r="X34" s="7"/>
      <c r="Y34" s="7">
        <v>0</v>
      </c>
      <c r="Z34" s="7"/>
      <c r="AA34" s="7">
        <f t="shared" si="0"/>
        <v>15223979</v>
      </c>
      <c r="AB34" s="7"/>
      <c r="AC34" s="7">
        <f t="shared" si="1"/>
        <v>20019754</v>
      </c>
    </row>
    <row r="35" spans="1:30" ht="12.75" customHeight="1" x14ac:dyDescent="0.2">
      <c r="A35" s="10" t="s">
        <v>48</v>
      </c>
      <c r="C35" s="10" t="s">
        <v>25</v>
      </c>
      <c r="E35" s="7">
        <v>3442848</v>
      </c>
      <c r="F35" s="7"/>
      <c r="G35" s="7">
        <v>1019384</v>
      </c>
      <c r="H35" s="7"/>
      <c r="I35" s="7">
        <v>1976629</v>
      </c>
      <c r="J35" s="7"/>
      <c r="K35" s="7">
        <f>1647240+339538</f>
        <v>1986778</v>
      </c>
      <c r="L35" s="7"/>
      <c r="M35" s="7">
        <f>15941383+1827479</f>
        <v>17768862</v>
      </c>
      <c r="N35" s="7"/>
      <c r="O35" s="7">
        <v>0</v>
      </c>
      <c r="P35" s="7"/>
      <c r="Q35" s="7">
        <v>878135</v>
      </c>
      <c r="R35" s="7"/>
      <c r="S35" s="7">
        <v>7157</v>
      </c>
      <c r="T35" s="7"/>
      <c r="U35" s="7">
        <v>57328</v>
      </c>
      <c r="V35" s="7"/>
      <c r="W35" s="7">
        <v>0</v>
      </c>
      <c r="X35" s="7"/>
      <c r="Y35" s="7">
        <v>0</v>
      </c>
      <c r="Z35" s="7"/>
      <c r="AA35" s="7">
        <f t="shared" si="0"/>
        <v>20698260</v>
      </c>
      <c r="AB35" s="7"/>
      <c r="AC35" s="7">
        <f t="shared" si="1"/>
        <v>27137121</v>
      </c>
    </row>
    <row r="36" spans="1:30" ht="12.75" customHeight="1" x14ac:dyDescent="0.2">
      <c r="A36" s="10" t="s">
        <v>49</v>
      </c>
      <c r="C36" s="10" t="s">
        <v>25</v>
      </c>
      <c r="E36" s="7">
        <v>1692508</v>
      </c>
      <c r="F36" s="7"/>
      <c r="G36" s="7">
        <v>1200504</v>
      </c>
      <c r="H36" s="7"/>
      <c r="I36" s="7">
        <v>118367</v>
      </c>
      <c r="J36" s="7"/>
      <c r="K36" s="7">
        <f>589697+117165+294198+314100+279037+30284</f>
        <v>1624481</v>
      </c>
      <c r="L36" s="7"/>
      <c r="M36" s="7">
        <f>13857423+322180+322180+1711161</f>
        <v>16212944</v>
      </c>
      <c r="N36" s="7"/>
      <c r="O36" s="7">
        <v>343503</v>
      </c>
      <c r="P36" s="7"/>
      <c r="Q36" s="7">
        <v>538085</v>
      </c>
      <c r="R36" s="7"/>
      <c r="S36" s="7">
        <v>22604</v>
      </c>
      <c r="T36" s="7"/>
      <c r="U36" s="7">
        <v>113708</v>
      </c>
      <c r="V36" s="7"/>
      <c r="W36" s="7">
        <v>0</v>
      </c>
      <c r="X36" s="7"/>
      <c r="Y36" s="7">
        <v>217450</v>
      </c>
      <c r="Z36" s="7"/>
      <c r="AA36" s="7">
        <f t="shared" si="0"/>
        <v>19072775</v>
      </c>
      <c r="AB36" s="7"/>
      <c r="AC36" s="7">
        <f t="shared" si="1"/>
        <v>22084154</v>
      </c>
    </row>
    <row r="37" spans="1:30" ht="12.75" customHeight="1" x14ac:dyDescent="0.2">
      <c r="A37" s="10" t="s">
        <v>458</v>
      </c>
      <c r="C37" s="10" t="s">
        <v>64</v>
      </c>
      <c r="E37" s="7">
        <v>1029675</v>
      </c>
      <c r="F37" s="7"/>
      <c r="G37" s="7">
        <v>334341</v>
      </c>
      <c r="H37" s="7"/>
      <c r="I37" s="7">
        <v>109349</v>
      </c>
      <c r="J37" s="7"/>
      <c r="K37" s="7">
        <v>140933</v>
      </c>
      <c r="L37" s="7"/>
      <c r="M37" s="7">
        <v>2763351</v>
      </c>
      <c r="N37" s="7"/>
      <c r="O37" s="7">
        <v>0</v>
      </c>
      <c r="P37" s="7"/>
      <c r="Q37" s="7">
        <v>414224</v>
      </c>
      <c r="R37" s="7"/>
      <c r="S37" s="7">
        <v>25277</v>
      </c>
      <c r="T37" s="7"/>
      <c r="U37" s="7">
        <v>89298</v>
      </c>
      <c r="V37" s="7"/>
      <c r="W37" s="7">
        <v>0</v>
      </c>
      <c r="X37" s="7"/>
      <c r="Y37" s="7">
        <v>0</v>
      </c>
      <c r="Z37" s="7"/>
      <c r="AA37" s="7">
        <f t="shared" si="0"/>
        <v>3433083</v>
      </c>
      <c r="AB37" s="7"/>
      <c r="AC37" s="7">
        <f t="shared" si="1"/>
        <v>4906448</v>
      </c>
    </row>
    <row r="38" spans="1:30" ht="12.75" customHeight="1" x14ac:dyDescent="0.2">
      <c r="A38" s="10" t="s">
        <v>50</v>
      </c>
      <c r="C38" s="10" t="s">
        <v>51</v>
      </c>
      <c r="E38" s="7">
        <v>3465424</v>
      </c>
      <c r="F38" s="7"/>
      <c r="G38" s="7">
        <v>2612386</v>
      </c>
      <c r="H38" s="7"/>
      <c r="I38" s="7">
        <v>1417676</v>
      </c>
      <c r="J38" s="7"/>
      <c r="K38" s="7">
        <f>1464138+195799</f>
        <v>1659937</v>
      </c>
      <c r="L38" s="7"/>
      <c r="M38" s="7">
        <f>3474876+224661+306614+3362609+870387+6202867+117404+436194</f>
        <v>14995612</v>
      </c>
      <c r="N38" s="7"/>
      <c r="O38" s="7">
        <v>0</v>
      </c>
      <c r="P38" s="7"/>
      <c r="Q38" s="7">
        <v>953963</v>
      </c>
      <c r="R38" s="7"/>
      <c r="S38" s="7">
        <v>41096</v>
      </c>
      <c r="T38" s="7"/>
      <c r="U38" s="7">
        <v>50210</v>
      </c>
      <c r="V38" s="7"/>
      <c r="W38" s="7">
        <v>0</v>
      </c>
      <c r="X38" s="7"/>
      <c r="Y38" s="7">
        <v>0</v>
      </c>
      <c r="Z38" s="7"/>
      <c r="AA38" s="7">
        <f t="shared" si="0"/>
        <v>17700818</v>
      </c>
      <c r="AB38" s="7"/>
      <c r="AC38" s="7">
        <f t="shared" si="1"/>
        <v>25196304</v>
      </c>
    </row>
    <row r="39" spans="1:30" ht="12.75" customHeight="1" x14ac:dyDescent="0.2">
      <c r="A39" s="10" t="s">
        <v>52</v>
      </c>
      <c r="C39" s="10" t="s">
        <v>53</v>
      </c>
      <c r="E39" s="7">
        <v>978163</v>
      </c>
      <c r="F39" s="7"/>
      <c r="G39" s="7">
        <v>610435</v>
      </c>
      <c r="H39" s="7"/>
      <c r="I39" s="7">
        <v>182602</v>
      </c>
      <c r="J39" s="7"/>
      <c r="K39" s="7">
        <v>415883</v>
      </c>
      <c r="L39" s="7"/>
      <c r="M39" s="7">
        <v>6846696</v>
      </c>
      <c r="N39" s="7"/>
      <c r="O39" s="7">
        <v>775943</v>
      </c>
      <c r="P39" s="7"/>
      <c r="Q39" s="7">
        <v>691875</v>
      </c>
      <c r="R39" s="7"/>
      <c r="S39" s="7">
        <v>17592</v>
      </c>
      <c r="T39" s="7"/>
      <c r="U39" s="7">
        <f>22114+375590</f>
        <v>397704</v>
      </c>
      <c r="V39" s="7"/>
      <c r="W39" s="7">
        <v>-1324832</v>
      </c>
      <c r="X39" s="7"/>
      <c r="Y39" s="7">
        <v>0</v>
      </c>
      <c r="Z39" s="7"/>
      <c r="AA39" s="7">
        <f t="shared" si="0"/>
        <v>7820861</v>
      </c>
      <c r="AB39" s="7"/>
      <c r="AC39" s="7">
        <f t="shared" si="1"/>
        <v>9592061</v>
      </c>
    </row>
    <row r="40" spans="1:30" ht="12.75" customHeight="1" x14ac:dyDescent="0.2">
      <c r="A40" s="10" t="s">
        <v>54</v>
      </c>
      <c r="C40" s="10" t="s">
        <v>55</v>
      </c>
      <c r="E40" s="7">
        <v>513448</v>
      </c>
      <c r="F40" s="7"/>
      <c r="G40" s="7">
        <v>856000</v>
      </c>
      <c r="H40" s="7"/>
      <c r="I40" s="7">
        <v>30699</v>
      </c>
      <c r="J40" s="7"/>
      <c r="K40" s="7">
        <f>493678+89082</f>
        <v>582760</v>
      </c>
      <c r="L40" s="7"/>
      <c r="M40" s="7">
        <f>2851963+1425981</f>
        <v>4277944</v>
      </c>
      <c r="N40" s="7"/>
      <c r="O40" s="7">
        <f>40316+138992</f>
        <v>179308</v>
      </c>
      <c r="P40" s="7"/>
      <c r="Q40" s="7">
        <v>433445</v>
      </c>
      <c r="R40" s="7"/>
      <c r="S40" s="7">
        <v>26428</v>
      </c>
      <c r="T40" s="7"/>
      <c r="U40" s="7">
        <v>227948</v>
      </c>
      <c r="V40" s="7"/>
      <c r="W40" s="7">
        <v>0</v>
      </c>
      <c r="X40" s="7"/>
      <c r="Y40" s="7">
        <v>0</v>
      </c>
      <c r="Z40" s="7"/>
      <c r="AA40" s="7">
        <f t="shared" si="0"/>
        <v>5727833</v>
      </c>
      <c r="AB40" s="7"/>
      <c r="AC40" s="7">
        <f t="shared" si="1"/>
        <v>7127980</v>
      </c>
    </row>
    <row r="41" spans="1:30" ht="12.75" customHeight="1" x14ac:dyDescent="0.2">
      <c r="A41" s="10" t="s">
        <v>56</v>
      </c>
      <c r="C41" s="10" t="s">
        <v>57</v>
      </c>
      <c r="E41" s="7">
        <v>2021718</v>
      </c>
      <c r="F41" s="7"/>
      <c r="G41" s="7">
        <v>950734</v>
      </c>
      <c r="H41" s="7"/>
      <c r="I41" s="7">
        <v>3025664</v>
      </c>
      <c r="J41" s="7"/>
      <c r="K41" s="7">
        <f>297550+1191009</f>
        <v>1488559</v>
      </c>
      <c r="L41" s="7"/>
      <c r="M41" s="7">
        <f>5218761+1505935</f>
        <v>6724696</v>
      </c>
      <c r="N41" s="7"/>
      <c r="O41" s="7">
        <v>148862</v>
      </c>
      <c r="P41" s="7"/>
      <c r="Q41" s="7">
        <v>412816</v>
      </c>
      <c r="R41" s="7"/>
      <c r="S41" s="7">
        <v>13710</v>
      </c>
      <c r="T41" s="7"/>
      <c r="U41" s="7">
        <f>4000+62676</f>
        <v>66676</v>
      </c>
      <c r="V41" s="7"/>
      <c r="W41" s="7">
        <v>0</v>
      </c>
      <c r="X41" s="7"/>
      <c r="Y41" s="7">
        <v>0</v>
      </c>
      <c r="Z41" s="7"/>
      <c r="AA41" s="7">
        <f t="shared" si="0"/>
        <v>8855319</v>
      </c>
      <c r="AB41" s="7"/>
      <c r="AC41" s="7">
        <f t="shared" si="1"/>
        <v>14853435</v>
      </c>
    </row>
    <row r="42" spans="1:30" ht="12.75" customHeight="1" x14ac:dyDescent="0.2">
      <c r="A42" s="10" t="s">
        <v>509</v>
      </c>
      <c r="C42" s="10" t="s">
        <v>59</v>
      </c>
      <c r="E42" s="7">
        <v>743072</v>
      </c>
      <c r="F42" s="7"/>
      <c r="G42" s="7">
        <v>726267</v>
      </c>
      <c r="H42" s="7"/>
      <c r="I42" s="7">
        <v>622273</v>
      </c>
      <c r="J42" s="7"/>
      <c r="K42" s="7">
        <f>316695+95604+95604</f>
        <v>507903</v>
      </c>
      <c r="L42" s="7"/>
      <c r="M42" s="7">
        <f>1793365+183309</f>
        <v>1976674</v>
      </c>
      <c r="N42" s="7"/>
      <c r="O42" s="7">
        <v>0</v>
      </c>
      <c r="P42" s="7"/>
      <c r="Q42" s="7">
        <v>279278</v>
      </c>
      <c r="R42" s="7"/>
      <c r="S42" s="7">
        <v>3585</v>
      </c>
      <c r="T42" s="7"/>
      <c r="U42" s="7">
        <v>204467</v>
      </c>
      <c r="V42" s="7"/>
      <c r="W42" s="7">
        <v>0</v>
      </c>
      <c r="X42" s="7"/>
      <c r="Y42" s="7">
        <v>0</v>
      </c>
      <c r="Z42" s="7"/>
      <c r="AA42" s="7">
        <f t="shared" ref="AA42" si="4">SUM(K42:Y42)</f>
        <v>2971907</v>
      </c>
      <c r="AB42" s="7"/>
      <c r="AC42" s="7">
        <f t="shared" ref="AC42" si="5">SUM(E42:Y42)</f>
        <v>5063519</v>
      </c>
    </row>
    <row r="43" spans="1:30" ht="12.75" customHeight="1" x14ac:dyDescent="0.2">
      <c r="A43" s="10" t="s">
        <v>470</v>
      </c>
      <c r="C43" s="10" t="s">
        <v>13</v>
      </c>
      <c r="E43" s="7">
        <v>242252</v>
      </c>
      <c r="F43" s="7"/>
      <c r="G43" s="7">
        <v>324353</v>
      </c>
      <c r="H43" s="7"/>
      <c r="I43" s="7">
        <v>75</v>
      </c>
      <c r="J43" s="7"/>
      <c r="K43" s="7">
        <f>232614+111663</f>
        <v>344277</v>
      </c>
      <c r="L43" s="7"/>
      <c r="M43" s="7">
        <f>2051620+147229</f>
        <v>2198849</v>
      </c>
      <c r="N43" s="7"/>
      <c r="O43" s="7">
        <v>0</v>
      </c>
      <c r="P43" s="7"/>
      <c r="Q43" s="7">
        <v>133897</v>
      </c>
      <c r="R43" s="7"/>
      <c r="S43" s="7">
        <v>80</v>
      </c>
      <c r="T43" s="7"/>
      <c r="U43" s="7">
        <v>63475</v>
      </c>
      <c r="V43" s="7"/>
      <c r="W43" s="7">
        <v>-60000</v>
      </c>
      <c r="X43" s="7"/>
      <c r="Y43" s="7">
        <v>0</v>
      </c>
      <c r="Z43" s="7"/>
      <c r="AA43" s="7">
        <f t="shared" si="0"/>
        <v>2680578</v>
      </c>
      <c r="AB43" s="7"/>
      <c r="AC43" s="7">
        <f t="shared" si="1"/>
        <v>3247258</v>
      </c>
    </row>
    <row r="44" spans="1:30" ht="12.75" customHeight="1" x14ac:dyDescent="0.2">
      <c r="A44" s="7" t="s">
        <v>493</v>
      </c>
      <c r="C44" s="7" t="s">
        <v>41</v>
      </c>
      <c r="E44" s="7">
        <v>621222</v>
      </c>
      <c r="F44" s="7"/>
      <c r="G44" s="7">
        <v>392674</v>
      </c>
      <c r="H44" s="7"/>
      <c r="I44" s="7">
        <v>2628733</v>
      </c>
      <c r="J44" s="7"/>
      <c r="K44" s="7">
        <v>380653</v>
      </c>
      <c r="L44" s="7"/>
      <c r="M44" s="7">
        <v>4598558</v>
      </c>
      <c r="N44" s="7"/>
      <c r="O44" s="7">
        <f>64404+102367</f>
        <v>166771</v>
      </c>
      <c r="P44" s="7"/>
      <c r="Q44" s="7">
        <v>359231</v>
      </c>
      <c r="R44" s="7"/>
      <c r="S44" s="7">
        <v>68915</v>
      </c>
      <c r="T44" s="7"/>
      <c r="U44" s="7">
        <v>195075</v>
      </c>
      <c r="V44" s="7"/>
      <c r="W44" s="7">
        <v>-12550</v>
      </c>
      <c r="X44" s="7"/>
      <c r="Y44" s="7">
        <v>0</v>
      </c>
      <c r="Z44" s="7"/>
      <c r="AA44" s="7">
        <f t="shared" ref="AA44" si="6">SUM(K44:Y44)</f>
        <v>5756653</v>
      </c>
      <c r="AB44" s="7"/>
      <c r="AC44" s="7">
        <f t="shared" ref="AC44" si="7">SUM(E44:Y44)</f>
        <v>9399282</v>
      </c>
    </row>
    <row r="45" spans="1:30" ht="12.75" customHeight="1" x14ac:dyDescent="0.2">
      <c r="A45" s="10" t="s">
        <v>58</v>
      </c>
      <c r="C45" s="10" t="s">
        <v>59</v>
      </c>
      <c r="E45" s="7">
        <v>521609</v>
      </c>
      <c r="F45" s="7"/>
      <c r="G45" s="7">
        <v>685939</v>
      </c>
      <c r="H45" s="7"/>
      <c r="I45" s="7">
        <v>639435</v>
      </c>
      <c r="J45" s="7"/>
      <c r="K45" s="7">
        <f>382117+119991</f>
        <v>502108</v>
      </c>
      <c r="L45" s="7"/>
      <c r="M45" s="7">
        <v>2632985</v>
      </c>
      <c r="N45" s="7"/>
      <c r="O45" s="7">
        <v>0</v>
      </c>
      <c r="P45" s="7"/>
      <c r="Q45" s="7">
        <v>319071</v>
      </c>
      <c r="R45" s="7"/>
      <c r="S45" s="7">
        <v>28999</v>
      </c>
      <c r="T45" s="7"/>
      <c r="U45" s="7">
        <v>56284</v>
      </c>
      <c r="V45" s="7"/>
      <c r="W45" s="7">
        <v>-225334</v>
      </c>
      <c r="X45" s="7"/>
      <c r="Y45" s="7">
        <v>0</v>
      </c>
      <c r="Z45" s="7"/>
      <c r="AA45" s="7">
        <f t="shared" si="0"/>
        <v>3314113</v>
      </c>
      <c r="AB45" s="7"/>
      <c r="AC45" s="7">
        <f t="shared" si="1"/>
        <v>5161096</v>
      </c>
    </row>
    <row r="46" spans="1:30" ht="12.75" hidden="1" customHeight="1" x14ac:dyDescent="0.2">
      <c r="A46" s="10" t="s">
        <v>60</v>
      </c>
      <c r="C46" s="10" t="s">
        <v>13</v>
      </c>
      <c r="E46" s="7">
        <v>15951215</v>
      </c>
      <c r="F46" s="7"/>
      <c r="G46" s="7">
        <v>6951732</v>
      </c>
      <c r="H46" s="7"/>
      <c r="I46" s="7">
        <v>759525</v>
      </c>
      <c r="J46" s="7"/>
      <c r="K46" s="7">
        <v>3769181</v>
      </c>
      <c r="L46" s="7"/>
      <c r="M46" s="7">
        <v>44311327</v>
      </c>
      <c r="N46" s="7"/>
      <c r="O46" s="7">
        <v>0</v>
      </c>
      <c r="P46" s="7"/>
      <c r="Q46" s="7">
        <v>8245851</v>
      </c>
      <c r="R46" s="7"/>
      <c r="S46" s="7">
        <v>56735</v>
      </c>
      <c r="T46" s="7"/>
      <c r="U46" s="7">
        <f>1503350+13663</f>
        <v>1517013</v>
      </c>
      <c r="V46" s="7"/>
      <c r="W46" s="7">
        <v>0</v>
      </c>
      <c r="X46" s="7"/>
      <c r="Y46" s="7">
        <v>0</v>
      </c>
      <c r="Z46" s="7"/>
      <c r="AA46" s="7">
        <f t="shared" si="0"/>
        <v>57900107</v>
      </c>
      <c r="AB46" s="7"/>
      <c r="AC46" s="7">
        <f>SUM(E46:Y46)</f>
        <v>81562579</v>
      </c>
      <c r="AD46" s="7"/>
    </row>
    <row r="47" spans="1:30" ht="12.75" hidden="1" customHeight="1" x14ac:dyDescent="0.2">
      <c r="A47" s="10" t="s">
        <v>479</v>
      </c>
      <c r="C47" s="10" t="s">
        <v>109</v>
      </c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>
        <f t="shared" si="0"/>
        <v>0</v>
      </c>
      <c r="AB47" s="7"/>
      <c r="AC47" s="7">
        <f t="shared" si="1"/>
        <v>0</v>
      </c>
      <c r="AD47" s="7"/>
    </row>
    <row r="48" spans="1:30" ht="12.75" customHeight="1" x14ac:dyDescent="0.2">
      <c r="A48" s="10" t="s">
        <v>61</v>
      </c>
      <c r="C48" s="10" t="s">
        <v>62</v>
      </c>
      <c r="E48" s="7">
        <v>1055749</v>
      </c>
      <c r="F48" s="7"/>
      <c r="G48" s="7">
        <v>733830</v>
      </c>
      <c r="H48" s="7"/>
      <c r="I48" s="7">
        <v>811119</v>
      </c>
      <c r="J48" s="7"/>
      <c r="K48" s="7">
        <f>258212+38732+38731</f>
        <v>335675</v>
      </c>
      <c r="L48" s="7"/>
      <c r="M48" s="7">
        <v>5017834</v>
      </c>
      <c r="N48" s="7"/>
      <c r="O48" s="7">
        <f>961734+556035</f>
        <v>1517769</v>
      </c>
      <c r="P48" s="7"/>
      <c r="Q48" s="7">
        <v>493484</v>
      </c>
      <c r="R48" s="7"/>
      <c r="S48" s="7">
        <v>28284</v>
      </c>
      <c r="T48" s="7"/>
      <c r="U48" s="7">
        <f>100266+736676</f>
        <v>836942</v>
      </c>
      <c r="V48" s="7"/>
      <c r="W48" s="7">
        <v>105973</v>
      </c>
      <c r="X48" s="7"/>
      <c r="Y48" s="7">
        <v>0</v>
      </c>
      <c r="Z48" s="7"/>
      <c r="AA48" s="7">
        <f t="shared" si="0"/>
        <v>8335961</v>
      </c>
      <c r="AB48" s="7"/>
      <c r="AC48" s="7">
        <f t="shared" si="1"/>
        <v>10936659</v>
      </c>
    </row>
    <row r="49" spans="1:29" ht="12.75" customHeight="1" x14ac:dyDescent="0.2">
      <c r="A49" s="10" t="s">
        <v>63</v>
      </c>
      <c r="C49" s="10" t="s">
        <v>64</v>
      </c>
      <c r="E49" s="7">
        <v>734835</v>
      </c>
      <c r="F49" s="7"/>
      <c r="G49" s="7">
        <v>1076914</v>
      </c>
      <c r="H49" s="7"/>
      <c r="I49" s="7">
        <v>209746</v>
      </c>
      <c r="J49" s="7"/>
      <c r="K49" s="7">
        <v>1208289</v>
      </c>
      <c r="L49" s="7"/>
      <c r="M49" s="7">
        <v>12654982</v>
      </c>
      <c r="N49" s="7"/>
      <c r="O49" s="7">
        <v>0</v>
      </c>
      <c r="P49" s="7"/>
      <c r="Q49" s="7">
        <v>2351678</v>
      </c>
      <c r="R49" s="7"/>
      <c r="S49" s="7">
        <v>169693</v>
      </c>
      <c r="T49" s="7"/>
      <c r="U49" s="7">
        <v>307922</v>
      </c>
      <c r="V49" s="7"/>
      <c r="W49" s="7">
        <v>-3030000</v>
      </c>
      <c r="X49" s="7"/>
      <c r="Y49" s="7">
        <v>0</v>
      </c>
      <c r="Z49" s="7"/>
      <c r="AA49" s="7">
        <f t="shared" si="0"/>
        <v>13662564</v>
      </c>
      <c r="AB49" s="7"/>
      <c r="AC49" s="7">
        <f t="shared" si="1"/>
        <v>15684059</v>
      </c>
    </row>
    <row r="50" spans="1:29" ht="12.75" hidden="1" customHeight="1" x14ac:dyDescent="0.2">
      <c r="A50" s="10" t="s">
        <v>65</v>
      </c>
      <c r="C50" s="10" t="s">
        <v>373</v>
      </c>
      <c r="E50" s="7">
        <v>2071971</v>
      </c>
      <c r="F50" s="7"/>
      <c r="G50" s="7">
        <v>549022</v>
      </c>
      <c r="H50" s="7"/>
      <c r="I50" s="7">
        <v>500000</v>
      </c>
      <c r="J50" s="7"/>
      <c r="K50" s="7">
        <f>402817+732731</f>
        <v>1135548</v>
      </c>
      <c r="L50" s="7"/>
      <c r="M50" s="7">
        <v>5266161</v>
      </c>
      <c r="N50" s="7"/>
      <c r="O50" s="7">
        <v>0</v>
      </c>
      <c r="P50" s="7"/>
      <c r="Q50" s="7">
        <v>270334</v>
      </c>
      <c r="R50" s="7"/>
      <c r="S50" s="7">
        <v>32829</v>
      </c>
      <c r="T50" s="7"/>
      <c r="U50" s="7">
        <f>1325+266401</f>
        <v>267726</v>
      </c>
      <c r="V50" s="7"/>
      <c r="W50" s="7">
        <v>-580998</v>
      </c>
      <c r="X50" s="7"/>
      <c r="Y50" s="7">
        <v>0</v>
      </c>
      <c r="Z50" s="7"/>
      <c r="AA50" s="7">
        <f t="shared" si="0"/>
        <v>6391600</v>
      </c>
      <c r="AB50" s="7"/>
      <c r="AC50" s="7">
        <f t="shared" si="1"/>
        <v>9512593</v>
      </c>
    </row>
    <row r="51" spans="1:29" ht="12.75" customHeight="1" x14ac:dyDescent="0.2">
      <c r="A51" s="10" t="s">
        <v>66</v>
      </c>
      <c r="C51" s="10" t="s">
        <v>43</v>
      </c>
      <c r="E51" s="7">
        <v>376396</v>
      </c>
      <c r="F51" s="7"/>
      <c r="G51" s="7">
        <v>628300</v>
      </c>
      <c r="H51" s="7"/>
      <c r="I51" s="7">
        <v>313266</v>
      </c>
      <c r="J51" s="7"/>
      <c r="K51" s="7">
        <f>1445246+114004</f>
        <v>1559250</v>
      </c>
      <c r="L51" s="7"/>
      <c r="M51" s="7">
        <v>1643543</v>
      </c>
      <c r="N51" s="7"/>
      <c r="O51" s="7">
        <v>69594</v>
      </c>
      <c r="P51" s="7"/>
      <c r="Q51" s="7">
        <v>389394</v>
      </c>
      <c r="R51" s="7"/>
      <c r="S51" s="7">
        <v>320</v>
      </c>
      <c r="T51" s="7"/>
      <c r="U51" s="7">
        <v>46760</v>
      </c>
      <c r="V51" s="7"/>
      <c r="W51" s="7">
        <v>0</v>
      </c>
      <c r="X51" s="7"/>
      <c r="Y51" s="7">
        <v>0</v>
      </c>
      <c r="Z51" s="7"/>
      <c r="AA51" s="7">
        <f t="shared" si="0"/>
        <v>3708861</v>
      </c>
      <c r="AB51" s="7"/>
      <c r="AC51" s="7">
        <f t="shared" si="1"/>
        <v>5026823</v>
      </c>
    </row>
    <row r="52" spans="1:29" ht="12.75" hidden="1" customHeight="1" x14ac:dyDescent="0.2">
      <c r="A52" s="10" t="s">
        <v>67</v>
      </c>
      <c r="C52" s="10" t="s">
        <v>68</v>
      </c>
      <c r="E52" s="7">
        <v>5637987</v>
      </c>
      <c r="F52" s="7"/>
      <c r="G52" s="7">
        <v>4271961</v>
      </c>
      <c r="H52" s="7"/>
      <c r="I52" s="7">
        <v>336199</v>
      </c>
      <c r="J52" s="7"/>
      <c r="K52" s="7">
        <f>899306+216144</f>
        <v>1115450</v>
      </c>
      <c r="L52" s="7"/>
      <c r="M52" s="7">
        <f>9348023+679854+849806</f>
        <v>10877683</v>
      </c>
      <c r="N52" s="7"/>
      <c r="O52" s="7">
        <v>207975</v>
      </c>
      <c r="P52" s="7"/>
      <c r="Q52" s="7">
        <v>1937176</v>
      </c>
      <c r="R52" s="7"/>
      <c r="S52" s="7">
        <v>50035</v>
      </c>
      <c r="T52" s="7"/>
      <c r="U52" s="7">
        <v>341810</v>
      </c>
      <c r="V52" s="7"/>
      <c r="W52" s="7">
        <v>-14352</v>
      </c>
      <c r="X52" s="7"/>
      <c r="Y52" s="7">
        <v>0</v>
      </c>
      <c r="Z52" s="7"/>
      <c r="AA52" s="7">
        <f t="shared" si="0"/>
        <v>14515777</v>
      </c>
      <c r="AB52" s="7"/>
      <c r="AC52" s="7">
        <f t="shared" si="1"/>
        <v>24761924</v>
      </c>
    </row>
    <row r="53" spans="1:29" ht="12.75" customHeight="1" x14ac:dyDescent="0.2">
      <c r="A53" s="10" t="s">
        <v>69</v>
      </c>
      <c r="C53" s="10" t="s">
        <v>43</v>
      </c>
      <c r="E53" s="7">
        <v>107768000</v>
      </c>
      <c r="F53" s="7"/>
      <c r="G53" s="7">
        <v>78897000</v>
      </c>
      <c r="H53" s="7"/>
      <c r="I53" s="7">
        <v>31232000</v>
      </c>
      <c r="J53" s="7"/>
      <c r="K53" s="7">
        <v>50681000</v>
      </c>
      <c r="L53" s="7"/>
      <c r="M53" s="7">
        <v>319317000</v>
      </c>
      <c r="N53" s="7"/>
      <c r="O53" s="7">
        <f>4616000+60233000+2330000</f>
        <v>67179000</v>
      </c>
      <c r="P53" s="7"/>
      <c r="Q53" s="7">
        <v>0</v>
      </c>
      <c r="R53" s="7"/>
      <c r="S53" s="7">
        <v>5931000</v>
      </c>
      <c r="T53" s="7"/>
      <c r="U53" s="7">
        <v>31370000</v>
      </c>
      <c r="V53" s="7"/>
      <c r="W53" s="7">
        <v>100000</v>
      </c>
      <c r="X53" s="7"/>
      <c r="Y53" s="7">
        <v>0</v>
      </c>
      <c r="Z53" s="7"/>
      <c r="AA53" s="7">
        <f t="shared" si="0"/>
        <v>474578000</v>
      </c>
      <c r="AB53" s="7"/>
      <c r="AC53" s="7">
        <f t="shared" si="1"/>
        <v>692475000</v>
      </c>
    </row>
    <row r="54" spans="1:29" ht="12.75" customHeight="1" x14ac:dyDescent="0.2">
      <c r="A54" s="10" t="s">
        <v>459</v>
      </c>
      <c r="C54" s="10" t="s">
        <v>460</v>
      </c>
      <c r="E54" s="7">
        <v>2023027</v>
      </c>
      <c r="F54" s="7"/>
      <c r="G54" s="7">
        <v>1467530</v>
      </c>
      <c r="H54" s="7"/>
      <c r="I54" s="7">
        <v>166699</v>
      </c>
      <c r="J54" s="7"/>
      <c r="K54" s="7">
        <f>708887+103870</f>
        <v>812757</v>
      </c>
      <c r="L54" s="7"/>
      <c r="M54" s="7">
        <f>1923411+1684408+324958+843284</f>
        <v>4776061</v>
      </c>
      <c r="N54" s="7"/>
      <c r="O54" s="7">
        <v>247220</v>
      </c>
      <c r="P54" s="7"/>
      <c r="Q54" s="7">
        <v>669536</v>
      </c>
      <c r="R54" s="7"/>
      <c r="S54" s="7">
        <v>129489</v>
      </c>
      <c r="T54" s="7"/>
      <c r="U54" s="7">
        <f>16875+14200+60160</f>
        <v>91235</v>
      </c>
      <c r="V54" s="7"/>
      <c r="W54" s="7">
        <v>0</v>
      </c>
      <c r="X54" s="7"/>
      <c r="Y54" s="7">
        <v>0</v>
      </c>
      <c r="Z54" s="7"/>
      <c r="AA54" s="7">
        <f t="shared" si="0"/>
        <v>6726298</v>
      </c>
      <c r="AB54" s="7"/>
      <c r="AC54" s="7">
        <f t="shared" si="1"/>
        <v>10383554</v>
      </c>
    </row>
    <row r="55" spans="1:29" ht="12.75" customHeight="1" x14ac:dyDescent="0.2">
      <c r="A55" s="10" t="s">
        <v>70</v>
      </c>
      <c r="C55" s="10" t="s">
        <v>64</v>
      </c>
      <c r="E55" s="7">
        <v>1220908</v>
      </c>
      <c r="F55" s="7"/>
      <c r="G55" s="7">
        <v>1012553</v>
      </c>
      <c r="H55" s="7"/>
      <c r="I55" s="7">
        <v>136168</v>
      </c>
      <c r="J55" s="7"/>
      <c r="K55" s="7">
        <f>331825+1137084+721683+177758</f>
        <v>2368350</v>
      </c>
      <c r="L55" s="7"/>
      <c r="M55" s="7">
        <f>1914037+957739</f>
        <v>2871776</v>
      </c>
      <c r="N55" s="7"/>
      <c r="O55" s="7">
        <f>284333+359430</f>
        <v>643763</v>
      </c>
      <c r="P55" s="7"/>
      <c r="Q55" s="7">
        <v>307054</v>
      </c>
      <c r="R55" s="7"/>
      <c r="S55" s="7">
        <f>34456-568</f>
        <v>33888</v>
      </c>
      <c r="T55" s="7"/>
      <c r="U55" s="7">
        <v>165745</v>
      </c>
      <c r="V55" s="7"/>
      <c r="W55" s="7">
        <v>-201193</v>
      </c>
      <c r="X55" s="7"/>
      <c r="Y55" s="7">
        <v>0</v>
      </c>
      <c r="Z55" s="7"/>
      <c r="AA55" s="7">
        <f t="shared" si="0"/>
        <v>6189383</v>
      </c>
      <c r="AB55" s="7"/>
      <c r="AC55" s="7">
        <f t="shared" si="1"/>
        <v>8559012</v>
      </c>
    </row>
    <row r="56" spans="1:29" ht="12.75" customHeight="1" x14ac:dyDescent="0.2">
      <c r="A56" s="10" t="s">
        <v>71</v>
      </c>
      <c r="C56" s="10" t="s">
        <v>25</v>
      </c>
      <c r="E56" s="7">
        <v>72938000</v>
      </c>
      <c r="F56" s="7"/>
      <c r="G56" s="7">
        <v>143883000</v>
      </c>
      <c r="H56" s="7"/>
      <c r="I56" s="7">
        <v>25845000</v>
      </c>
      <c r="J56" s="7"/>
      <c r="K56" s="7">
        <v>56086000</v>
      </c>
      <c r="L56" s="7"/>
      <c r="M56" s="7">
        <v>330863000</v>
      </c>
      <c r="N56" s="7"/>
      <c r="O56" s="7">
        <v>28680000</v>
      </c>
      <c r="P56" s="7"/>
      <c r="Q56" s="7">
        <f>27338000+25966000</f>
        <v>53304000</v>
      </c>
      <c r="R56" s="7"/>
      <c r="S56" s="7">
        <v>692000</v>
      </c>
      <c r="T56" s="7"/>
      <c r="U56" s="7">
        <v>18141000</v>
      </c>
      <c r="V56" s="7"/>
      <c r="W56" s="7">
        <v>-1589000</v>
      </c>
      <c r="X56" s="7"/>
      <c r="Y56" s="7">
        <v>0</v>
      </c>
      <c r="Z56" s="7"/>
      <c r="AA56" s="7">
        <f t="shared" si="0"/>
        <v>486177000</v>
      </c>
      <c r="AB56" s="7"/>
      <c r="AC56" s="7">
        <f t="shared" si="1"/>
        <v>728843000</v>
      </c>
    </row>
    <row r="57" spans="1:29" ht="12.75" customHeight="1" x14ac:dyDescent="0.2">
      <c r="A57" s="10" t="s">
        <v>72</v>
      </c>
      <c r="C57" s="10" t="s">
        <v>25</v>
      </c>
      <c r="E57" s="7">
        <v>12413047</v>
      </c>
      <c r="F57" s="7"/>
      <c r="G57" s="7">
        <v>3996772</v>
      </c>
      <c r="H57" s="7"/>
      <c r="I57" s="7">
        <v>77118</v>
      </c>
      <c r="J57" s="7"/>
      <c r="K57" s="7">
        <f>6720122+231728+231728+2240041+540700</f>
        <v>9964319</v>
      </c>
      <c r="L57" s="7"/>
      <c r="M57" s="7">
        <v>24772161</v>
      </c>
      <c r="N57" s="7"/>
      <c r="O57" s="7">
        <f>1674194+588325+1150000</f>
        <v>3412519</v>
      </c>
      <c r="P57" s="7"/>
      <c r="Q57" s="7">
        <v>4406397</v>
      </c>
      <c r="R57" s="7"/>
      <c r="S57" s="7">
        <v>45811</v>
      </c>
      <c r="T57" s="7"/>
      <c r="U57" s="7">
        <f>103497+1425510</f>
        <v>1529007</v>
      </c>
      <c r="V57" s="7"/>
      <c r="W57" s="7">
        <v>-863549</v>
      </c>
      <c r="X57" s="7"/>
      <c r="Y57" s="7">
        <v>0</v>
      </c>
      <c r="Z57" s="7"/>
      <c r="AA57" s="7">
        <f t="shared" si="0"/>
        <v>43266665</v>
      </c>
      <c r="AB57" s="7"/>
      <c r="AC57" s="7">
        <f t="shared" si="1"/>
        <v>59753602</v>
      </c>
    </row>
    <row r="58" spans="1:29" ht="12.75" customHeight="1" x14ac:dyDescent="0.2">
      <c r="A58" s="10" t="s">
        <v>73</v>
      </c>
      <c r="C58" s="10" t="s">
        <v>74</v>
      </c>
      <c r="E58" s="7">
        <v>489845</v>
      </c>
      <c r="F58" s="7"/>
      <c r="G58" s="7">
        <v>381955</v>
      </c>
      <c r="H58" s="7"/>
      <c r="I58" s="7">
        <v>1347570</v>
      </c>
      <c r="J58" s="7"/>
      <c r="K58" s="7">
        <f>285028+29400</f>
        <v>314428</v>
      </c>
      <c r="L58" s="7"/>
      <c r="M58" s="7">
        <f>2952022+1093167</f>
        <v>4045189</v>
      </c>
      <c r="N58" s="7"/>
      <c r="O58" s="7">
        <v>250868</v>
      </c>
      <c r="P58" s="7"/>
      <c r="Q58" s="7">
        <v>470631</v>
      </c>
      <c r="R58" s="7"/>
      <c r="S58" s="7">
        <v>25777</v>
      </c>
      <c r="T58" s="7"/>
      <c r="U58" s="7">
        <v>54983</v>
      </c>
      <c r="V58" s="7"/>
      <c r="W58" s="7">
        <v>0</v>
      </c>
      <c r="X58" s="7"/>
      <c r="Y58" s="7">
        <v>0</v>
      </c>
      <c r="Z58" s="7"/>
      <c r="AA58" s="7">
        <f t="shared" si="0"/>
        <v>5161876</v>
      </c>
      <c r="AB58" s="7"/>
      <c r="AC58" s="7">
        <f t="shared" si="1"/>
        <v>7381246</v>
      </c>
    </row>
    <row r="59" spans="1:29" ht="12.75" hidden="1" customHeight="1" x14ac:dyDescent="0.2">
      <c r="A59" s="10" t="s">
        <v>75</v>
      </c>
      <c r="C59" s="10" t="s">
        <v>41</v>
      </c>
      <c r="E59" s="7">
        <v>150281000</v>
      </c>
      <c r="F59" s="7"/>
      <c r="G59" s="7">
        <v>141187000</v>
      </c>
      <c r="H59" s="7"/>
      <c r="I59" s="7">
        <v>56256000</v>
      </c>
      <c r="J59" s="7"/>
      <c r="K59" s="7">
        <v>44812000</v>
      </c>
      <c r="L59" s="7"/>
      <c r="M59" s="7">
        <v>697845000</v>
      </c>
      <c r="N59" s="7"/>
      <c r="O59" s="7">
        <f>16455000+3255000</f>
        <v>19710000</v>
      </c>
      <c r="P59" s="7"/>
      <c r="Q59" s="7">
        <v>46083000</v>
      </c>
      <c r="R59" s="7"/>
      <c r="S59" s="7">
        <v>3710000</v>
      </c>
      <c r="T59" s="7"/>
      <c r="U59" s="7">
        <f>2222000+26439000</f>
        <v>28661000</v>
      </c>
      <c r="V59" s="7"/>
      <c r="W59" s="7">
        <v>-1404000</v>
      </c>
      <c r="X59" s="7"/>
      <c r="Y59" s="7">
        <v>0</v>
      </c>
      <c r="Z59" s="7"/>
      <c r="AA59" s="7">
        <f t="shared" si="0"/>
        <v>839417000</v>
      </c>
      <c r="AB59" s="7"/>
      <c r="AC59" s="7">
        <f t="shared" si="1"/>
        <v>1187141000</v>
      </c>
    </row>
    <row r="60" spans="1:29" ht="12.75" customHeight="1" x14ac:dyDescent="0.2">
      <c r="A60" s="10" t="s">
        <v>92</v>
      </c>
      <c r="C60" s="10" t="s">
        <v>92</v>
      </c>
      <c r="E60" s="7">
        <v>400004</v>
      </c>
      <c r="F60" s="7"/>
      <c r="G60" s="7">
        <v>510779</v>
      </c>
      <c r="H60" s="7"/>
      <c r="I60" s="7">
        <v>997478</v>
      </c>
      <c r="J60" s="7"/>
      <c r="K60" s="7">
        <f>318584+2850+312436</f>
        <v>633870</v>
      </c>
      <c r="L60" s="7"/>
      <c r="M60" s="7">
        <v>1923651</v>
      </c>
      <c r="N60" s="7"/>
      <c r="O60" s="7">
        <v>46240</v>
      </c>
      <c r="P60" s="7"/>
      <c r="Q60" s="7">
        <v>472461</v>
      </c>
      <c r="R60" s="7"/>
      <c r="S60" s="7">
        <v>16319</v>
      </c>
      <c r="T60" s="7"/>
      <c r="U60" s="7">
        <v>67147</v>
      </c>
      <c r="V60" s="7"/>
      <c r="W60" s="7">
        <v>0</v>
      </c>
      <c r="X60" s="7"/>
      <c r="Y60" s="7">
        <v>0</v>
      </c>
      <c r="Z60" s="7"/>
      <c r="AA60" s="7">
        <f t="shared" si="0"/>
        <v>3159688</v>
      </c>
      <c r="AB60" s="7"/>
      <c r="AC60" s="7">
        <f t="shared" si="1"/>
        <v>5067949</v>
      </c>
    </row>
    <row r="61" spans="1:29" ht="12.75" customHeight="1" x14ac:dyDescent="0.2">
      <c r="A61" s="10" t="s">
        <v>76</v>
      </c>
      <c r="C61" s="10" t="s">
        <v>17</v>
      </c>
      <c r="E61" s="7">
        <v>1062500</v>
      </c>
      <c r="F61" s="7"/>
      <c r="G61" s="7">
        <v>803699</v>
      </c>
      <c r="H61" s="7"/>
      <c r="I61" s="7">
        <v>615084</v>
      </c>
      <c r="J61" s="7"/>
      <c r="K61" s="7">
        <f>303604+94984+589108</f>
        <v>987696</v>
      </c>
      <c r="L61" s="7"/>
      <c r="M61" s="7">
        <f>2243409+303620+506860+53766</f>
        <v>3107655</v>
      </c>
      <c r="N61" s="7"/>
      <c r="O61" s="7">
        <f>20477+145880</f>
        <v>166357</v>
      </c>
      <c r="P61" s="7"/>
      <c r="Q61" s="7">
        <v>480529</v>
      </c>
      <c r="R61" s="7"/>
      <c r="S61" s="7">
        <v>3716</v>
      </c>
      <c r="T61" s="7"/>
      <c r="U61" s="7">
        <f>22173+77092</f>
        <v>99265</v>
      </c>
      <c r="V61" s="7"/>
      <c r="W61" s="7">
        <v>-280134</v>
      </c>
      <c r="X61" s="7"/>
      <c r="Y61" s="7">
        <v>0</v>
      </c>
      <c r="Z61" s="7"/>
      <c r="AA61" s="7">
        <f t="shared" si="0"/>
        <v>4565084</v>
      </c>
      <c r="AB61" s="7"/>
      <c r="AC61" s="7">
        <f t="shared" si="1"/>
        <v>7046367</v>
      </c>
    </row>
    <row r="62" spans="1:29" ht="12.75" customHeight="1" x14ac:dyDescent="0.2">
      <c r="A62" s="10" t="s">
        <v>77</v>
      </c>
      <c r="C62" s="10" t="s">
        <v>78</v>
      </c>
      <c r="E62" s="7">
        <v>445199</v>
      </c>
      <c r="F62" s="7"/>
      <c r="G62" s="7">
        <v>773102</v>
      </c>
      <c r="H62" s="7"/>
      <c r="I62" s="7">
        <v>723017</v>
      </c>
      <c r="J62" s="7"/>
      <c r="K62" s="7">
        <f>471032+813532+765189</f>
        <v>2049753</v>
      </c>
      <c r="L62" s="7"/>
      <c r="M62" s="7">
        <v>0</v>
      </c>
      <c r="N62" s="7"/>
      <c r="O62" s="7">
        <v>0</v>
      </c>
      <c r="P62" s="7"/>
      <c r="Q62" s="7">
        <v>305508</v>
      </c>
      <c r="R62" s="7"/>
      <c r="S62" s="7">
        <v>8913</v>
      </c>
      <c r="T62" s="7"/>
      <c r="U62" s="7">
        <f>999+21468</f>
        <v>22467</v>
      </c>
      <c r="V62" s="7"/>
      <c r="W62" s="7">
        <v>0</v>
      </c>
      <c r="X62" s="7"/>
      <c r="Y62" s="7">
        <v>0</v>
      </c>
      <c r="Z62" s="7"/>
      <c r="AA62" s="7">
        <f t="shared" si="0"/>
        <v>2386641</v>
      </c>
      <c r="AB62" s="7"/>
      <c r="AC62" s="7">
        <f t="shared" si="1"/>
        <v>4327959</v>
      </c>
    </row>
    <row r="63" spans="1:29" ht="12.75" customHeight="1" x14ac:dyDescent="0.2">
      <c r="A63" s="10" t="s">
        <v>79</v>
      </c>
      <c r="C63" s="10" t="s">
        <v>79</v>
      </c>
      <c r="E63" s="7">
        <v>1457513</v>
      </c>
      <c r="F63" s="7"/>
      <c r="G63" s="7">
        <v>841723</v>
      </c>
      <c r="H63" s="7"/>
      <c r="I63" s="7">
        <v>0</v>
      </c>
      <c r="J63" s="7"/>
      <c r="K63" s="7">
        <f>387853+51265</f>
        <v>439118</v>
      </c>
      <c r="L63" s="7"/>
      <c r="M63" s="7">
        <f>2163110+1030022+41218+391891+14246+480733</f>
        <v>4121220</v>
      </c>
      <c r="N63" s="7"/>
      <c r="O63" s="7">
        <f>37772+125138+13916+70824</f>
        <v>247650</v>
      </c>
      <c r="P63" s="7"/>
      <c r="Q63" s="7">
        <v>830047</v>
      </c>
      <c r="R63" s="7"/>
      <c r="S63" s="7">
        <v>9151</v>
      </c>
      <c r="T63" s="7"/>
      <c r="U63" s="7">
        <v>29275</v>
      </c>
      <c r="V63" s="7"/>
      <c r="W63" s="7">
        <v>0</v>
      </c>
      <c r="X63" s="7"/>
      <c r="Y63" s="7">
        <v>0</v>
      </c>
      <c r="Z63" s="7"/>
      <c r="AA63" s="7">
        <f t="shared" si="0"/>
        <v>5676461</v>
      </c>
      <c r="AB63" s="7"/>
      <c r="AC63" s="7">
        <f t="shared" si="1"/>
        <v>7975697</v>
      </c>
    </row>
    <row r="64" spans="1:29" ht="12.75" hidden="1" customHeight="1" x14ac:dyDescent="0.2">
      <c r="A64" s="10" t="s">
        <v>461</v>
      </c>
      <c r="C64" s="10" t="s">
        <v>55</v>
      </c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>
        <f t="shared" si="0"/>
        <v>0</v>
      </c>
      <c r="AB64" s="7"/>
      <c r="AC64" s="7">
        <f t="shared" si="1"/>
        <v>0</v>
      </c>
    </row>
    <row r="65" spans="1:32" ht="12.75" hidden="1" customHeight="1" x14ac:dyDescent="0.2">
      <c r="A65" s="10" t="s">
        <v>80</v>
      </c>
      <c r="C65" s="10" t="s">
        <v>11</v>
      </c>
      <c r="E65" s="7">
        <v>7053781</v>
      </c>
      <c r="F65" s="7"/>
      <c r="G65" s="7">
        <v>3581693</v>
      </c>
      <c r="H65" s="7"/>
      <c r="I65" s="7">
        <v>3026924</v>
      </c>
      <c r="J65" s="7"/>
      <c r="K65" s="7">
        <f>8908341+792443</f>
        <v>9700784</v>
      </c>
      <c r="L65" s="7"/>
      <c r="M65" s="7">
        <f>12631773+1612480+5911758</f>
        <v>20156011</v>
      </c>
      <c r="N65" s="7"/>
      <c r="O65" s="7">
        <v>0</v>
      </c>
      <c r="P65" s="7"/>
      <c r="Q65" s="7">
        <v>4885357</v>
      </c>
      <c r="R65" s="7"/>
      <c r="S65" s="7">
        <v>193201</v>
      </c>
      <c r="T65" s="7"/>
      <c r="U65" s="7">
        <v>48447</v>
      </c>
      <c r="V65" s="7"/>
      <c r="W65" s="7">
        <v>-2126746</v>
      </c>
      <c r="X65" s="7"/>
      <c r="Y65" s="7">
        <v>0</v>
      </c>
      <c r="Z65" s="7"/>
      <c r="AA65" s="7">
        <f t="shared" si="0"/>
        <v>32857054</v>
      </c>
      <c r="AB65" s="7"/>
      <c r="AC65" s="7">
        <f t="shared" si="1"/>
        <v>46519452</v>
      </c>
    </row>
    <row r="66" spans="1:32" ht="12.75" customHeight="1" x14ac:dyDescent="0.2">
      <c r="A66" s="10" t="s">
        <v>81</v>
      </c>
      <c r="C66" s="10" t="s">
        <v>64</v>
      </c>
      <c r="E66" s="7">
        <v>36678940</v>
      </c>
      <c r="F66" s="7"/>
      <c r="G66" s="7">
        <v>34438364</v>
      </c>
      <c r="H66" s="7"/>
      <c r="I66" s="7">
        <v>12626114</v>
      </c>
      <c r="J66" s="7"/>
      <c r="K66" s="7">
        <f>4639001+5416323</f>
        <v>10055324</v>
      </c>
      <c r="L66" s="7"/>
      <c r="M66" s="7">
        <v>100336653</v>
      </c>
      <c r="N66" s="7"/>
      <c r="O66" s="7">
        <v>1076054</v>
      </c>
      <c r="P66" s="7"/>
      <c r="Q66" s="7">
        <v>14833540</v>
      </c>
      <c r="R66" s="7"/>
      <c r="S66" s="7">
        <v>1931883</v>
      </c>
      <c r="T66" s="7"/>
      <c r="U66" s="7">
        <v>3848415</v>
      </c>
      <c r="V66" s="7"/>
      <c r="W66" s="7">
        <v>354169</v>
      </c>
      <c r="X66" s="7"/>
      <c r="Y66" s="7">
        <v>0</v>
      </c>
      <c r="Z66" s="7"/>
      <c r="AA66" s="7">
        <f t="shared" si="0"/>
        <v>132436038</v>
      </c>
      <c r="AB66" s="7"/>
      <c r="AC66" s="7">
        <f t="shared" si="1"/>
        <v>216179456</v>
      </c>
    </row>
    <row r="67" spans="1:32" ht="12.75" customHeight="1" x14ac:dyDescent="0.2">
      <c r="A67" s="10" t="s">
        <v>82</v>
      </c>
      <c r="C67" s="10" t="s">
        <v>43</v>
      </c>
      <c r="E67" s="7">
        <v>172298</v>
      </c>
      <c r="F67" s="7"/>
      <c r="G67" s="7">
        <v>15381</v>
      </c>
      <c r="H67" s="7"/>
      <c r="I67" s="7">
        <v>724760</v>
      </c>
      <c r="J67" s="7"/>
      <c r="K67" s="7">
        <f>924641+24686</f>
        <v>949327</v>
      </c>
      <c r="L67" s="7"/>
      <c r="M67" s="7">
        <v>1111918</v>
      </c>
      <c r="N67" s="7"/>
      <c r="O67" s="7">
        <v>0</v>
      </c>
      <c r="P67" s="7"/>
      <c r="Q67" s="7">
        <v>525673</v>
      </c>
      <c r="R67" s="7"/>
      <c r="S67" s="7">
        <v>3358</v>
      </c>
      <c r="T67" s="7"/>
      <c r="U67" s="7">
        <v>0</v>
      </c>
      <c r="V67" s="7"/>
      <c r="W67" s="7">
        <v>0</v>
      </c>
      <c r="X67" s="7"/>
      <c r="Y67" s="7">
        <v>0</v>
      </c>
      <c r="Z67" s="7"/>
      <c r="AA67" s="7">
        <f t="shared" si="0"/>
        <v>2590276</v>
      </c>
      <c r="AB67" s="7"/>
      <c r="AC67" s="7">
        <f t="shared" si="1"/>
        <v>3502715</v>
      </c>
    </row>
    <row r="68" spans="1:32" s="9" customFormat="1" ht="12.75" customHeight="1" x14ac:dyDescent="0.2">
      <c r="A68" s="10" t="s">
        <v>83</v>
      </c>
      <c r="B68" s="10"/>
      <c r="C68" s="10" t="s">
        <v>83</v>
      </c>
      <c r="D68" s="10"/>
      <c r="E68" s="7">
        <v>1748484</v>
      </c>
      <c r="F68" s="7"/>
      <c r="G68" s="7">
        <v>1752458</v>
      </c>
      <c r="H68" s="7"/>
      <c r="I68" s="7">
        <v>489168</v>
      </c>
      <c r="J68" s="7"/>
      <c r="K68" s="7">
        <f>523667+403551</f>
        <v>927218</v>
      </c>
      <c r="L68" s="7"/>
      <c r="M68" s="7">
        <f>5540859+23028+1381685</f>
        <v>6945572</v>
      </c>
      <c r="N68" s="7"/>
      <c r="O68" s="7">
        <v>66732</v>
      </c>
      <c r="P68" s="7"/>
      <c r="Q68" s="7">
        <v>768909</v>
      </c>
      <c r="R68" s="7"/>
      <c r="S68" s="7">
        <v>25118</v>
      </c>
      <c r="T68" s="7"/>
      <c r="U68" s="7">
        <v>201507</v>
      </c>
      <c r="V68" s="7"/>
      <c r="W68" s="7">
        <v>-346089</v>
      </c>
      <c r="X68" s="7"/>
      <c r="Y68" s="7">
        <v>0</v>
      </c>
      <c r="Z68" s="7"/>
      <c r="AA68" s="7">
        <f>SUM(K68:Y68)</f>
        <v>8588967</v>
      </c>
      <c r="AB68" s="7"/>
      <c r="AC68" s="7">
        <f t="shared" ref="AC68:AC86" si="8">SUM(E68:Y68)</f>
        <v>12579077</v>
      </c>
    </row>
    <row r="69" spans="1:32" ht="12.75" hidden="1" customHeight="1" x14ac:dyDescent="0.2">
      <c r="A69" s="10" t="s">
        <v>84</v>
      </c>
      <c r="C69" s="10" t="s">
        <v>84</v>
      </c>
      <c r="E69" s="7">
        <v>6321240</v>
      </c>
      <c r="F69" s="7"/>
      <c r="G69" s="7">
        <v>402615</v>
      </c>
      <c r="H69" s="7"/>
      <c r="I69" s="7">
        <v>3710470</v>
      </c>
      <c r="J69" s="7"/>
      <c r="K69" s="7">
        <f>1286633+399008</f>
        <v>1685641</v>
      </c>
      <c r="L69" s="7"/>
      <c r="M69" s="7">
        <f>10137638+6922042+1498426</f>
        <v>18558106</v>
      </c>
      <c r="N69" s="7"/>
      <c r="O69" s="7">
        <f>51455+669138</f>
        <v>720593</v>
      </c>
      <c r="P69" s="7"/>
      <c r="Q69" s="7">
        <v>2021199</v>
      </c>
      <c r="R69" s="7"/>
      <c r="S69" s="7">
        <v>173744</v>
      </c>
      <c r="T69" s="7"/>
      <c r="U69" s="7">
        <f>12345+317683+616648</f>
        <v>946676</v>
      </c>
      <c r="V69" s="7"/>
      <c r="W69" s="7">
        <v>-605175</v>
      </c>
      <c r="X69" s="7"/>
      <c r="Y69" s="7">
        <v>0</v>
      </c>
      <c r="Z69" s="7"/>
      <c r="AA69" s="7">
        <f>SUM(K69:Y69)</f>
        <v>23500784</v>
      </c>
      <c r="AB69" s="7"/>
      <c r="AC69" s="7">
        <f t="shared" si="8"/>
        <v>33935109</v>
      </c>
    </row>
    <row r="70" spans="1:32" ht="12.75" customHeight="1" x14ac:dyDescent="0.2">
      <c r="A70" s="9" t="s">
        <v>85</v>
      </c>
      <c r="B70" s="9"/>
      <c r="C70" s="9" t="s">
        <v>86</v>
      </c>
      <c r="D70" s="9"/>
      <c r="E70" s="7">
        <v>707938</v>
      </c>
      <c r="F70" s="7"/>
      <c r="G70" s="7">
        <v>362026</v>
      </c>
      <c r="H70" s="7"/>
      <c r="I70" s="7">
        <v>466408</v>
      </c>
      <c r="J70" s="7"/>
      <c r="K70" s="7">
        <f>357406+65639</f>
        <v>423045</v>
      </c>
      <c r="L70" s="7"/>
      <c r="M70" s="7">
        <f>1614903+795289</f>
        <v>2410192</v>
      </c>
      <c r="N70" s="7"/>
      <c r="O70" s="7">
        <v>0</v>
      </c>
      <c r="P70" s="7"/>
      <c r="Q70" s="7">
        <v>202002</v>
      </c>
      <c r="R70" s="7"/>
      <c r="S70" s="7">
        <v>8602</v>
      </c>
      <c r="T70" s="7"/>
      <c r="U70" s="7">
        <v>4616</v>
      </c>
      <c r="V70" s="7"/>
      <c r="W70" s="7">
        <v>-700000</v>
      </c>
      <c r="X70" s="7"/>
      <c r="Y70" s="7">
        <v>0</v>
      </c>
      <c r="Z70" s="7"/>
      <c r="AA70" s="7">
        <f>SUM(K70:Y70)</f>
        <v>2348457</v>
      </c>
      <c r="AB70" s="7"/>
      <c r="AC70" s="7">
        <f t="shared" si="8"/>
        <v>3884829</v>
      </c>
    </row>
    <row r="71" spans="1:32" ht="12.75" customHeight="1" x14ac:dyDescent="0.2">
      <c r="A71" s="10" t="s">
        <v>392</v>
      </c>
      <c r="C71" s="10" t="s">
        <v>87</v>
      </c>
      <c r="E71" s="7">
        <v>1369396</v>
      </c>
      <c r="F71" s="7"/>
      <c r="G71" s="7">
        <v>662201</v>
      </c>
      <c r="H71" s="7"/>
      <c r="I71" s="7">
        <v>421632</v>
      </c>
      <c r="J71" s="7"/>
      <c r="K71" s="7">
        <f>748044+135398</f>
        <v>883442</v>
      </c>
      <c r="L71" s="7"/>
      <c r="M71" s="7">
        <f>3377249+469110+316019+409554+1607109</f>
        <v>6179041</v>
      </c>
      <c r="N71" s="7"/>
      <c r="O71" s="7">
        <v>0</v>
      </c>
      <c r="P71" s="7"/>
      <c r="Q71" s="7">
        <v>1406047</v>
      </c>
      <c r="R71" s="7"/>
      <c r="S71" s="7">
        <v>29144</v>
      </c>
      <c r="T71" s="7"/>
      <c r="U71" s="7">
        <v>549004</v>
      </c>
      <c r="V71" s="7"/>
      <c r="W71" s="7">
        <v>0</v>
      </c>
      <c r="X71" s="7"/>
      <c r="Y71" s="7">
        <v>0</v>
      </c>
      <c r="Z71" s="7"/>
      <c r="AA71" s="7">
        <f t="shared" ref="AA71" si="9">SUM(K71:Y71)</f>
        <v>9046678</v>
      </c>
      <c r="AB71" s="7"/>
      <c r="AC71" s="7">
        <f t="shared" si="8"/>
        <v>11499907</v>
      </c>
      <c r="AD71" s="9"/>
      <c r="AE71" s="9"/>
      <c r="AF71" s="9"/>
    </row>
    <row r="72" spans="1:32" ht="12.75" customHeight="1" x14ac:dyDescent="0.2">
      <c r="A72" s="10" t="s">
        <v>88</v>
      </c>
      <c r="C72" s="10" t="s">
        <v>41</v>
      </c>
      <c r="E72" s="7">
        <v>10664831</v>
      </c>
      <c r="F72" s="7"/>
      <c r="G72" s="7">
        <v>3143495</v>
      </c>
      <c r="H72" s="7"/>
      <c r="I72" s="7">
        <v>4286512</v>
      </c>
      <c r="J72" s="7"/>
      <c r="K72" s="7">
        <f>2496834+625252+432906</f>
        <v>3554992</v>
      </c>
      <c r="L72" s="7"/>
      <c r="M72" s="7">
        <f>54437207+18708154</f>
        <v>73145361</v>
      </c>
      <c r="N72" s="7"/>
      <c r="O72" s="7">
        <f>1854486+712616</f>
        <v>2567102</v>
      </c>
      <c r="P72" s="7"/>
      <c r="Q72" s="7">
        <v>525709</v>
      </c>
      <c r="R72" s="7"/>
      <c r="S72" s="7">
        <v>916300</v>
      </c>
      <c r="T72" s="7"/>
      <c r="U72" s="7">
        <f>7276133+844060</f>
        <v>8120193</v>
      </c>
      <c r="V72" s="7"/>
      <c r="W72" s="7">
        <v>-854805</v>
      </c>
      <c r="X72" s="7"/>
      <c r="Y72" s="7">
        <v>0</v>
      </c>
      <c r="Z72" s="7"/>
      <c r="AA72" s="7">
        <f t="shared" ref="AA72:AA86" si="10">SUM(K72:Y72)</f>
        <v>87974852</v>
      </c>
      <c r="AB72" s="7"/>
      <c r="AC72" s="7">
        <f t="shared" si="8"/>
        <v>106069690</v>
      </c>
    </row>
    <row r="73" spans="1:32" ht="12.75" customHeight="1" x14ac:dyDescent="0.2">
      <c r="A73" s="10" t="s">
        <v>482</v>
      </c>
      <c r="C73" s="10" t="s">
        <v>25</v>
      </c>
      <c r="E73" s="7">
        <v>3908647</v>
      </c>
      <c r="F73" s="7"/>
      <c r="G73" s="7">
        <v>2904098</v>
      </c>
      <c r="H73" s="7"/>
      <c r="I73" s="7">
        <v>0</v>
      </c>
      <c r="J73" s="7"/>
      <c r="K73" s="7">
        <f>908155+291808+43637+43637</f>
        <v>1287237</v>
      </c>
      <c r="L73" s="7"/>
      <c r="M73" s="7">
        <v>8505212</v>
      </c>
      <c r="N73" s="7"/>
      <c r="O73" s="7">
        <v>4471</v>
      </c>
      <c r="P73" s="7"/>
      <c r="Q73" s="7">
        <v>2865325</v>
      </c>
      <c r="R73" s="7"/>
      <c r="S73" s="7">
        <v>552</v>
      </c>
      <c r="T73" s="7"/>
      <c r="U73" s="7">
        <f>7231+961942</f>
        <v>969173</v>
      </c>
      <c r="V73" s="7"/>
      <c r="W73" s="7">
        <v>-46970</v>
      </c>
      <c r="X73" s="7"/>
      <c r="Y73" s="7">
        <v>0</v>
      </c>
      <c r="Z73" s="7"/>
      <c r="AA73" s="7">
        <f t="shared" si="10"/>
        <v>13585000</v>
      </c>
      <c r="AB73" s="7"/>
      <c r="AC73" s="7">
        <f t="shared" si="8"/>
        <v>20397745</v>
      </c>
    </row>
    <row r="74" spans="1:32" ht="12.75" customHeight="1" x14ac:dyDescent="0.2">
      <c r="A74" s="7" t="s">
        <v>91</v>
      </c>
      <c r="C74" s="7" t="s">
        <v>92</v>
      </c>
      <c r="E74" s="7">
        <v>2002042</v>
      </c>
      <c r="F74" s="7"/>
      <c r="G74" s="7">
        <v>1474426</v>
      </c>
      <c r="H74" s="7"/>
      <c r="I74" s="7">
        <v>927650</v>
      </c>
      <c r="J74" s="7"/>
      <c r="K74" s="7">
        <f>118540+666533+51289+88316</f>
        <v>924678</v>
      </c>
      <c r="L74" s="7"/>
      <c r="M74" s="7">
        <f>3006993+243195</f>
        <v>3250188</v>
      </c>
      <c r="N74" s="7"/>
      <c r="O74" s="7">
        <v>37042</v>
      </c>
      <c r="P74" s="7"/>
      <c r="Q74" s="7">
        <v>207823</v>
      </c>
      <c r="R74" s="7"/>
      <c r="S74" s="7">
        <v>1133</v>
      </c>
      <c r="T74" s="7"/>
      <c r="U74" s="7">
        <v>89858</v>
      </c>
      <c r="V74" s="7"/>
      <c r="W74" s="7">
        <v>0</v>
      </c>
      <c r="X74" s="7"/>
      <c r="Y74" s="7">
        <v>1018000</v>
      </c>
      <c r="Z74" s="7"/>
      <c r="AA74" s="7">
        <f t="shared" si="10"/>
        <v>5528722</v>
      </c>
      <c r="AB74" s="7"/>
      <c r="AC74" s="7">
        <f t="shared" si="8"/>
        <v>9932840</v>
      </c>
    </row>
    <row r="75" spans="1:32" s="9" customFormat="1" ht="12.75" hidden="1" customHeight="1" x14ac:dyDescent="0.2">
      <c r="A75" s="9" t="s">
        <v>93</v>
      </c>
      <c r="C75" s="9" t="s">
        <v>92</v>
      </c>
      <c r="E75" s="7">
        <v>479503</v>
      </c>
      <c r="F75" s="7"/>
      <c r="G75" s="7">
        <v>326359</v>
      </c>
      <c r="H75" s="7"/>
      <c r="I75" s="7">
        <v>0</v>
      </c>
      <c r="J75" s="7"/>
      <c r="K75" s="7">
        <f>119675+364041</f>
        <v>483716</v>
      </c>
      <c r="L75" s="7"/>
      <c r="M75" s="7">
        <v>853290</v>
      </c>
      <c r="N75" s="7"/>
      <c r="O75" s="7">
        <v>440</v>
      </c>
      <c r="P75" s="7"/>
      <c r="Q75" s="7">
        <v>210187</v>
      </c>
      <c r="R75" s="7"/>
      <c r="S75" s="7">
        <v>1059</v>
      </c>
      <c r="T75" s="7"/>
      <c r="U75" s="7">
        <v>230476</v>
      </c>
      <c r="V75" s="7"/>
      <c r="W75" s="7">
        <v>0</v>
      </c>
      <c r="X75" s="7"/>
      <c r="Y75" s="7">
        <v>0</v>
      </c>
      <c r="Z75" s="7"/>
      <c r="AA75" s="7">
        <f t="shared" si="10"/>
        <v>1779168</v>
      </c>
      <c r="AB75" s="7"/>
      <c r="AC75" s="7">
        <f t="shared" si="8"/>
        <v>2585030</v>
      </c>
    </row>
    <row r="76" spans="1:32" ht="12.75" customHeight="1" x14ac:dyDescent="0.2">
      <c r="A76" s="10" t="s">
        <v>89</v>
      </c>
      <c r="C76" s="10" t="s">
        <v>90</v>
      </c>
      <c r="E76" s="7">
        <v>1835773</v>
      </c>
      <c r="F76" s="7"/>
      <c r="G76" s="7">
        <v>1225490</v>
      </c>
      <c r="H76" s="7"/>
      <c r="I76" s="7">
        <v>723244</v>
      </c>
      <c r="J76" s="7"/>
      <c r="K76" s="7">
        <f>1162547+169610+121151+121151+136252+717050</f>
        <v>2427761</v>
      </c>
      <c r="L76" s="7"/>
      <c r="M76" s="7">
        <v>6676922</v>
      </c>
      <c r="N76" s="7"/>
      <c r="O76" s="7">
        <f>254636+285961</f>
        <v>540597</v>
      </c>
      <c r="P76" s="7"/>
      <c r="Q76" s="7">
        <v>1420618</v>
      </c>
      <c r="R76" s="7"/>
      <c r="S76" s="7">
        <v>3553</v>
      </c>
      <c r="T76" s="7"/>
      <c r="U76" s="7">
        <f>20553+39704</f>
        <v>60257</v>
      </c>
      <c r="V76" s="7"/>
      <c r="W76" s="7">
        <v>0</v>
      </c>
      <c r="X76" s="7"/>
      <c r="Y76" s="7">
        <v>0</v>
      </c>
      <c r="Z76" s="7"/>
      <c r="AA76" s="7">
        <f t="shared" si="10"/>
        <v>11129708</v>
      </c>
      <c r="AB76" s="7"/>
      <c r="AC76" s="7">
        <f t="shared" si="8"/>
        <v>14914215</v>
      </c>
    </row>
    <row r="77" spans="1:32" ht="12.75" customHeight="1" x14ac:dyDescent="0.2">
      <c r="A77" s="10" t="s">
        <v>94</v>
      </c>
      <c r="C77" s="10" t="s">
        <v>95</v>
      </c>
      <c r="E77" s="7">
        <v>1858379</v>
      </c>
      <c r="F77" s="7"/>
      <c r="G77" s="7">
        <v>808383</v>
      </c>
      <c r="H77" s="7"/>
      <c r="I77" s="7">
        <v>0</v>
      </c>
      <c r="J77" s="7"/>
      <c r="K77" s="7">
        <f>502046+36467+53392</f>
        <v>591905</v>
      </c>
      <c r="L77" s="7"/>
      <c r="M77" s="7">
        <v>3481332</v>
      </c>
      <c r="N77" s="7"/>
      <c r="O77" s="7">
        <v>0</v>
      </c>
      <c r="P77" s="7"/>
      <c r="Q77" s="7">
        <v>668896</v>
      </c>
      <c r="R77" s="7"/>
      <c r="S77" s="7">
        <v>8565</v>
      </c>
      <c r="T77" s="7"/>
      <c r="U77" s="7">
        <v>148057</v>
      </c>
      <c r="V77" s="7"/>
      <c r="W77" s="7">
        <v>0</v>
      </c>
      <c r="X77" s="7"/>
      <c r="Y77" s="7">
        <v>0</v>
      </c>
      <c r="Z77" s="7"/>
      <c r="AA77" s="7">
        <f t="shared" si="10"/>
        <v>4898755</v>
      </c>
      <c r="AB77" s="7"/>
      <c r="AC77" s="7">
        <f t="shared" si="8"/>
        <v>7565517</v>
      </c>
    </row>
    <row r="78" spans="1:32" ht="12.75" customHeight="1" x14ac:dyDescent="0.2">
      <c r="A78" s="10" t="s">
        <v>96</v>
      </c>
      <c r="C78" s="10" t="s">
        <v>15</v>
      </c>
      <c r="E78" s="7">
        <v>3888591</v>
      </c>
      <c r="F78" s="7"/>
      <c r="G78" s="7">
        <v>3728136</v>
      </c>
      <c r="H78" s="7"/>
      <c r="I78" s="7">
        <v>3272732</v>
      </c>
      <c r="J78" s="7"/>
      <c r="K78" s="7">
        <v>3266785</v>
      </c>
      <c r="L78" s="7"/>
      <c r="M78" s="7">
        <v>23110209</v>
      </c>
      <c r="N78" s="7"/>
      <c r="O78" s="7">
        <f>2743643+759265</f>
        <v>3502908</v>
      </c>
      <c r="P78" s="7"/>
      <c r="Q78" s="7">
        <v>3994690</v>
      </c>
      <c r="R78" s="7"/>
      <c r="S78" s="7">
        <v>12115</v>
      </c>
      <c r="T78" s="7"/>
      <c r="U78" s="7">
        <f>224477+98881</f>
        <v>323358</v>
      </c>
      <c r="V78" s="7"/>
      <c r="W78" s="7">
        <v>0</v>
      </c>
      <c r="X78" s="7"/>
      <c r="Y78" s="7">
        <v>0</v>
      </c>
      <c r="Z78" s="7"/>
      <c r="AA78" s="7">
        <f t="shared" si="10"/>
        <v>34210065</v>
      </c>
      <c r="AB78" s="7"/>
      <c r="AC78" s="7">
        <f t="shared" si="8"/>
        <v>45099524</v>
      </c>
    </row>
    <row r="79" spans="1:32" ht="12.75" customHeight="1" x14ac:dyDescent="0.2">
      <c r="A79" s="10" t="s">
        <v>97</v>
      </c>
      <c r="C79" s="10" t="s">
        <v>64</v>
      </c>
      <c r="E79" s="7">
        <v>1747856</v>
      </c>
      <c r="F79" s="7"/>
      <c r="G79" s="7">
        <v>759248</v>
      </c>
      <c r="H79" s="7"/>
      <c r="I79" s="7">
        <v>36741</v>
      </c>
      <c r="J79" s="7"/>
      <c r="K79" s="7">
        <f>834072+459704+204340+66631</f>
        <v>1564747</v>
      </c>
      <c r="L79" s="7"/>
      <c r="M79" s="7">
        <v>6479047</v>
      </c>
      <c r="N79" s="7"/>
      <c r="O79" s="7">
        <v>396046</v>
      </c>
      <c r="P79" s="7"/>
      <c r="Q79" s="7">
        <v>783707</v>
      </c>
      <c r="R79" s="7"/>
      <c r="S79" s="7">
        <v>119601</v>
      </c>
      <c r="T79" s="7"/>
      <c r="U79" s="7">
        <v>64950</v>
      </c>
      <c r="V79" s="7"/>
      <c r="W79" s="7">
        <v>0</v>
      </c>
      <c r="X79" s="7"/>
      <c r="Y79" s="7">
        <v>0</v>
      </c>
      <c r="Z79" s="7"/>
      <c r="AA79" s="7">
        <f t="shared" si="10"/>
        <v>9408098</v>
      </c>
      <c r="AB79" s="7"/>
      <c r="AC79" s="7">
        <f t="shared" si="8"/>
        <v>11951943</v>
      </c>
    </row>
    <row r="80" spans="1:32" ht="12.75" customHeight="1" x14ac:dyDescent="0.2">
      <c r="A80" s="10" t="s">
        <v>98</v>
      </c>
      <c r="C80" s="10" t="s">
        <v>25</v>
      </c>
      <c r="E80" s="7">
        <v>10045950</v>
      </c>
      <c r="F80" s="7"/>
      <c r="G80" s="7">
        <v>3685591</v>
      </c>
      <c r="H80" s="7"/>
      <c r="I80" s="7">
        <v>738313</v>
      </c>
      <c r="J80" s="7"/>
      <c r="K80" s="7">
        <f>1421758+2162763+359670+275043</f>
        <v>4219234</v>
      </c>
      <c r="L80" s="7"/>
      <c r="M80" s="7">
        <v>21534585</v>
      </c>
      <c r="N80" s="7"/>
      <c r="O80" s="7">
        <f>679602+304822</f>
        <v>984424</v>
      </c>
      <c r="P80" s="7"/>
      <c r="Q80" s="7">
        <v>3061866</v>
      </c>
      <c r="R80" s="7"/>
      <c r="S80" s="7">
        <v>107136</v>
      </c>
      <c r="T80" s="7"/>
      <c r="U80" s="7">
        <f>-27427+983607</f>
        <v>956180</v>
      </c>
      <c r="V80" s="7"/>
      <c r="W80" s="7">
        <v>570000</v>
      </c>
      <c r="X80" s="7"/>
      <c r="Y80" s="7">
        <v>0</v>
      </c>
      <c r="Z80" s="7"/>
      <c r="AA80" s="7">
        <f t="shared" si="10"/>
        <v>31433425</v>
      </c>
      <c r="AB80" s="7"/>
      <c r="AC80" s="7">
        <f t="shared" si="8"/>
        <v>45903279</v>
      </c>
    </row>
    <row r="81" spans="1:29" ht="12.75" customHeight="1" x14ac:dyDescent="0.2">
      <c r="A81" s="10" t="s">
        <v>99</v>
      </c>
      <c r="C81" s="10" t="s">
        <v>28</v>
      </c>
      <c r="E81" s="7">
        <v>7643081</v>
      </c>
      <c r="F81" s="7"/>
      <c r="G81" s="7">
        <v>3313243</v>
      </c>
      <c r="H81" s="7"/>
      <c r="I81" s="7">
        <v>1178734</v>
      </c>
      <c r="J81" s="7"/>
      <c r="K81" s="7">
        <f>822926+2189418+2189418</f>
        <v>5201762</v>
      </c>
      <c r="L81" s="7"/>
      <c r="M81" s="7">
        <f>8125170+2030750+2030749</f>
        <v>12186669</v>
      </c>
      <c r="N81" s="7"/>
      <c r="O81" s="7">
        <f>841187+379278</f>
        <v>1220465</v>
      </c>
      <c r="P81" s="7"/>
      <c r="Q81" s="7">
        <v>1076446</v>
      </c>
      <c r="R81" s="7"/>
      <c r="S81" s="7">
        <v>63005</v>
      </c>
      <c r="T81" s="7"/>
      <c r="U81" s="7">
        <v>479167</v>
      </c>
      <c r="V81" s="7"/>
      <c r="W81" s="7">
        <v>0</v>
      </c>
      <c r="X81" s="7"/>
      <c r="Y81" s="7">
        <v>0</v>
      </c>
      <c r="Z81" s="7"/>
      <c r="AA81" s="7">
        <f t="shared" si="10"/>
        <v>20227514</v>
      </c>
      <c r="AB81" s="7"/>
      <c r="AC81" s="7">
        <f t="shared" si="8"/>
        <v>32362572</v>
      </c>
    </row>
    <row r="82" spans="1:29" ht="12.75" customHeight="1" x14ac:dyDescent="0.2">
      <c r="A82" s="10" t="s">
        <v>100</v>
      </c>
      <c r="C82" s="10" t="s">
        <v>101</v>
      </c>
      <c r="E82" s="7">
        <v>3845244</v>
      </c>
      <c r="F82" s="7"/>
      <c r="G82" s="7">
        <v>3338989</v>
      </c>
      <c r="H82" s="7"/>
      <c r="I82" s="7">
        <v>4363954</v>
      </c>
      <c r="J82" s="7"/>
      <c r="K82" s="7">
        <f>1385870+3551089</f>
        <v>4936959</v>
      </c>
      <c r="L82" s="7"/>
      <c r="M82" s="7">
        <v>23709192</v>
      </c>
      <c r="N82" s="7"/>
      <c r="O82" s="7">
        <v>0</v>
      </c>
      <c r="P82" s="7"/>
      <c r="Q82" s="7">
        <v>1725889</v>
      </c>
      <c r="R82" s="7"/>
      <c r="S82" s="7">
        <v>248143</v>
      </c>
      <c r="T82" s="7"/>
      <c r="U82" s="7">
        <v>851001</v>
      </c>
      <c r="V82" s="7"/>
      <c r="W82" s="7">
        <v>-150000</v>
      </c>
      <c r="X82" s="7"/>
      <c r="Y82" s="7">
        <v>0</v>
      </c>
      <c r="Z82" s="7"/>
      <c r="AA82" s="7">
        <f t="shared" si="10"/>
        <v>31321184</v>
      </c>
      <c r="AB82" s="7"/>
      <c r="AC82" s="7">
        <f t="shared" si="8"/>
        <v>42869371</v>
      </c>
    </row>
    <row r="83" spans="1:29" ht="12.75" customHeight="1" x14ac:dyDescent="0.2">
      <c r="A83" s="10" t="s">
        <v>102</v>
      </c>
      <c r="C83" s="10" t="s">
        <v>11</v>
      </c>
      <c r="E83" s="7">
        <v>1033478</v>
      </c>
      <c r="F83" s="7"/>
      <c r="G83" s="7">
        <v>331545</v>
      </c>
      <c r="H83" s="7"/>
      <c r="I83" s="7">
        <v>720988</v>
      </c>
      <c r="J83" s="7"/>
      <c r="K83" s="7">
        <f>833887+165037</f>
        <v>998924</v>
      </c>
      <c r="L83" s="7"/>
      <c r="M83" s="7">
        <f>7973374+2253971</f>
        <v>10227345</v>
      </c>
      <c r="N83" s="7"/>
      <c r="O83" s="7">
        <v>2823033</v>
      </c>
      <c r="P83" s="7"/>
      <c r="Q83" s="7">
        <v>1028872</v>
      </c>
      <c r="R83" s="7"/>
      <c r="S83" s="7">
        <v>29044</v>
      </c>
      <c r="T83" s="7"/>
      <c r="U83" s="7">
        <v>385146</v>
      </c>
      <c r="V83" s="7"/>
      <c r="W83" s="7">
        <v>0</v>
      </c>
      <c r="X83" s="7"/>
      <c r="Y83" s="7">
        <v>0</v>
      </c>
      <c r="Z83" s="7"/>
      <c r="AA83" s="7">
        <f t="shared" si="10"/>
        <v>15492364</v>
      </c>
      <c r="AB83" s="7"/>
      <c r="AC83" s="7">
        <f t="shared" si="8"/>
        <v>17578375</v>
      </c>
    </row>
    <row r="84" spans="1:29" ht="12.75" customHeight="1" x14ac:dyDescent="0.2">
      <c r="A84" s="10" t="s">
        <v>103</v>
      </c>
      <c r="C84" s="10" t="s">
        <v>25</v>
      </c>
      <c r="E84" s="7">
        <v>3507593</v>
      </c>
      <c r="F84" s="7"/>
      <c r="G84" s="7">
        <v>868634</v>
      </c>
      <c r="H84" s="7"/>
      <c r="I84" s="7">
        <v>56837</v>
      </c>
      <c r="J84" s="7"/>
      <c r="K84" s="7">
        <f>2569710+268385+308489+187029+249763</f>
        <v>3583376</v>
      </c>
      <c r="L84" s="7"/>
      <c r="M84" s="7">
        <f>5198639+1024375+2045643</f>
        <v>8268657</v>
      </c>
      <c r="N84" s="7"/>
      <c r="O84" s="7">
        <v>273415</v>
      </c>
      <c r="P84" s="7"/>
      <c r="Q84" s="7">
        <v>1242284</v>
      </c>
      <c r="R84" s="7"/>
      <c r="S84" s="7">
        <v>4588</v>
      </c>
      <c r="T84" s="7"/>
      <c r="U84" s="7">
        <v>419278</v>
      </c>
      <c r="V84" s="7"/>
      <c r="W84" s="7">
        <v>23519</v>
      </c>
      <c r="X84" s="7"/>
      <c r="Y84" s="7">
        <v>0</v>
      </c>
      <c r="Z84" s="7"/>
      <c r="AA84" s="7">
        <f t="shared" si="10"/>
        <v>13815117</v>
      </c>
      <c r="AB84" s="7"/>
      <c r="AC84" s="7">
        <f t="shared" si="8"/>
        <v>18248181</v>
      </c>
    </row>
    <row r="85" spans="1:29" ht="12.75" customHeight="1" x14ac:dyDescent="0.2">
      <c r="A85" s="10" t="s">
        <v>104</v>
      </c>
      <c r="C85" s="10" t="s">
        <v>105</v>
      </c>
      <c r="E85" s="7">
        <v>4532957</v>
      </c>
      <c r="F85" s="7"/>
      <c r="G85" s="7">
        <v>2932081</v>
      </c>
      <c r="H85" s="7"/>
      <c r="I85" s="7">
        <v>987606</v>
      </c>
      <c r="J85" s="7"/>
      <c r="K85" s="7">
        <f>2341451+431342</f>
        <v>2772793</v>
      </c>
      <c r="L85" s="7"/>
      <c r="M85" s="7">
        <v>21596551</v>
      </c>
      <c r="N85" s="7"/>
      <c r="O85" s="7">
        <v>71284</v>
      </c>
      <c r="P85" s="7"/>
      <c r="Q85" s="7">
        <v>2983700</v>
      </c>
      <c r="R85" s="7"/>
      <c r="S85" s="7">
        <v>24262</v>
      </c>
      <c r="T85" s="7"/>
      <c r="U85" s="7">
        <f>20690+1481603</f>
        <v>1502293</v>
      </c>
      <c r="V85" s="7"/>
      <c r="W85" s="7">
        <v>-482954</v>
      </c>
      <c r="X85" s="7"/>
      <c r="Y85" s="7">
        <v>0</v>
      </c>
      <c r="Z85" s="7"/>
      <c r="AA85" s="7">
        <f t="shared" si="10"/>
        <v>28467929</v>
      </c>
      <c r="AB85" s="7"/>
      <c r="AC85" s="7">
        <f t="shared" si="8"/>
        <v>36920573</v>
      </c>
    </row>
    <row r="86" spans="1:29" ht="12.75" customHeight="1" x14ac:dyDescent="0.2">
      <c r="A86" s="10" t="s">
        <v>106</v>
      </c>
      <c r="C86" s="10" t="s">
        <v>43</v>
      </c>
      <c r="E86" s="7">
        <v>2768692</v>
      </c>
      <c r="F86" s="7"/>
      <c r="G86" s="7">
        <v>1140458</v>
      </c>
      <c r="H86" s="7"/>
      <c r="I86" s="7">
        <v>323381</v>
      </c>
      <c r="J86" s="7"/>
      <c r="K86" s="7">
        <f>1570985+3599310</f>
        <v>5170295</v>
      </c>
      <c r="L86" s="7"/>
      <c r="M86" s="7">
        <v>7327007</v>
      </c>
      <c r="N86" s="7"/>
      <c r="O86" s="7">
        <v>1698293</v>
      </c>
      <c r="P86" s="7"/>
      <c r="Q86" s="7">
        <v>646364</v>
      </c>
      <c r="R86" s="7"/>
      <c r="S86" s="7">
        <v>103841</v>
      </c>
      <c r="T86" s="7"/>
      <c r="U86" s="7">
        <v>138262</v>
      </c>
      <c r="V86" s="7"/>
      <c r="W86" s="7">
        <v>0</v>
      </c>
      <c r="X86" s="7"/>
      <c r="Y86" s="7">
        <v>0</v>
      </c>
      <c r="Z86" s="7"/>
      <c r="AA86" s="7">
        <f t="shared" si="10"/>
        <v>15084062</v>
      </c>
      <c r="AB86" s="7"/>
      <c r="AC86" s="7">
        <f t="shared" si="8"/>
        <v>19316593</v>
      </c>
    </row>
    <row r="87" spans="1:29" ht="12.75" customHeight="1" x14ac:dyDescent="0.2">
      <c r="A87" s="10" t="s">
        <v>467</v>
      </c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11" t="s">
        <v>478</v>
      </c>
    </row>
    <row r="88" spans="1:29" ht="12.75" customHeight="1" x14ac:dyDescent="0.2">
      <c r="A88" s="74" t="s">
        <v>382</v>
      </c>
    </row>
    <row r="89" spans="1:29" ht="12.75" customHeight="1" x14ac:dyDescent="0.2">
      <c r="A89" s="74" t="s">
        <v>505</v>
      </c>
    </row>
    <row r="90" spans="1:29" ht="12.75" customHeight="1" x14ac:dyDescent="0.2">
      <c r="A90" s="74" t="s">
        <v>287</v>
      </c>
    </row>
    <row r="91" spans="1:29" ht="12.75" customHeight="1" x14ac:dyDescent="0.2">
      <c r="A91" s="74" t="s">
        <v>478</v>
      </c>
    </row>
    <row r="92" spans="1:29" ht="12.75" customHeight="1" x14ac:dyDescent="0.2">
      <c r="E92" s="84" t="s">
        <v>289</v>
      </c>
      <c r="F92" s="84"/>
      <c r="G92" s="84"/>
      <c r="H92" s="84"/>
      <c r="I92" s="84"/>
      <c r="K92" s="95" t="s">
        <v>466</v>
      </c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82"/>
      <c r="W92" s="2"/>
      <c r="X92" s="85"/>
      <c r="Y92" s="85"/>
      <c r="Z92" s="85"/>
      <c r="AA92" s="2" t="s">
        <v>422</v>
      </c>
      <c r="AC92" s="2" t="s">
        <v>423</v>
      </c>
    </row>
    <row r="93" spans="1:29" ht="12.75" customHeight="1" x14ac:dyDescent="0.2">
      <c r="G93" s="43" t="s">
        <v>397</v>
      </c>
      <c r="V93" s="4"/>
      <c r="W93" s="2"/>
      <c r="AA93" s="2" t="s">
        <v>441</v>
      </c>
      <c r="AC93" s="2" t="s">
        <v>441</v>
      </c>
    </row>
    <row r="94" spans="1:29" ht="12.75" customHeight="1" x14ac:dyDescent="0.2">
      <c r="A94" s="13"/>
      <c r="C94" s="13"/>
      <c r="D94" s="13"/>
      <c r="E94" s="43" t="s">
        <v>290</v>
      </c>
      <c r="F94" s="43"/>
      <c r="G94" s="43" t="s">
        <v>359</v>
      </c>
      <c r="H94" s="43"/>
      <c r="I94" s="43" t="s">
        <v>3</v>
      </c>
      <c r="K94" s="2" t="s">
        <v>291</v>
      </c>
      <c r="L94" s="2"/>
      <c r="M94" s="2" t="s">
        <v>301</v>
      </c>
      <c r="N94" s="2"/>
      <c r="O94" s="2" t="s">
        <v>302</v>
      </c>
      <c r="P94" s="2"/>
      <c r="Q94" s="2" t="s">
        <v>9</v>
      </c>
      <c r="R94" s="2"/>
      <c r="S94" s="43" t="s">
        <v>293</v>
      </c>
      <c r="T94" s="43"/>
      <c r="U94" s="43"/>
      <c r="V94" s="43"/>
      <c r="W94" s="43" t="s">
        <v>299</v>
      </c>
      <c r="X94" s="43"/>
      <c r="Y94" s="43" t="s">
        <v>326</v>
      </c>
      <c r="Z94" s="43"/>
      <c r="AA94" s="2" t="s">
        <v>442</v>
      </c>
      <c r="AB94" s="4"/>
      <c r="AC94" s="2" t="s">
        <v>442</v>
      </c>
    </row>
    <row r="95" spans="1:29" ht="12.75" customHeight="1" x14ac:dyDescent="0.2">
      <c r="A95" s="46" t="s">
        <v>6</v>
      </c>
      <c r="C95" s="46" t="s">
        <v>7</v>
      </c>
      <c r="D95" s="13"/>
      <c r="E95" s="89" t="s">
        <v>295</v>
      </c>
      <c r="F95" s="2"/>
      <c r="G95" s="89" t="s">
        <v>398</v>
      </c>
      <c r="H95" s="2"/>
      <c r="I95" s="89" t="s">
        <v>296</v>
      </c>
      <c r="K95" s="89" t="s">
        <v>421</v>
      </c>
      <c r="L95" s="2"/>
      <c r="M95" s="89" t="s">
        <v>297</v>
      </c>
      <c r="N95" s="2"/>
      <c r="O95" s="89" t="s">
        <v>297</v>
      </c>
      <c r="P95" s="2"/>
      <c r="Q95" s="89" t="s">
        <v>296</v>
      </c>
      <c r="R95" s="2"/>
      <c r="S95" s="89" t="s">
        <v>298</v>
      </c>
      <c r="T95" s="2"/>
      <c r="U95" s="89" t="s">
        <v>292</v>
      </c>
      <c r="V95" s="2"/>
      <c r="W95" s="89" t="s">
        <v>436</v>
      </c>
      <c r="X95" s="2"/>
      <c r="Y95" s="89" t="s">
        <v>440</v>
      </c>
      <c r="Z95" s="2"/>
      <c r="AA95" s="89" t="s">
        <v>443</v>
      </c>
      <c r="AB95" s="2"/>
      <c r="AC95" s="89" t="s">
        <v>443</v>
      </c>
    </row>
    <row r="96" spans="1:29" ht="12.75" customHeight="1" x14ac:dyDescent="0.2">
      <c r="A96" s="3"/>
      <c r="C96" s="3"/>
      <c r="D96" s="13"/>
      <c r="E96" s="2"/>
      <c r="F96" s="2"/>
      <c r="G96" s="2"/>
      <c r="H96" s="2"/>
      <c r="I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s="7" customFormat="1" ht="12.75" customHeight="1" x14ac:dyDescent="0.2">
      <c r="A97" s="7" t="s">
        <v>107</v>
      </c>
      <c r="C97" s="7" t="s">
        <v>108</v>
      </c>
      <c r="E97" s="9">
        <v>1011484</v>
      </c>
      <c r="F97" s="9"/>
      <c r="G97" s="9">
        <v>2289920</v>
      </c>
      <c r="H97" s="9"/>
      <c r="I97" s="9">
        <v>166654</v>
      </c>
      <c r="J97" s="9"/>
      <c r="K97" s="9">
        <f>514679+100688</f>
        <v>615367</v>
      </c>
      <c r="L97" s="9"/>
      <c r="M97" s="9">
        <v>4616108</v>
      </c>
      <c r="N97" s="9"/>
      <c r="O97" s="9">
        <v>0</v>
      </c>
      <c r="P97" s="9"/>
      <c r="Q97" s="9">
        <v>677591</v>
      </c>
      <c r="R97" s="9"/>
      <c r="S97" s="9">
        <v>19896</v>
      </c>
      <c r="T97" s="9"/>
      <c r="U97" s="9">
        <f>41226+184365</f>
        <v>225591</v>
      </c>
      <c r="V97" s="9"/>
      <c r="W97" s="9">
        <v>0</v>
      </c>
      <c r="X97" s="9"/>
      <c r="Y97" s="9">
        <v>0</v>
      </c>
      <c r="Z97" s="9"/>
      <c r="AA97" s="9">
        <f t="shared" ref="AA97:AA133" si="11">SUM(K97:Y97)</f>
        <v>6154553</v>
      </c>
      <c r="AB97" s="9"/>
      <c r="AC97" s="9">
        <f t="shared" ref="AC97:AC133" si="12">SUM(E97:Y97)</f>
        <v>9622611</v>
      </c>
    </row>
    <row r="98" spans="1:29" ht="12.75" customHeight="1" x14ac:dyDescent="0.2">
      <c r="A98" s="10" t="s">
        <v>41</v>
      </c>
      <c r="C98" s="10" t="s">
        <v>109</v>
      </c>
      <c r="E98" s="7">
        <v>1003691</v>
      </c>
      <c r="F98" s="7"/>
      <c r="G98" s="7">
        <v>848632</v>
      </c>
      <c r="H98" s="7"/>
      <c r="I98" s="7">
        <v>796103</v>
      </c>
      <c r="J98" s="7"/>
      <c r="K98" s="7">
        <f>402435+534509+154252</f>
        <v>1091196</v>
      </c>
      <c r="L98" s="7"/>
      <c r="M98" s="7">
        <v>9079755</v>
      </c>
      <c r="N98" s="7"/>
      <c r="O98" s="7">
        <f>185820+203459</f>
        <v>389279</v>
      </c>
      <c r="P98" s="7"/>
      <c r="Q98" s="7">
        <v>284897</v>
      </c>
      <c r="R98" s="7"/>
      <c r="S98" s="7">
        <v>56470</v>
      </c>
      <c r="T98" s="7"/>
      <c r="U98" s="7">
        <v>159958</v>
      </c>
      <c r="V98" s="7"/>
      <c r="W98" s="7">
        <v>396256</v>
      </c>
      <c r="X98" s="7"/>
      <c r="Y98" s="7">
        <v>0</v>
      </c>
      <c r="Z98" s="7"/>
      <c r="AA98" s="7">
        <f t="shared" si="11"/>
        <v>11457811</v>
      </c>
      <c r="AB98" s="7"/>
      <c r="AC98" s="7">
        <f t="shared" si="12"/>
        <v>14106237</v>
      </c>
    </row>
    <row r="99" spans="1:29" ht="12.75" customHeight="1" x14ac:dyDescent="0.2">
      <c r="A99" s="10" t="s">
        <v>110</v>
      </c>
      <c r="C99" s="10" t="s">
        <v>74</v>
      </c>
      <c r="E99" s="7">
        <v>1046665</v>
      </c>
      <c r="F99" s="7"/>
      <c r="G99" s="7">
        <v>1517925</v>
      </c>
      <c r="H99" s="7"/>
      <c r="I99" s="7">
        <v>439848</v>
      </c>
      <c r="J99" s="7"/>
      <c r="K99" s="7">
        <f>788253+80532+80532</f>
        <v>949317</v>
      </c>
      <c r="L99" s="7"/>
      <c r="M99" s="7">
        <v>7385935</v>
      </c>
      <c r="N99" s="7"/>
      <c r="O99" s="7">
        <v>0</v>
      </c>
      <c r="P99" s="7"/>
      <c r="Q99" s="7">
        <v>820319</v>
      </c>
      <c r="R99" s="7"/>
      <c r="S99" s="7">
        <v>20389</v>
      </c>
      <c r="T99" s="7"/>
      <c r="U99" s="7">
        <v>360984</v>
      </c>
      <c r="V99" s="7"/>
      <c r="W99" s="7">
        <v>-79371</v>
      </c>
      <c r="X99" s="7"/>
      <c r="Y99" s="7">
        <v>0</v>
      </c>
      <c r="Z99" s="7"/>
      <c r="AA99" s="7">
        <f t="shared" si="11"/>
        <v>9457573</v>
      </c>
      <c r="AB99" s="7"/>
      <c r="AC99" s="7">
        <f t="shared" si="12"/>
        <v>12462011</v>
      </c>
    </row>
    <row r="100" spans="1:29" ht="12.75" hidden="1" customHeight="1" x14ac:dyDescent="0.2">
      <c r="A100" s="10" t="s">
        <v>111</v>
      </c>
      <c r="C100" s="10" t="s">
        <v>41</v>
      </c>
      <c r="E100" s="7">
        <v>4529515</v>
      </c>
      <c r="F100" s="7"/>
      <c r="G100" s="7">
        <v>1748552</v>
      </c>
      <c r="H100" s="7"/>
      <c r="I100" s="7">
        <v>3012432</v>
      </c>
      <c r="J100" s="7"/>
      <c r="K100" s="7">
        <f>1532042+260652+260359</f>
        <v>2053053</v>
      </c>
      <c r="L100" s="7"/>
      <c r="M100" s="7">
        <v>14415698</v>
      </c>
      <c r="N100" s="7"/>
      <c r="O100" s="7">
        <f>1002203+421791</f>
        <v>1423994</v>
      </c>
      <c r="P100" s="7"/>
      <c r="Q100" s="7">
        <v>1991744</v>
      </c>
      <c r="R100" s="7"/>
      <c r="S100" s="7">
        <v>653169</v>
      </c>
      <c r="T100" s="7"/>
      <c r="U100" s="7">
        <f>178767+540512</f>
        <v>719279</v>
      </c>
      <c r="V100" s="7"/>
      <c r="W100" s="7">
        <v>-20000</v>
      </c>
      <c r="X100" s="7"/>
      <c r="Y100" s="7">
        <v>0</v>
      </c>
      <c r="Z100" s="7"/>
      <c r="AA100" s="7">
        <f t="shared" si="11"/>
        <v>21236937</v>
      </c>
      <c r="AB100" s="7"/>
      <c r="AC100" s="7">
        <f t="shared" si="12"/>
        <v>30527436</v>
      </c>
    </row>
    <row r="101" spans="1:29" ht="12.75" customHeight="1" x14ac:dyDescent="0.2">
      <c r="A101" s="10" t="s">
        <v>483</v>
      </c>
      <c r="C101" s="10" t="s">
        <v>55</v>
      </c>
      <c r="E101" s="7">
        <v>1461914</v>
      </c>
      <c r="F101" s="7"/>
      <c r="G101" s="7">
        <v>736835</v>
      </c>
      <c r="H101" s="7"/>
      <c r="I101" s="7">
        <v>193998</v>
      </c>
      <c r="J101" s="7"/>
      <c r="K101" s="7">
        <f>358261+65234</f>
        <v>423495</v>
      </c>
      <c r="L101" s="7"/>
      <c r="M101" s="7">
        <f>2000730+1777718+223014</f>
        <v>4001462</v>
      </c>
      <c r="N101" s="7"/>
      <c r="O101" s="7">
        <f>469946+128956</f>
        <v>598902</v>
      </c>
      <c r="P101" s="7"/>
      <c r="Q101" s="7">
        <v>542428</v>
      </c>
      <c r="R101" s="7"/>
      <c r="S101" s="7">
        <v>24369</v>
      </c>
      <c r="T101" s="7"/>
      <c r="U101" s="7">
        <v>620049</v>
      </c>
      <c r="V101" s="7"/>
      <c r="W101" s="7">
        <v>61684</v>
      </c>
      <c r="X101" s="7"/>
      <c r="Y101" s="7">
        <v>0</v>
      </c>
      <c r="Z101" s="7"/>
      <c r="AA101" s="7">
        <f t="shared" si="11"/>
        <v>6272389</v>
      </c>
      <c r="AB101" s="7"/>
      <c r="AC101" s="7">
        <f t="shared" si="12"/>
        <v>8665136</v>
      </c>
    </row>
    <row r="102" spans="1:29" ht="12.75" customHeight="1" x14ac:dyDescent="0.2">
      <c r="A102" s="10" t="s">
        <v>112</v>
      </c>
      <c r="C102" s="10" t="s">
        <v>25</v>
      </c>
      <c r="E102" s="7">
        <v>6241269</v>
      </c>
      <c r="F102" s="7"/>
      <c r="G102" s="7">
        <v>1337427</v>
      </c>
      <c r="H102" s="7"/>
      <c r="I102" s="7">
        <v>411690</v>
      </c>
      <c r="J102" s="7"/>
      <c r="K102" s="7">
        <f>7199380+416289+108596+108596+1317642+947349</f>
        <v>10097852</v>
      </c>
      <c r="L102" s="7"/>
      <c r="M102" s="7">
        <f>8486660+43276+733289+628633</f>
        <v>9891858</v>
      </c>
      <c r="N102" s="7"/>
      <c r="O102" s="7">
        <f>329010+315167</f>
        <v>644177</v>
      </c>
      <c r="P102" s="7"/>
      <c r="Q102" s="7">
        <v>2845958</v>
      </c>
      <c r="R102" s="7"/>
      <c r="S102" s="7">
        <v>5923</v>
      </c>
      <c r="T102" s="7"/>
      <c r="U102" s="7">
        <v>2440492</v>
      </c>
      <c r="V102" s="7"/>
      <c r="W102" s="7">
        <v>0</v>
      </c>
      <c r="X102" s="7"/>
      <c r="Y102" s="7">
        <v>0</v>
      </c>
      <c r="Z102" s="7"/>
      <c r="AA102" s="7">
        <f t="shared" si="11"/>
        <v>25926260</v>
      </c>
      <c r="AB102" s="7"/>
      <c r="AC102" s="7">
        <f t="shared" si="12"/>
        <v>33916646</v>
      </c>
    </row>
    <row r="103" spans="1:29" ht="12.75" customHeight="1" x14ac:dyDescent="0.2">
      <c r="A103" s="10" t="s">
        <v>113</v>
      </c>
      <c r="C103" s="10" t="s">
        <v>17</v>
      </c>
      <c r="E103" s="7">
        <v>669667</v>
      </c>
      <c r="F103" s="7"/>
      <c r="G103" s="7">
        <v>602904</v>
      </c>
      <c r="H103" s="7"/>
      <c r="I103" s="7">
        <v>231041</v>
      </c>
      <c r="J103" s="7"/>
      <c r="K103" s="7">
        <f>305013+168595</f>
        <v>473608</v>
      </c>
      <c r="L103" s="7"/>
      <c r="M103" s="7">
        <v>2637450</v>
      </c>
      <c r="N103" s="7"/>
      <c r="O103" s="7">
        <v>69806</v>
      </c>
      <c r="P103" s="7"/>
      <c r="Q103" s="7">
        <v>419140</v>
      </c>
      <c r="R103" s="7"/>
      <c r="S103" s="7">
        <v>7893</v>
      </c>
      <c r="T103" s="7"/>
      <c r="U103" s="7">
        <v>128454</v>
      </c>
      <c r="V103" s="7"/>
      <c r="W103" s="7">
        <v>-74296</v>
      </c>
      <c r="X103" s="7"/>
      <c r="Y103" s="7">
        <v>0</v>
      </c>
      <c r="Z103" s="7"/>
      <c r="AA103" s="7">
        <f t="shared" si="11"/>
        <v>3662055</v>
      </c>
      <c r="AB103" s="7"/>
      <c r="AC103" s="7">
        <f t="shared" si="12"/>
        <v>5165667</v>
      </c>
    </row>
    <row r="104" spans="1:29" ht="12.75" customHeight="1" x14ac:dyDescent="0.2">
      <c r="A104" s="10" t="s">
        <v>114</v>
      </c>
      <c r="C104" s="10" t="s">
        <v>78</v>
      </c>
      <c r="E104" s="7">
        <v>1289367</v>
      </c>
      <c r="F104" s="7"/>
      <c r="G104" s="7">
        <v>2456997</v>
      </c>
      <c r="H104" s="7"/>
      <c r="I104" s="7">
        <v>78577</v>
      </c>
      <c r="J104" s="7"/>
      <c r="K104" s="7">
        <f>214868+367869+305547+30167+18906+168739</f>
        <v>1106096</v>
      </c>
      <c r="L104" s="7"/>
      <c r="M104" s="7">
        <f>3764104+704631+95300</f>
        <v>4564035</v>
      </c>
      <c r="N104" s="7"/>
      <c r="O104" s="7">
        <v>0</v>
      </c>
      <c r="P104" s="7"/>
      <c r="Q104" s="7">
        <v>200921</v>
      </c>
      <c r="R104" s="7"/>
      <c r="S104" s="7">
        <v>469</v>
      </c>
      <c r="T104" s="7"/>
      <c r="U104" s="7">
        <f>91817+15230</f>
        <v>107047</v>
      </c>
      <c r="V104" s="7"/>
      <c r="W104" s="7">
        <v>0</v>
      </c>
      <c r="X104" s="7"/>
      <c r="Y104" s="7">
        <v>0</v>
      </c>
      <c r="Z104" s="7"/>
      <c r="AA104" s="7">
        <f t="shared" si="11"/>
        <v>5978568</v>
      </c>
      <c r="AB104" s="7"/>
      <c r="AC104" s="7">
        <f t="shared" si="12"/>
        <v>9803509</v>
      </c>
    </row>
    <row r="105" spans="1:29" ht="12.75" customHeight="1" x14ac:dyDescent="0.2">
      <c r="A105" s="10" t="s">
        <v>115</v>
      </c>
      <c r="C105" s="10" t="s">
        <v>41</v>
      </c>
      <c r="E105" s="7">
        <v>1598739</v>
      </c>
      <c r="F105" s="7"/>
      <c r="G105" s="7">
        <v>414372</v>
      </c>
      <c r="H105" s="7"/>
      <c r="I105" s="7">
        <v>1916238</v>
      </c>
      <c r="J105" s="7"/>
      <c r="K105" s="7">
        <f>1376226+126450+237143</f>
        <v>1739819</v>
      </c>
      <c r="L105" s="7"/>
      <c r="M105" s="7">
        <f>6994594+367041</f>
        <v>7361635</v>
      </c>
      <c r="N105" s="7"/>
      <c r="O105" s="7">
        <v>413790</v>
      </c>
      <c r="P105" s="7"/>
      <c r="Q105" s="7">
        <v>515848</v>
      </c>
      <c r="R105" s="7"/>
      <c r="S105" s="7">
        <v>120486</v>
      </c>
      <c r="T105" s="7"/>
      <c r="U105" s="7">
        <f>14528+89274</f>
        <v>103802</v>
      </c>
      <c r="V105" s="7"/>
      <c r="W105" s="7">
        <v>0</v>
      </c>
      <c r="X105" s="7"/>
      <c r="Y105" s="7">
        <v>0</v>
      </c>
      <c r="Z105" s="7"/>
      <c r="AA105" s="7">
        <f t="shared" si="11"/>
        <v>10255380</v>
      </c>
      <c r="AB105" s="7"/>
      <c r="AC105" s="7">
        <f t="shared" si="12"/>
        <v>14184729</v>
      </c>
    </row>
    <row r="106" spans="1:29" ht="12.75" customHeight="1" x14ac:dyDescent="0.2">
      <c r="A106" s="10" t="s">
        <v>116</v>
      </c>
      <c r="C106" s="10" t="s">
        <v>11</v>
      </c>
      <c r="E106" s="7">
        <v>1590014</v>
      </c>
      <c r="F106" s="7"/>
      <c r="G106" s="7">
        <v>2052982</v>
      </c>
      <c r="H106" s="7"/>
      <c r="I106" s="7">
        <v>1752489</v>
      </c>
      <c r="J106" s="7"/>
      <c r="K106" s="7">
        <f>1245770+107103</f>
        <v>1352873</v>
      </c>
      <c r="L106" s="7"/>
      <c r="M106" s="7">
        <f>17808651+1316905</f>
        <v>19125556</v>
      </c>
      <c r="N106" s="7"/>
      <c r="O106" s="7">
        <f>481020+1239598</f>
        <v>1720618</v>
      </c>
      <c r="P106" s="7"/>
      <c r="Q106" s="7">
        <v>1113888</v>
      </c>
      <c r="R106" s="7"/>
      <c r="S106" s="7">
        <v>400454</v>
      </c>
      <c r="T106" s="7"/>
      <c r="U106" s="7">
        <v>287613</v>
      </c>
      <c r="V106" s="7"/>
      <c r="W106" s="7">
        <v>0</v>
      </c>
      <c r="X106" s="7"/>
      <c r="Y106" s="7">
        <v>0</v>
      </c>
      <c r="Z106" s="7"/>
      <c r="AA106" s="7">
        <f t="shared" si="11"/>
        <v>24001002</v>
      </c>
      <c r="AB106" s="7"/>
      <c r="AC106" s="7">
        <f t="shared" si="12"/>
        <v>29396487</v>
      </c>
    </row>
    <row r="107" spans="1:29" ht="12.75" customHeight="1" x14ac:dyDescent="0.2">
      <c r="A107" s="10" t="s">
        <v>118</v>
      </c>
      <c r="C107" s="10" t="s">
        <v>119</v>
      </c>
      <c r="E107" s="7">
        <v>412931</v>
      </c>
      <c r="F107" s="7"/>
      <c r="G107" s="7">
        <v>1418074</v>
      </c>
      <c r="H107" s="7"/>
      <c r="I107" s="7">
        <v>556733</v>
      </c>
      <c r="J107" s="7"/>
      <c r="K107" s="7">
        <f>977699+120932</f>
        <v>1098631</v>
      </c>
      <c r="L107" s="7"/>
      <c r="M107" s="7">
        <v>6203534</v>
      </c>
      <c r="N107" s="7"/>
      <c r="O107" s="7">
        <v>237039</v>
      </c>
      <c r="P107" s="7"/>
      <c r="Q107" s="7">
        <v>753544</v>
      </c>
      <c r="R107" s="7"/>
      <c r="S107" s="7">
        <v>3701</v>
      </c>
      <c r="T107" s="7"/>
      <c r="U107" s="7">
        <v>163063</v>
      </c>
      <c r="V107" s="7"/>
      <c r="W107" s="7">
        <v>-49657</v>
      </c>
      <c r="X107" s="7"/>
      <c r="Y107" s="7">
        <v>0</v>
      </c>
      <c r="Z107" s="7"/>
      <c r="AA107" s="7">
        <f t="shared" si="11"/>
        <v>8409855</v>
      </c>
      <c r="AB107" s="7"/>
      <c r="AC107" s="7">
        <f t="shared" si="12"/>
        <v>10797593</v>
      </c>
    </row>
    <row r="108" spans="1:29" ht="12.75" customHeight="1" x14ac:dyDescent="0.2">
      <c r="A108" s="10" t="s">
        <v>120</v>
      </c>
      <c r="C108" s="10" t="s">
        <v>41</v>
      </c>
      <c r="E108" s="7">
        <v>3336152</v>
      </c>
      <c r="F108" s="7"/>
      <c r="G108" s="7">
        <v>2079841</v>
      </c>
      <c r="H108" s="7"/>
      <c r="I108" s="7">
        <v>5552767</v>
      </c>
      <c r="J108" s="7"/>
      <c r="K108" s="7">
        <f>844540+818161+912171</f>
        <v>2574872</v>
      </c>
      <c r="L108" s="7"/>
      <c r="M108" s="7">
        <v>19940544</v>
      </c>
      <c r="N108" s="7"/>
      <c r="O108" s="7">
        <f>3699084+810105</f>
        <v>4509189</v>
      </c>
      <c r="P108" s="7"/>
      <c r="Q108" s="7">
        <v>1272509</v>
      </c>
      <c r="R108" s="7"/>
      <c r="S108" s="7">
        <v>612050</v>
      </c>
      <c r="T108" s="7"/>
      <c r="U108" s="7">
        <v>852688</v>
      </c>
      <c r="V108" s="7"/>
      <c r="W108" s="7">
        <v>106662</v>
      </c>
      <c r="X108" s="7"/>
      <c r="Y108" s="7">
        <v>0</v>
      </c>
      <c r="Z108" s="7"/>
      <c r="AA108" s="7">
        <f t="shared" si="11"/>
        <v>29868514</v>
      </c>
      <c r="AB108" s="7"/>
      <c r="AC108" s="7">
        <f t="shared" si="12"/>
        <v>40837274</v>
      </c>
    </row>
    <row r="109" spans="1:29" ht="12.75" customHeight="1" x14ac:dyDescent="0.2">
      <c r="A109" s="6" t="s">
        <v>494</v>
      </c>
      <c r="B109" s="14"/>
      <c r="C109" s="6" t="s">
        <v>41</v>
      </c>
      <c r="E109" s="7">
        <v>2633499</v>
      </c>
      <c r="F109" s="7"/>
      <c r="G109" s="7">
        <v>665463</v>
      </c>
      <c r="H109" s="7"/>
      <c r="I109" s="7">
        <v>0</v>
      </c>
      <c r="J109" s="7"/>
      <c r="K109" s="7">
        <v>275885</v>
      </c>
      <c r="L109" s="7"/>
      <c r="M109" s="7">
        <f>7479504+1843347</f>
        <v>9322851</v>
      </c>
      <c r="N109" s="7"/>
      <c r="O109" s="7">
        <v>47887</v>
      </c>
      <c r="P109" s="7"/>
      <c r="Q109" s="7">
        <v>297392</v>
      </c>
      <c r="R109" s="7"/>
      <c r="S109" s="7">
        <v>53498</v>
      </c>
      <c r="T109" s="7"/>
      <c r="U109" s="7">
        <v>531232</v>
      </c>
      <c r="V109" s="7"/>
      <c r="W109" s="7">
        <v>-372000</v>
      </c>
      <c r="X109" s="7"/>
      <c r="Y109" s="7">
        <v>0</v>
      </c>
      <c r="Z109" s="7"/>
      <c r="AA109" s="7">
        <f t="shared" si="11"/>
        <v>10156745</v>
      </c>
      <c r="AB109" s="7"/>
      <c r="AC109" s="7">
        <f t="shared" si="12"/>
        <v>13455707</v>
      </c>
    </row>
    <row r="110" spans="1:29" ht="12.75" customHeight="1" x14ac:dyDescent="0.2">
      <c r="A110" s="10" t="s">
        <v>43</v>
      </c>
      <c r="C110" s="10" t="s">
        <v>101</v>
      </c>
      <c r="E110" s="7">
        <v>15556509</v>
      </c>
      <c r="F110" s="7"/>
      <c r="G110" s="7">
        <v>6402940</v>
      </c>
      <c r="H110" s="7"/>
      <c r="I110" s="7">
        <v>1138969</v>
      </c>
      <c r="J110" s="7"/>
      <c r="K110" s="7">
        <f>2317406+2454785+1071203</f>
        <v>5843394</v>
      </c>
      <c r="L110" s="7"/>
      <c r="M110" s="7">
        <v>21259474</v>
      </c>
      <c r="N110" s="7"/>
      <c r="O110" s="7">
        <v>3126261</v>
      </c>
      <c r="P110" s="7"/>
      <c r="Q110" s="7">
        <v>3112982</v>
      </c>
      <c r="R110" s="7"/>
      <c r="S110" s="7">
        <v>76967</v>
      </c>
      <c r="T110" s="7"/>
      <c r="U110" s="7">
        <v>913202</v>
      </c>
      <c r="V110" s="7"/>
      <c r="W110" s="7">
        <v>-278695</v>
      </c>
      <c r="X110" s="7"/>
      <c r="Y110" s="7">
        <v>0</v>
      </c>
      <c r="Z110" s="7"/>
      <c r="AA110" s="7">
        <f t="shared" si="11"/>
        <v>34053585</v>
      </c>
      <c r="AB110" s="7"/>
      <c r="AC110" s="7">
        <f t="shared" si="12"/>
        <v>57152003</v>
      </c>
    </row>
    <row r="111" spans="1:29" ht="12.75" customHeight="1" x14ac:dyDescent="0.2">
      <c r="A111" s="10" t="s">
        <v>121</v>
      </c>
      <c r="C111" s="10" t="s">
        <v>43</v>
      </c>
      <c r="E111" s="7">
        <v>1448922</v>
      </c>
      <c r="F111" s="7"/>
      <c r="G111" s="7">
        <v>706475</v>
      </c>
      <c r="H111" s="7"/>
      <c r="I111" s="7">
        <v>1313600</v>
      </c>
      <c r="J111" s="7"/>
      <c r="K111" s="7">
        <f>1133971+1141133+57978+19600+92683</f>
        <v>2445365</v>
      </c>
      <c r="L111" s="7"/>
      <c r="M111" s="7">
        <v>3212378</v>
      </c>
      <c r="N111" s="7"/>
      <c r="O111" s="7">
        <v>453214</v>
      </c>
      <c r="P111" s="7"/>
      <c r="Q111" s="7">
        <v>479451</v>
      </c>
      <c r="R111" s="7"/>
      <c r="S111" s="7">
        <v>28313</v>
      </c>
      <c r="T111" s="7"/>
      <c r="U111" s="7">
        <v>171181</v>
      </c>
      <c r="V111" s="7"/>
      <c r="W111" s="7">
        <v>28469</v>
      </c>
      <c r="X111" s="7"/>
      <c r="Y111" s="7">
        <v>0</v>
      </c>
      <c r="Z111" s="7"/>
      <c r="AA111" s="7">
        <f t="shared" si="11"/>
        <v>6818371</v>
      </c>
      <c r="AB111" s="7"/>
      <c r="AC111" s="7">
        <f t="shared" si="12"/>
        <v>10287368</v>
      </c>
    </row>
    <row r="112" spans="1:29" ht="12.75" customHeight="1" x14ac:dyDescent="0.2">
      <c r="A112" s="10" t="s">
        <v>122</v>
      </c>
      <c r="C112" s="10" t="s">
        <v>123</v>
      </c>
      <c r="E112" s="7">
        <v>1073136</v>
      </c>
      <c r="F112" s="7"/>
      <c r="G112" s="7">
        <v>618558</v>
      </c>
      <c r="H112" s="7"/>
      <c r="I112" s="7">
        <v>3563796</v>
      </c>
      <c r="J112" s="7"/>
      <c r="K112" s="7">
        <v>1160354</v>
      </c>
      <c r="L112" s="7"/>
      <c r="M112" s="7">
        <v>5411079</v>
      </c>
      <c r="N112" s="7"/>
      <c r="O112" s="7">
        <v>9793</v>
      </c>
      <c r="P112" s="7"/>
      <c r="Q112" s="7">
        <v>566595</v>
      </c>
      <c r="R112" s="7"/>
      <c r="S112" s="7">
        <v>126018</v>
      </c>
      <c r="T112" s="7"/>
      <c r="U112" s="7">
        <v>82279</v>
      </c>
      <c r="V112" s="7"/>
      <c r="W112" s="7">
        <v>0</v>
      </c>
      <c r="X112" s="7"/>
      <c r="Y112" s="7">
        <v>0</v>
      </c>
      <c r="Z112" s="7"/>
      <c r="AA112" s="7">
        <f t="shared" si="11"/>
        <v>7356118</v>
      </c>
      <c r="AB112" s="7"/>
      <c r="AC112" s="7">
        <f t="shared" si="12"/>
        <v>12611608</v>
      </c>
    </row>
    <row r="113" spans="1:29" ht="12.75" customHeight="1" x14ac:dyDescent="0.2">
      <c r="A113" s="10" t="s">
        <v>124</v>
      </c>
      <c r="C113" s="10" t="s">
        <v>25</v>
      </c>
      <c r="E113" s="7">
        <v>1547084</v>
      </c>
      <c r="F113" s="7"/>
      <c r="G113" s="7">
        <v>431786</v>
      </c>
      <c r="H113" s="7"/>
      <c r="I113" s="7">
        <v>71100</v>
      </c>
      <c r="J113" s="7"/>
      <c r="K113" s="7">
        <f>741519+150659+543937</f>
        <v>1436115</v>
      </c>
      <c r="L113" s="7"/>
      <c r="M113" s="7">
        <f>10649272+863454</f>
        <v>11512726</v>
      </c>
      <c r="N113" s="7"/>
      <c r="O113" s="7">
        <v>69203</v>
      </c>
      <c r="P113" s="7"/>
      <c r="Q113" s="7">
        <v>1232664</v>
      </c>
      <c r="R113" s="7"/>
      <c r="S113" s="7">
        <v>13042</v>
      </c>
      <c r="T113" s="7"/>
      <c r="U113" s="7">
        <v>25717</v>
      </c>
      <c r="V113" s="7"/>
      <c r="W113" s="7">
        <v>0</v>
      </c>
      <c r="X113" s="7"/>
      <c r="Y113" s="7">
        <v>0</v>
      </c>
      <c r="Z113" s="7"/>
      <c r="AA113" s="7">
        <f t="shared" si="11"/>
        <v>14289467</v>
      </c>
      <c r="AB113" s="7"/>
      <c r="AC113" s="7">
        <f t="shared" si="12"/>
        <v>16339437</v>
      </c>
    </row>
    <row r="114" spans="1:29" ht="12.75" hidden="1" customHeight="1" x14ac:dyDescent="0.2">
      <c r="A114" s="10" t="s">
        <v>125</v>
      </c>
      <c r="C114" s="10" t="s">
        <v>41</v>
      </c>
      <c r="E114" s="7">
        <v>6255865</v>
      </c>
      <c r="F114" s="7"/>
      <c r="G114" s="7">
        <v>1287341</v>
      </c>
      <c r="H114" s="7"/>
      <c r="I114" s="7">
        <v>6544552</v>
      </c>
      <c r="J114" s="7"/>
      <c r="K114" s="7">
        <v>1978442</v>
      </c>
      <c r="L114" s="7"/>
      <c r="M114" s="7">
        <f>12292843+885947+4392930</f>
        <v>17571720</v>
      </c>
      <c r="N114" s="7"/>
      <c r="O114" s="7">
        <v>1243970</v>
      </c>
      <c r="P114" s="7"/>
      <c r="Q114" s="7">
        <v>2301949</v>
      </c>
      <c r="R114" s="7"/>
      <c r="S114" s="7">
        <v>60420</v>
      </c>
      <c r="T114" s="7"/>
      <c r="U114" s="7">
        <v>581217</v>
      </c>
      <c r="V114" s="7"/>
      <c r="W114" s="7">
        <v>0</v>
      </c>
      <c r="X114" s="7"/>
      <c r="Y114" s="7">
        <v>0</v>
      </c>
      <c r="Z114" s="7"/>
      <c r="AA114" s="7">
        <f t="shared" si="11"/>
        <v>23737718</v>
      </c>
      <c r="AB114" s="7"/>
      <c r="AC114" s="7">
        <f t="shared" si="12"/>
        <v>37825476</v>
      </c>
    </row>
    <row r="115" spans="1:29" ht="12.75" customHeight="1" x14ac:dyDescent="0.2">
      <c r="A115" s="10" t="s">
        <v>126</v>
      </c>
      <c r="C115" s="10" t="s">
        <v>117</v>
      </c>
      <c r="E115" s="7">
        <v>945339</v>
      </c>
      <c r="F115" s="7"/>
      <c r="G115" s="7">
        <v>515262</v>
      </c>
      <c r="H115" s="7"/>
      <c r="I115" s="7">
        <v>0</v>
      </c>
      <c r="J115" s="7"/>
      <c r="K115" s="7">
        <f>301481+72400+39805+173789</f>
        <v>587475</v>
      </c>
      <c r="L115" s="7"/>
      <c r="M115" s="7">
        <v>3160680</v>
      </c>
      <c r="N115" s="7"/>
      <c r="O115" s="7">
        <v>0</v>
      </c>
      <c r="P115" s="7"/>
      <c r="Q115" s="7">
        <v>395443</v>
      </c>
      <c r="R115" s="7"/>
      <c r="S115" s="7">
        <v>13922</v>
      </c>
      <c r="T115" s="7"/>
      <c r="U115" s="7">
        <v>168359</v>
      </c>
      <c r="V115" s="7"/>
      <c r="W115" s="7">
        <v>0</v>
      </c>
      <c r="X115" s="7"/>
      <c r="Y115" s="7">
        <v>0</v>
      </c>
      <c r="Z115" s="7"/>
      <c r="AA115" s="7">
        <f t="shared" si="11"/>
        <v>4325879</v>
      </c>
      <c r="AB115" s="7"/>
      <c r="AC115" s="7">
        <f t="shared" si="12"/>
        <v>5786480</v>
      </c>
    </row>
    <row r="116" spans="1:29" ht="12.75" customHeight="1" x14ac:dyDescent="0.2">
      <c r="A116" s="10" t="s">
        <v>127</v>
      </c>
      <c r="C116" s="10" t="s">
        <v>78</v>
      </c>
      <c r="E116" s="7">
        <v>35359</v>
      </c>
      <c r="F116" s="7"/>
      <c r="G116" s="7">
        <v>424354</v>
      </c>
      <c r="H116" s="7"/>
      <c r="I116" s="7">
        <v>0</v>
      </c>
      <c r="J116" s="7"/>
      <c r="K116" s="7">
        <f>188797+27307</f>
        <v>216104</v>
      </c>
      <c r="L116" s="7"/>
      <c r="M116" s="7">
        <v>1987850</v>
      </c>
      <c r="N116" s="7"/>
      <c r="O116" s="7">
        <v>0</v>
      </c>
      <c r="P116" s="7"/>
      <c r="Q116" s="7">
        <v>220994</v>
      </c>
      <c r="R116" s="7"/>
      <c r="S116" s="7">
        <v>66058</v>
      </c>
      <c r="T116" s="7"/>
      <c r="U116" s="7">
        <v>141904</v>
      </c>
      <c r="V116" s="7"/>
      <c r="W116" s="7">
        <v>0</v>
      </c>
      <c r="X116" s="7"/>
      <c r="Y116" s="7">
        <v>0</v>
      </c>
      <c r="Z116" s="7"/>
      <c r="AA116" s="7">
        <f t="shared" si="11"/>
        <v>2632910</v>
      </c>
      <c r="AB116" s="7"/>
      <c r="AC116" s="7">
        <f t="shared" si="12"/>
        <v>3092623</v>
      </c>
    </row>
    <row r="117" spans="1:29" ht="12.75" customHeight="1" x14ac:dyDescent="0.2">
      <c r="A117" s="10" t="s">
        <v>128</v>
      </c>
      <c r="C117" s="10" t="s">
        <v>64</v>
      </c>
      <c r="E117" s="7">
        <v>4645176</v>
      </c>
      <c r="F117" s="7"/>
      <c r="G117" s="7">
        <v>3170679</v>
      </c>
      <c r="H117" s="7"/>
      <c r="I117" s="7">
        <v>2255697</v>
      </c>
      <c r="J117" s="7"/>
      <c r="K117" s="7">
        <f>1086775+1006833+852987</f>
        <v>2946595</v>
      </c>
      <c r="L117" s="7"/>
      <c r="M117" s="7">
        <f>5304609+3681063+691016+1639848+1311807+497487</f>
        <v>13125830</v>
      </c>
      <c r="N117" s="7"/>
      <c r="O117" s="7">
        <v>1189612</v>
      </c>
      <c r="P117" s="7"/>
      <c r="Q117" s="7">
        <v>749715</v>
      </c>
      <c r="R117" s="7"/>
      <c r="S117" s="7">
        <v>225032</v>
      </c>
      <c r="T117" s="7"/>
      <c r="U117" s="7">
        <v>190622</v>
      </c>
      <c r="V117" s="7"/>
      <c r="W117" s="7">
        <v>-2100634</v>
      </c>
      <c r="X117" s="7"/>
      <c r="Y117" s="7">
        <v>0</v>
      </c>
      <c r="Z117" s="7"/>
      <c r="AA117" s="7">
        <f t="shared" si="11"/>
        <v>16326772</v>
      </c>
      <c r="AB117" s="7"/>
      <c r="AC117" s="7">
        <f t="shared" si="12"/>
        <v>26398324</v>
      </c>
    </row>
    <row r="118" spans="1:29" ht="12.75" customHeight="1" x14ac:dyDescent="0.2">
      <c r="A118" s="10" t="s">
        <v>129</v>
      </c>
      <c r="C118" s="10" t="s">
        <v>11</v>
      </c>
      <c r="E118" s="7">
        <v>1948605</v>
      </c>
      <c r="F118" s="7"/>
      <c r="G118" s="7">
        <v>25697</v>
      </c>
      <c r="H118" s="7"/>
      <c r="I118" s="7">
        <v>3177826</v>
      </c>
      <c r="J118" s="7"/>
      <c r="K118" s="7">
        <v>4415800</v>
      </c>
      <c r="L118" s="7"/>
      <c r="M118" s="7">
        <v>17078372</v>
      </c>
      <c r="N118" s="7"/>
      <c r="O118" s="7">
        <v>0</v>
      </c>
      <c r="P118" s="7"/>
      <c r="Q118" s="7">
        <v>6748916</v>
      </c>
      <c r="R118" s="7"/>
      <c r="S118" s="7">
        <v>368787</v>
      </c>
      <c r="T118" s="7"/>
      <c r="U118" s="7">
        <v>491067</v>
      </c>
      <c r="V118" s="7"/>
      <c r="W118" s="7">
        <v>-2975000</v>
      </c>
      <c r="X118" s="7"/>
      <c r="Y118" s="7">
        <v>0</v>
      </c>
      <c r="Z118" s="7"/>
      <c r="AA118" s="7">
        <f t="shared" si="11"/>
        <v>26127942</v>
      </c>
      <c r="AB118" s="7"/>
      <c r="AC118" s="7">
        <f t="shared" si="12"/>
        <v>31280070</v>
      </c>
    </row>
    <row r="119" spans="1:29" ht="12.75" customHeight="1" x14ac:dyDescent="0.2">
      <c r="A119" s="10" t="s">
        <v>36</v>
      </c>
      <c r="C119" s="10" t="s">
        <v>130</v>
      </c>
      <c r="E119" s="7">
        <v>1811785</v>
      </c>
      <c r="F119" s="7"/>
      <c r="G119" s="7">
        <v>1169930</v>
      </c>
      <c r="H119" s="7"/>
      <c r="I119" s="7">
        <v>374177</v>
      </c>
      <c r="J119" s="7"/>
      <c r="K119" s="7">
        <f>201555+574283</f>
        <v>775838</v>
      </c>
      <c r="L119" s="7"/>
      <c r="M119" s="7">
        <f>1844169+224411+296000</f>
        <v>2364580</v>
      </c>
      <c r="N119" s="7"/>
      <c r="O119" s="7">
        <v>265</v>
      </c>
      <c r="P119" s="7"/>
      <c r="Q119" s="7">
        <v>1232687</v>
      </c>
      <c r="R119" s="7"/>
      <c r="S119" s="7">
        <v>6569</v>
      </c>
      <c r="T119" s="7"/>
      <c r="U119" s="7">
        <f>3620+94104</f>
        <v>97724</v>
      </c>
      <c r="V119" s="7"/>
      <c r="W119" s="7">
        <v>0</v>
      </c>
      <c r="X119" s="7"/>
      <c r="Y119" s="7">
        <v>0</v>
      </c>
      <c r="Z119" s="7"/>
      <c r="AA119" s="7">
        <f t="shared" si="11"/>
        <v>4477663</v>
      </c>
      <c r="AB119" s="7"/>
      <c r="AC119" s="7">
        <f t="shared" si="12"/>
        <v>7833555</v>
      </c>
    </row>
    <row r="120" spans="1:29" ht="12.75" customHeight="1" x14ac:dyDescent="0.2">
      <c r="A120" s="10" t="s">
        <v>131</v>
      </c>
      <c r="C120" s="10" t="s">
        <v>25</v>
      </c>
      <c r="E120" s="7">
        <v>1555456</v>
      </c>
      <c r="F120" s="7"/>
      <c r="G120" s="7">
        <v>534869</v>
      </c>
      <c r="H120" s="7"/>
      <c r="I120" s="7">
        <v>95572</v>
      </c>
      <c r="J120" s="7"/>
      <c r="K120" s="7">
        <f>877092+138482</f>
        <v>1015574</v>
      </c>
      <c r="L120" s="7"/>
      <c r="M120" s="7">
        <v>25743991</v>
      </c>
      <c r="N120" s="7"/>
      <c r="O120" s="7">
        <f>173733+1188902+11078+1289281</f>
        <v>2662994</v>
      </c>
      <c r="P120" s="7"/>
      <c r="Q120" s="7">
        <v>230790</v>
      </c>
      <c r="R120" s="7"/>
      <c r="S120" s="7">
        <v>89027</v>
      </c>
      <c r="T120" s="7"/>
      <c r="U120" s="7">
        <v>683675</v>
      </c>
      <c r="V120" s="7"/>
      <c r="W120" s="7">
        <v>0</v>
      </c>
      <c r="X120" s="7"/>
      <c r="Y120" s="7">
        <v>0</v>
      </c>
      <c r="Z120" s="7"/>
      <c r="AA120" s="7">
        <f t="shared" si="11"/>
        <v>30426051</v>
      </c>
      <c r="AB120" s="7"/>
      <c r="AC120" s="7">
        <f t="shared" si="12"/>
        <v>32611948</v>
      </c>
    </row>
    <row r="121" spans="1:29" ht="12.75" hidden="1" customHeight="1" x14ac:dyDescent="0.2">
      <c r="A121" s="10" t="s">
        <v>477</v>
      </c>
      <c r="C121" s="10" t="s">
        <v>43</v>
      </c>
      <c r="E121" s="7">
        <v>406949</v>
      </c>
      <c r="F121" s="7"/>
      <c r="G121" s="7">
        <v>308173</v>
      </c>
      <c r="H121" s="7"/>
      <c r="I121" s="7">
        <v>865495</v>
      </c>
      <c r="J121" s="7"/>
      <c r="K121" s="7">
        <v>806743</v>
      </c>
      <c r="L121" s="7"/>
      <c r="M121" s="7">
        <v>5852274</v>
      </c>
      <c r="N121" s="7"/>
      <c r="O121" s="7">
        <v>0</v>
      </c>
      <c r="P121" s="7"/>
      <c r="Q121" s="7">
        <v>5869462</v>
      </c>
      <c r="R121" s="7"/>
      <c r="S121" s="7">
        <v>480065</v>
      </c>
      <c r="T121" s="7"/>
      <c r="U121" s="7">
        <v>477932</v>
      </c>
      <c r="V121" s="7"/>
      <c r="W121" s="7">
        <v>0</v>
      </c>
      <c r="X121" s="7"/>
      <c r="Y121" s="7">
        <v>0</v>
      </c>
      <c r="Z121" s="7"/>
      <c r="AA121" s="7">
        <f t="shared" si="11"/>
        <v>13486476</v>
      </c>
      <c r="AB121" s="7"/>
      <c r="AC121" s="7">
        <f t="shared" si="12"/>
        <v>15067093</v>
      </c>
    </row>
    <row r="122" spans="1:29" ht="12.75" customHeight="1" x14ac:dyDescent="0.2">
      <c r="A122" s="6" t="s">
        <v>132</v>
      </c>
      <c r="B122" s="18"/>
      <c r="C122" s="6" t="s">
        <v>133</v>
      </c>
      <c r="E122" s="7">
        <v>2128735</v>
      </c>
      <c r="F122" s="7"/>
      <c r="G122" s="7">
        <v>587739</v>
      </c>
      <c r="H122" s="7"/>
      <c r="I122" s="7">
        <v>0</v>
      </c>
      <c r="J122" s="7"/>
      <c r="K122" s="7">
        <v>469821</v>
      </c>
      <c r="L122" s="7"/>
      <c r="M122" s="7">
        <v>2319003</v>
      </c>
      <c r="N122" s="7"/>
      <c r="O122" s="7">
        <v>0</v>
      </c>
      <c r="P122" s="7"/>
      <c r="Q122" s="7">
        <v>484619</v>
      </c>
      <c r="R122" s="7"/>
      <c r="S122" s="7">
        <v>42908</v>
      </c>
      <c r="T122" s="7"/>
      <c r="U122" s="7">
        <v>333230</v>
      </c>
      <c r="V122" s="7"/>
      <c r="W122" s="7">
        <v>0</v>
      </c>
      <c r="X122" s="7"/>
      <c r="Y122" s="7">
        <v>0</v>
      </c>
      <c r="Z122" s="7"/>
      <c r="AA122" s="7">
        <f t="shared" si="11"/>
        <v>3649581</v>
      </c>
      <c r="AB122" s="7"/>
      <c r="AC122" s="7">
        <f t="shared" si="12"/>
        <v>6366055</v>
      </c>
    </row>
    <row r="123" spans="1:29" ht="12.75" customHeight="1" x14ac:dyDescent="0.2">
      <c r="A123" s="10" t="s">
        <v>134</v>
      </c>
      <c r="C123" s="10" t="s">
        <v>134</v>
      </c>
      <c r="E123" s="7">
        <v>2183726</v>
      </c>
      <c r="F123" s="7"/>
      <c r="G123" s="7">
        <v>1355130</v>
      </c>
      <c r="H123" s="7"/>
      <c r="I123" s="7">
        <v>291000</v>
      </c>
      <c r="J123" s="7"/>
      <c r="K123" s="7">
        <f>1069421+171126+162162+68973</f>
        <v>1471682</v>
      </c>
      <c r="L123" s="7"/>
      <c r="M123" s="7">
        <v>0</v>
      </c>
      <c r="N123" s="7"/>
      <c r="O123" s="7">
        <v>0</v>
      </c>
      <c r="P123" s="7"/>
      <c r="Q123" s="7">
        <v>273904</v>
      </c>
      <c r="R123" s="7"/>
      <c r="S123" s="7">
        <v>100430</v>
      </c>
      <c r="T123" s="7"/>
      <c r="U123" s="7">
        <v>58796</v>
      </c>
      <c r="V123" s="7"/>
      <c r="W123" s="7">
        <v>-260596</v>
      </c>
      <c r="X123" s="7"/>
      <c r="Y123" s="7">
        <v>0</v>
      </c>
      <c r="Z123" s="7"/>
      <c r="AA123" s="7">
        <f t="shared" si="11"/>
        <v>1644216</v>
      </c>
      <c r="AB123" s="7"/>
      <c r="AC123" s="7">
        <f t="shared" si="12"/>
        <v>5474072</v>
      </c>
    </row>
    <row r="124" spans="1:29" ht="12.75" customHeight="1" x14ac:dyDescent="0.2">
      <c r="A124" s="10" t="s">
        <v>135</v>
      </c>
      <c r="C124" s="10" t="s">
        <v>20</v>
      </c>
      <c r="E124" s="7">
        <v>2511793</v>
      </c>
      <c r="F124" s="7"/>
      <c r="G124" s="7">
        <v>1836992</v>
      </c>
      <c r="H124" s="7"/>
      <c r="I124" s="7">
        <v>2802632</v>
      </c>
      <c r="J124" s="7"/>
      <c r="K124" s="7">
        <f>1346498+1424728</f>
        <v>2771226</v>
      </c>
      <c r="L124" s="7"/>
      <c r="M124" s="7">
        <f>2452641+2339449+8129625</f>
        <v>12921715</v>
      </c>
      <c r="N124" s="7"/>
      <c r="O124" s="7">
        <v>450226</v>
      </c>
      <c r="P124" s="7"/>
      <c r="Q124" s="7">
        <v>1681928</v>
      </c>
      <c r="R124" s="7"/>
      <c r="S124" s="7">
        <v>205845</v>
      </c>
      <c r="T124" s="7"/>
      <c r="U124" s="7">
        <f>-15168+472814</f>
        <v>457646</v>
      </c>
      <c r="V124" s="7"/>
      <c r="W124" s="7">
        <v>0</v>
      </c>
      <c r="X124" s="7"/>
      <c r="Y124" s="7">
        <v>0</v>
      </c>
      <c r="Z124" s="7"/>
      <c r="AA124" s="7">
        <f t="shared" si="11"/>
        <v>18488586</v>
      </c>
      <c r="AB124" s="7"/>
      <c r="AC124" s="7">
        <f t="shared" si="12"/>
        <v>25640003</v>
      </c>
    </row>
    <row r="125" spans="1:29" ht="12.75" hidden="1" customHeight="1" x14ac:dyDescent="0.2">
      <c r="A125" s="10" t="s">
        <v>136</v>
      </c>
      <c r="C125" s="10" t="s">
        <v>137</v>
      </c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>
        <f t="shared" si="11"/>
        <v>0</v>
      </c>
      <c r="AB125" s="7"/>
      <c r="AC125" s="7">
        <f t="shared" si="12"/>
        <v>0</v>
      </c>
    </row>
    <row r="126" spans="1:29" ht="12.75" customHeight="1" x14ac:dyDescent="0.2">
      <c r="A126" s="10" t="s">
        <v>138</v>
      </c>
      <c r="C126" s="10" t="s">
        <v>64</v>
      </c>
      <c r="E126" s="7">
        <v>11108525</v>
      </c>
      <c r="F126" s="7"/>
      <c r="G126" s="7">
        <v>1431456</v>
      </c>
      <c r="H126" s="7"/>
      <c r="I126" s="7">
        <v>5584310</v>
      </c>
      <c r="J126" s="7"/>
      <c r="K126" s="7">
        <f>7278599+897462</f>
        <v>8176061</v>
      </c>
      <c r="L126" s="7"/>
      <c r="M126" s="7">
        <v>42345005</v>
      </c>
      <c r="N126" s="7"/>
      <c r="O126" s="7">
        <f>1962711+1213806+1878676+761302+160825+276063</f>
        <v>6253383</v>
      </c>
      <c r="P126" s="7"/>
      <c r="Q126" s="7">
        <v>0</v>
      </c>
      <c r="R126" s="7"/>
      <c r="S126" s="7">
        <v>791959</v>
      </c>
      <c r="T126" s="7"/>
      <c r="U126" s="7">
        <f>1801694+186924</f>
        <v>1988618</v>
      </c>
      <c r="V126" s="7"/>
      <c r="W126" s="7">
        <v>0</v>
      </c>
      <c r="X126" s="7"/>
      <c r="Y126" s="7">
        <v>0</v>
      </c>
      <c r="Z126" s="7"/>
      <c r="AA126" s="7">
        <f t="shared" si="11"/>
        <v>59555026</v>
      </c>
      <c r="AB126" s="7"/>
      <c r="AC126" s="7">
        <f t="shared" si="12"/>
        <v>77679317</v>
      </c>
    </row>
    <row r="127" spans="1:29" ht="12.75" customHeight="1" x14ac:dyDescent="0.2">
      <c r="A127" s="10" t="s">
        <v>472</v>
      </c>
      <c r="C127" s="10" t="s">
        <v>90</v>
      </c>
      <c r="E127" s="7">
        <v>616244</v>
      </c>
      <c r="F127" s="7"/>
      <c r="G127" s="7">
        <v>675188</v>
      </c>
      <c r="H127" s="7"/>
      <c r="I127" s="7">
        <v>173728</v>
      </c>
      <c r="J127" s="7"/>
      <c r="K127" s="7">
        <f>592919+732982+89724+65810+123816</f>
        <v>1605251</v>
      </c>
      <c r="L127" s="7"/>
      <c r="M127" s="7">
        <v>3464662</v>
      </c>
      <c r="N127" s="7"/>
      <c r="O127" s="7">
        <v>0</v>
      </c>
      <c r="P127" s="7"/>
      <c r="Q127" s="7">
        <v>272077</v>
      </c>
      <c r="R127" s="7"/>
      <c r="S127" s="7">
        <v>556</v>
      </c>
      <c r="T127" s="7"/>
      <c r="U127" s="7">
        <f>3560+62474</f>
        <v>66034</v>
      </c>
      <c r="V127" s="7"/>
      <c r="W127" s="7">
        <v>-51811</v>
      </c>
      <c r="X127" s="7"/>
      <c r="Y127" s="7">
        <v>0</v>
      </c>
      <c r="Z127" s="7"/>
      <c r="AA127" s="7">
        <f t="shared" si="11"/>
        <v>5356769</v>
      </c>
      <c r="AB127" s="7"/>
      <c r="AC127" s="7">
        <f t="shared" si="12"/>
        <v>6821929</v>
      </c>
    </row>
    <row r="128" spans="1:29" ht="12.75" customHeight="1" x14ac:dyDescent="0.2">
      <c r="A128" s="10" t="s">
        <v>139</v>
      </c>
      <c r="C128" s="10" t="s">
        <v>25</v>
      </c>
      <c r="E128" s="7">
        <v>7809647</v>
      </c>
      <c r="F128" s="7"/>
      <c r="G128" s="7">
        <v>4875099</v>
      </c>
      <c r="H128" s="7"/>
      <c r="I128" s="7">
        <v>215246</v>
      </c>
      <c r="J128" s="7"/>
      <c r="K128" s="7">
        <f>6807497+2753385+2589594</f>
        <v>12150476</v>
      </c>
      <c r="L128" s="7"/>
      <c r="M128" s="7">
        <v>20628523</v>
      </c>
      <c r="N128" s="7"/>
      <c r="O128" s="7">
        <v>401767</v>
      </c>
      <c r="P128" s="7"/>
      <c r="Q128" s="7">
        <v>5646551</v>
      </c>
      <c r="R128" s="7"/>
      <c r="S128" s="7">
        <v>6758</v>
      </c>
      <c r="T128" s="7"/>
      <c r="U128" s="7">
        <f>130124+611500</f>
        <v>741624</v>
      </c>
      <c r="V128" s="7"/>
      <c r="W128" s="7">
        <v>1182550</v>
      </c>
      <c r="X128" s="7"/>
      <c r="Y128" s="7">
        <v>0</v>
      </c>
      <c r="Z128" s="7"/>
      <c r="AA128" s="7">
        <f t="shared" si="11"/>
        <v>40758249</v>
      </c>
      <c r="AB128" s="7"/>
      <c r="AC128" s="7">
        <f t="shared" si="12"/>
        <v>53658241</v>
      </c>
    </row>
    <row r="129" spans="1:31" ht="12.75" customHeight="1" x14ac:dyDescent="0.2">
      <c r="A129" s="10" t="s">
        <v>140</v>
      </c>
      <c r="C129" s="10" t="s">
        <v>100</v>
      </c>
      <c r="E129" s="7">
        <v>6496013</v>
      </c>
      <c r="F129" s="7"/>
      <c r="G129" s="7">
        <v>8668164</v>
      </c>
      <c r="H129" s="7"/>
      <c r="I129" s="7">
        <v>169670</v>
      </c>
      <c r="J129" s="7"/>
      <c r="K129" s="7">
        <f>1787647+404582+332419+158607</f>
        <v>2683255</v>
      </c>
      <c r="L129" s="7"/>
      <c r="M129" s="7">
        <v>17413091</v>
      </c>
      <c r="N129" s="7"/>
      <c r="O129" s="7">
        <v>617585</v>
      </c>
      <c r="P129" s="7"/>
      <c r="Q129" s="7">
        <v>1493621</v>
      </c>
      <c r="R129" s="7"/>
      <c r="S129" s="7">
        <v>272735</v>
      </c>
      <c r="T129" s="7"/>
      <c r="U129" s="7">
        <v>992265</v>
      </c>
      <c r="V129" s="7"/>
      <c r="W129" s="7">
        <v>-44539</v>
      </c>
      <c r="X129" s="7"/>
      <c r="Y129" s="7">
        <v>0</v>
      </c>
      <c r="Z129" s="7"/>
      <c r="AA129" s="7">
        <f t="shared" si="11"/>
        <v>23428013</v>
      </c>
      <c r="AB129" s="7"/>
      <c r="AC129" s="7">
        <f t="shared" si="12"/>
        <v>38761860</v>
      </c>
    </row>
    <row r="130" spans="1:31" ht="12.75" customHeight="1" x14ac:dyDescent="0.2">
      <c r="A130" s="10" t="s">
        <v>141</v>
      </c>
      <c r="C130" s="10" t="s">
        <v>109</v>
      </c>
      <c r="E130" s="7">
        <v>3556264</v>
      </c>
      <c r="F130" s="7"/>
      <c r="G130" s="7">
        <v>1343340</v>
      </c>
      <c r="H130" s="7"/>
      <c r="I130" s="7">
        <v>1442524</v>
      </c>
      <c r="J130" s="7"/>
      <c r="K130" s="7">
        <f>1054552+2028866</f>
        <v>3083418</v>
      </c>
      <c r="L130" s="7"/>
      <c r="M130" s="7">
        <v>6232249</v>
      </c>
      <c r="N130" s="7"/>
      <c r="O130" s="7">
        <f>1366321+1758769</f>
        <v>3125090</v>
      </c>
      <c r="P130" s="7"/>
      <c r="Q130" s="7">
        <v>342899</v>
      </c>
      <c r="R130" s="7"/>
      <c r="S130" s="7">
        <v>317837</v>
      </c>
      <c r="T130" s="7"/>
      <c r="U130" s="7">
        <v>155073</v>
      </c>
      <c r="V130" s="7"/>
      <c r="W130" s="7">
        <v>-274620</v>
      </c>
      <c r="X130" s="7"/>
      <c r="Y130" s="7">
        <v>0</v>
      </c>
      <c r="Z130" s="7"/>
      <c r="AA130" s="7">
        <f t="shared" si="11"/>
        <v>12981946</v>
      </c>
      <c r="AB130" s="7"/>
      <c r="AC130" s="7">
        <f t="shared" si="12"/>
        <v>19324074</v>
      </c>
    </row>
    <row r="131" spans="1:31" ht="12.75" customHeight="1" x14ac:dyDescent="0.2">
      <c r="A131" s="10" t="s">
        <v>142</v>
      </c>
      <c r="C131" s="10" t="s">
        <v>86</v>
      </c>
      <c r="E131" s="7">
        <v>9730747</v>
      </c>
      <c r="F131" s="7"/>
      <c r="G131" s="7">
        <v>4332290</v>
      </c>
      <c r="H131" s="7"/>
      <c r="I131" s="7">
        <v>3225836</v>
      </c>
      <c r="J131" s="7"/>
      <c r="K131" s="7">
        <v>1148105</v>
      </c>
      <c r="L131" s="7"/>
      <c r="M131" s="7">
        <v>15770639</v>
      </c>
      <c r="N131" s="7"/>
      <c r="O131" s="7">
        <v>181827</v>
      </c>
      <c r="P131" s="7"/>
      <c r="Q131" s="7">
        <v>1687911</v>
      </c>
      <c r="R131" s="7"/>
      <c r="S131" s="7">
        <v>143015</v>
      </c>
      <c r="T131" s="7"/>
      <c r="U131" s="7">
        <f>-1893336+23798+727446+630036</f>
        <v>-512056</v>
      </c>
      <c r="V131" s="7"/>
      <c r="W131" s="7">
        <v>19553</v>
      </c>
      <c r="X131" s="7"/>
      <c r="Y131" s="7">
        <v>0</v>
      </c>
      <c r="Z131" s="7"/>
      <c r="AA131" s="7">
        <f t="shared" si="11"/>
        <v>18438994</v>
      </c>
      <c r="AB131" s="7"/>
      <c r="AC131" s="7">
        <f t="shared" si="12"/>
        <v>35727867</v>
      </c>
    </row>
    <row r="132" spans="1:31" ht="12.75" customHeight="1" x14ac:dyDescent="0.2">
      <c r="A132" s="10" t="s">
        <v>34</v>
      </c>
      <c r="C132" s="10" t="s">
        <v>143</v>
      </c>
      <c r="E132" s="7">
        <v>371010</v>
      </c>
      <c r="F132" s="7"/>
      <c r="G132" s="7">
        <v>869341</v>
      </c>
      <c r="H132" s="7"/>
      <c r="I132" s="7">
        <v>219180</v>
      </c>
      <c r="J132" s="7"/>
      <c r="K132" s="7">
        <f>206959+30349+254406</f>
        <v>491714</v>
      </c>
      <c r="L132" s="7"/>
      <c r="M132" s="7">
        <f>2460529+273392</f>
        <v>2733921</v>
      </c>
      <c r="N132" s="7"/>
      <c r="O132" s="7">
        <v>0</v>
      </c>
      <c r="P132" s="7"/>
      <c r="Q132" s="7">
        <v>356826</v>
      </c>
      <c r="R132" s="7"/>
      <c r="S132" s="7">
        <v>7631</v>
      </c>
      <c r="T132" s="7"/>
      <c r="U132" s="7">
        <v>8855</v>
      </c>
      <c r="V132" s="7"/>
      <c r="W132" s="7">
        <v>0</v>
      </c>
      <c r="X132" s="7"/>
      <c r="Y132" s="7">
        <v>0</v>
      </c>
      <c r="Z132" s="7"/>
      <c r="AA132" s="7">
        <f t="shared" si="11"/>
        <v>3598947</v>
      </c>
      <c r="AB132" s="7"/>
      <c r="AC132" s="7">
        <f t="shared" si="12"/>
        <v>5058478</v>
      </c>
    </row>
    <row r="133" spans="1:31" ht="12.75" customHeight="1" x14ac:dyDescent="0.2">
      <c r="A133" s="10" t="s">
        <v>144</v>
      </c>
      <c r="C133" s="10" t="s">
        <v>145</v>
      </c>
      <c r="E133" s="7">
        <v>548849</v>
      </c>
      <c r="F133" s="7"/>
      <c r="G133" s="7">
        <v>790523</v>
      </c>
      <c r="H133" s="7"/>
      <c r="I133" s="7">
        <v>0</v>
      </c>
      <c r="J133" s="7"/>
      <c r="K133" s="7">
        <f>556739+344157</f>
        <v>900896</v>
      </c>
      <c r="L133" s="7"/>
      <c r="M133" s="7">
        <f>2910211+247243</f>
        <v>3157454</v>
      </c>
      <c r="N133" s="7"/>
      <c r="O133" s="7">
        <v>433327</v>
      </c>
      <c r="P133" s="7"/>
      <c r="Q133" s="7">
        <v>973586</v>
      </c>
      <c r="R133" s="7"/>
      <c r="S133" s="7">
        <v>8637</v>
      </c>
      <c r="T133" s="7"/>
      <c r="U133" s="7">
        <v>48104</v>
      </c>
      <c r="V133" s="7"/>
      <c r="W133" s="7">
        <v>0</v>
      </c>
      <c r="X133" s="7"/>
      <c r="Y133" s="7">
        <v>0</v>
      </c>
      <c r="Z133" s="7"/>
      <c r="AA133" s="7">
        <f t="shared" si="11"/>
        <v>5522004</v>
      </c>
      <c r="AB133" s="7"/>
      <c r="AC133" s="7">
        <f t="shared" si="12"/>
        <v>6861376</v>
      </c>
    </row>
    <row r="134" spans="1:31" s="9" customFormat="1" ht="12.75" customHeight="1" x14ac:dyDescent="0.2">
      <c r="A134" s="10" t="s">
        <v>15</v>
      </c>
      <c r="B134" s="10"/>
      <c r="C134" s="10" t="s">
        <v>15</v>
      </c>
      <c r="D134" s="10"/>
      <c r="E134" s="7">
        <v>5870986</v>
      </c>
      <c r="F134" s="7"/>
      <c r="G134" s="7">
        <v>6669460</v>
      </c>
      <c r="H134" s="7"/>
      <c r="I134" s="7">
        <v>1746179</v>
      </c>
      <c r="J134" s="7"/>
      <c r="K134" s="7">
        <f>1911656+219477+219478+776400</f>
        <v>3127011</v>
      </c>
      <c r="L134" s="7"/>
      <c r="M134" s="7">
        <f>15974811+2209501</f>
        <v>18184312</v>
      </c>
      <c r="N134" s="7"/>
      <c r="O134" s="7">
        <v>1008778</v>
      </c>
      <c r="P134" s="7"/>
      <c r="Q134" s="7">
        <v>3915101</v>
      </c>
      <c r="R134" s="7"/>
      <c r="S134" s="7">
        <v>23096</v>
      </c>
      <c r="T134" s="7"/>
      <c r="U134" s="7">
        <f>651413+692778</f>
        <v>1344191</v>
      </c>
      <c r="V134" s="7"/>
      <c r="W134" s="7">
        <v>80000</v>
      </c>
      <c r="X134" s="7"/>
      <c r="Y134" s="7">
        <v>0</v>
      </c>
      <c r="Z134" s="7"/>
      <c r="AA134" s="7">
        <f t="shared" ref="AA134:AA142" si="13">SUM(K134:Y134)</f>
        <v>27682489</v>
      </c>
      <c r="AB134" s="7"/>
      <c r="AC134" s="7">
        <f t="shared" ref="AC134:AC142" si="14">SUM(E134:Y134)</f>
        <v>41969114</v>
      </c>
    </row>
    <row r="135" spans="1:31" ht="12.75" customHeight="1" x14ac:dyDescent="0.2">
      <c r="A135" s="10" t="s">
        <v>146</v>
      </c>
      <c r="C135" s="10" t="s">
        <v>13</v>
      </c>
      <c r="E135" s="7">
        <v>695274</v>
      </c>
      <c r="F135" s="7"/>
      <c r="G135" s="7">
        <v>457775</v>
      </c>
      <c r="H135" s="7"/>
      <c r="I135" s="7">
        <v>1330182</v>
      </c>
      <c r="J135" s="7"/>
      <c r="K135" s="7">
        <v>248169</v>
      </c>
      <c r="L135" s="7"/>
      <c r="M135" s="7">
        <v>2663045</v>
      </c>
      <c r="N135" s="7"/>
      <c r="O135" s="7">
        <v>0</v>
      </c>
      <c r="P135" s="7"/>
      <c r="Q135" s="7">
        <v>499385</v>
      </c>
      <c r="R135" s="7"/>
      <c r="S135" s="7">
        <v>1629</v>
      </c>
      <c r="T135" s="7"/>
      <c r="U135" s="7">
        <v>6541</v>
      </c>
      <c r="V135" s="7"/>
      <c r="W135" s="7">
        <v>67421</v>
      </c>
      <c r="X135" s="7"/>
      <c r="Y135" s="7">
        <v>0</v>
      </c>
      <c r="Z135" s="7"/>
      <c r="AA135" s="7">
        <f t="shared" si="13"/>
        <v>3486190</v>
      </c>
      <c r="AB135" s="7"/>
      <c r="AC135" s="7">
        <f t="shared" si="14"/>
        <v>5969421</v>
      </c>
    </row>
    <row r="136" spans="1:31" ht="12.75" customHeight="1" x14ac:dyDescent="0.2">
      <c r="A136" s="10" t="s">
        <v>147</v>
      </c>
      <c r="C136" s="10" t="s">
        <v>43</v>
      </c>
      <c r="E136" s="7">
        <v>494928</v>
      </c>
      <c r="F136" s="7"/>
      <c r="G136" s="7">
        <v>710800</v>
      </c>
      <c r="H136" s="7"/>
      <c r="I136" s="7">
        <v>0</v>
      </c>
      <c r="J136" s="7"/>
      <c r="K136" s="7">
        <v>2834027</v>
      </c>
      <c r="L136" s="7"/>
      <c r="M136" s="7">
        <v>3566706</v>
      </c>
      <c r="N136" s="7"/>
      <c r="O136" s="7">
        <v>152759</v>
      </c>
      <c r="P136" s="7"/>
      <c r="Q136" s="7">
        <v>874364</v>
      </c>
      <c r="R136" s="7"/>
      <c r="S136" s="7">
        <v>32693</v>
      </c>
      <c r="T136" s="7"/>
      <c r="U136" s="7">
        <v>232421</v>
      </c>
      <c r="V136" s="7"/>
      <c r="W136" s="7">
        <v>215616</v>
      </c>
      <c r="X136" s="7"/>
      <c r="Y136" s="7">
        <v>0</v>
      </c>
      <c r="Z136" s="7"/>
      <c r="AA136" s="7">
        <f t="shared" si="13"/>
        <v>7908586</v>
      </c>
      <c r="AB136" s="7"/>
      <c r="AC136" s="7">
        <f t="shared" si="14"/>
        <v>9114314</v>
      </c>
    </row>
    <row r="137" spans="1:31" ht="12.75" customHeight="1" x14ac:dyDescent="0.2">
      <c r="A137" s="10" t="s">
        <v>148</v>
      </c>
      <c r="C137" s="10" t="s">
        <v>25</v>
      </c>
      <c r="E137" s="7">
        <v>2579385</v>
      </c>
      <c r="F137" s="7"/>
      <c r="G137" s="7">
        <v>1308332</v>
      </c>
      <c r="H137" s="7"/>
      <c r="I137" s="7">
        <v>685713</v>
      </c>
      <c r="J137" s="7"/>
      <c r="K137" s="7">
        <v>4749772</v>
      </c>
      <c r="L137" s="7"/>
      <c r="M137" s="7">
        <v>7813145</v>
      </c>
      <c r="N137" s="7"/>
      <c r="O137" s="7">
        <v>130038</v>
      </c>
      <c r="P137" s="7"/>
      <c r="Q137" s="7">
        <v>3792301</v>
      </c>
      <c r="R137" s="7"/>
      <c r="S137" s="7">
        <v>15156</v>
      </c>
      <c r="T137" s="7"/>
      <c r="U137" s="7">
        <v>246568</v>
      </c>
      <c r="V137" s="7"/>
      <c r="W137" s="7">
        <v>0</v>
      </c>
      <c r="X137" s="7"/>
      <c r="Y137" s="7">
        <v>0</v>
      </c>
      <c r="Z137" s="7"/>
      <c r="AA137" s="7">
        <f t="shared" si="13"/>
        <v>16746980</v>
      </c>
      <c r="AB137" s="7"/>
      <c r="AC137" s="7">
        <f t="shared" si="14"/>
        <v>21320410</v>
      </c>
    </row>
    <row r="138" spans="1:31" ht="12.75" customHeight="1" x14ac:dyDescent="0.2">
      <c r="A138" s="10" t="s">
        <v>149</v>
      </c>
      <c r="C138" s="10" t="s">
        <v>11</v>
      </c>
      <c r="E138" s="7">
        <v>2945451</v>
      </c>
      <c r="F138" s="7"/>
      <c r="G138" s="7">
        <v>707112</v>
      </c>
      <c r="H138" s="7"/>
      <c r="I138" s="7">
        <v>6799351</v>
      </c>
      <c r="J138" s="7"/>
      <c r="K138" s="7">
        <f>1706723+351682+109461</f>
        <v>2167866</v>
      </c>
      <c r="L138" s="7"/>
      <c r="M138" s="7">
        <f>8114649+1107330</f>
        <v>9221979</v>
      </c>
      <c r="N138" s="7"/>
      <c r="O138" s="7">
        <v>44719</v>
      </c>
      <c r="P138" s="7"/>
      <c r="Q138" s="7">
        <v>874856</v>
      </c>
      <c r="R138" s="7"/>
      <c r="S138" s="7">
        <v>25972</v>
      </c>
      <c r="T138" s="7"/>
      <c r="U138" s="7">
        <v>40728</v>
      </c>
      <c r="V138" s="7"/>
      <c r="W138" s="7">
        <v>0</v>
      </c>
      <c r="X138" s="7"/>
      <c r="Y138" s="7">
        <v>0</v>
      </c>
      <c r="Z138" s="7"/>
      <c r="AA138" s="7">
        <f t="shared" si="13"/>
        <v>12376120</v>
      </c>
      <c r="AB138" s="7"/>
      <c r="AC138" s="7">
        <f t="shared" si="14"/>
        <v>22828034</v>
      </c>
    </row>
    <row r="139" spans="1:31" ht="12.75" customHeight="1" x14ac:dyDescent="0.2">
      <c r="A139" s="10" t="s">
        <v>475</v>
      </c>
      <c r="C139" s="10" t="s">
        <v>43</v>
      </c>
      <c r="E139" s="7">
        <v>450243</v>
      </c>
      <c r="F139" s="7"/>
      <c r="G139" s="7">
        <v>481691</v>
      </c>
      <c r="H139" s="7"/>
      <c r="I139" s="7">
        <v>0</v>
      </c>
      <c r="J139" s="7"/>
      <c r="K139" s="7">
        <v>1979622</v>
      </c>
      <c r="L139" s="7"/>
      <c r="M139" s="7">
        <v>2279099</v>
      </c>
      <c r="N139" s="7"/>
      <c r="O139" s="7">
        <v>187480</v>
      </c>
      <c r="P139" s="7"/>
      <c r="Q139" s="7">
        <v>1100312</v>
      </c>
      <c r="R139" s="7"/>
      <c r="S139" s="7">
        <v>2481</v>
      </c>
      <c r="T139" s="7"/>
      <c r="U139" s="7">
        <v>0</v>
      </c>
      <c r="V139" s="7"/>
      <c r="W139" s="7">
        <v>0</v>
      </c>
      <c r="X139" s="7"/>
      <c r="Y139" s="7">
        <v>0</v>
      </c>
      <c r="Z139" s="7"/>
      <c r="AA139" s="7">
        <f t="shared" si="13"/>
        <v>5548994</v>
      </c>
      <c r="AB139" s="7"/>
      <c r="AC139" s="7">
        <f t="shared" si="14"/>
        <v>6480928</v>
      </c>
      <c r="AD139" s="7"/>
    </row>
    <row r="140" spans="1:31" ht="12.75" customHeight="1" x14ac:dyDescent="0.2">
      <c r="A140" s="10" t="s">
        <v>150</v>
      </c>
      <c r="C140" s="10" t="s">
        <v>151</v>
      </c>
      <c r="E140" s="7">
        <v>7836187</v>
      </c>
      <c r="F140" s="7"/>
      <c r="G140" s="7">
        <v>7355011</v>
      </c>
      <c r="H140" s="7"/>
      <c r="I140" s="7">
        <v>4534180</v>
      </c>
      <c r="J140" s="7"/>
      <c r="K140" s="7">
        <f>1593457+353430</f>
        <v>1946887</v>
      </c>
      <c r="L140" s="7"/>
      <c r="M140" s="7">
        <f>14160081+5794990+3319887</f>
        <v>23274958</v>
      </c>
      <c r="N140" s="7"/>
      <c r="O140" s="7">
        <v>0</v>
      </c>
      <c r="P140" s="7"/>
      <c r="Q140" s="7">
        <v>2460090</v>
      </c>
      <c r="R140" s="7"/>
      <c r="S140" s="7">
        <v>192387</v>
      </c>
      <c r="T140" s="7"/>
      <c r="U140" s="7">
        <f>82557+157425</f>
        <v>239982</v>
      </c>
      <c r="V140" s="7"/>
      <c r="W140" s="7">
        <v>-5333693</v>
      </c>
      <c r="X140" s="7"/>
      <c r="Y140" s="7">
        <v>0</v>
      </c>
      <c r="Z140" s="7"/>
      <c r="AA140" s="7">
        <f t="shared" si="13"/>
        <v>22780611</v>
      </c>
      <c r="AB140" s="7"/>
      <c r="AC140" s="7">
        <f t="shared" si="14"/>
        <v>42505989</v>
      </c>
      <c r="AE140" s="7"/>
    </row>
    <row r="141" spans="1:31" ht="12.75" customHeight="1" x14ac:dyDescent="0.2">
      <c r="A141" s="10" t="s">
        <v>152</v>
      </c>
      <c r="C141" s="10" t="s">
        <v>25</v>
      </c>
      <c r="E141" s="7">
        <v>4186540</v>
      </c>
      <c r="F141" s="7"/>
      <c r="G141" s="7">
        <v>742410</v>
      </c>
      <c r="H141" s="7"/>
      <c r="I141" s="7">
        <v>250128</v>
      </c>
      <c r="J141" s="7"/>
      <c r="K141" s="7">
        <f>2465143+946321+1903014</f>
        <v>5314478</v>
      </c>
      <c r="L141" s="7"/>
      <c r="M141" s="7">
        <v>8001551</v>
      </c>
      <c r="N141" s="7"/>
      <c r="O141" s="7">
        <v>0</v>
      </c>
      <c r="P141" s="7"/>
      <c r="Q141" s="7">
        <v>1563732</v>
      </c>
      <c r="R141" s="7"/>
      <c r="S141" s="7">
        <v>610</v>
      </c>
      <c r="T141" s="7"/>
      <c r="U141" s="7">
        <f>6090+323127</f>
        <v>329217</v>
      </c>
      <c r="V141" s="7"/>
      <c r="W141" s="7">
        <v>0</v>
      </c>
      <c r="X141" s="7"/>
      <c r="Y141" s="7">
        <v>0</v>
      </c>
      <c r="Z141" s="7"/>
      <c r="AA141" s="7">
        <f t="shared" si="13"/>
        <v>15209588</v>
      </c>
      <c r="AB141" s="7"/>
      <c r="AC141" s="7">
        <f t="shared" si="14"/>
        <v>20388666</v>
      </c>
    </row>
    <row r="142" spans="1:31" ht="12.75" customHeight="1" x14ac:dyDescent="0.2">
      <c r="A142" s="10" t="s">
        <v>153</v>
      </c>
      <c r="C142" s="10" t="s">
        <v>38</v>
      </c>
      <c r="E142" s="7">
        <v>3138981</v>
      </c>
      <c r="F142" s="7"/>
      <c r="G142" s="7">
        <v>3741136</v>
      </c>
      <c r="H142" s="7"/>
      <c r="I142" s="7">
        <v>2103342</v>
      </c>
      <c r="J142" s="7"/>
      <c r="K142" s="7">
        <f>507237+16388</f>
        <v>523625</v>
      </c>
      <c r="L142" s="7"/>
      <c r="M142" s="7">
        <f>6188370+985045+985045+492523</f>
        <v>8650983</v>
      </c>
      <c r="N142" s="7"/>
      <c r="O142" s="7">
        <f>373630+427948+215018</f>
        <v>1016596</v>
      </c>
      <c r="P142" s="7"/>
      <c r="Q142" s="7">
        <v>875939</v>
      </c>
      <c r="R142" s="7"/>
      <c r="S142" s="7">
        <v>56672</v>
      </c>
      <c r="T142" s="7"/>
      <c r="U142" s="7">
        <v>80957</v>
      </c>
      <c r="V142" s="7"/>
      <c r="W142" s="7">
        <v>0</v>
      </c>
      <c r="X142" s="7"/>
      <c r="Y142" s="7">
        <v>0</v>
      </c>
      <c r="Z142" s="7"/>
      <c r="AA142" s="7">
        <f t="shared" si="13"/>
        <v>11204772</v>
      </c>
      <c r="AB142" s="7"/>
      <c r="AC142" s="7">
        <f t="shared" si="14"/>
        <v>20188231</v>
      </c>
    </row>
    <row r="143" spans="1:31" ht="12.75" customHeight="1" x14ac:dyDescent="0.2">
      <c r="A143" s="10" t="s">
        <v>154</v>
      </c>
      <c r="C143" s="10" t="s">
        <v>154</v>
      </c>
      <c r="E143" s="7">
        <v>2031406</v>
      </c>
      <c r="F143" s="7"/>
      <c r="G143" s="7">
        <v>4852977</v>
      </c>
      <c r="H143" s="7"/>
      <c r="I143" s="7">
        <v>766305</v>
      </c>
      <c r="J143" s="7"/>
      <c r="K143" s="7">
        <f>1039593+190451</f>
        <v>1230044</v>
      </c>
      <c r="L143" s="7"/>
      <c r="M143" s="7">
        <f>12233801+369225+370907</f>
        <v>12973933</v>
      </c>
      <c r="N143" s="7"/>
      <c r="O143" s="7">
        <f>375340+312562</f>
        <v>687902</v>
      </c>
      <c r="P143" s="7"/>
      <c r="Q143" s="7">
        <v>1273569</v>
      </c>
      <c r="R143" s="7"/>
      <c r="S143" s="7">
        <v>78660</v>
      </c>
      <c r="T143" s="7"/>
      <c r="U143" s="7">
        <v>213899</v>
      </c>
      <c r="V143" s="7"/>
      <c r="W143" s="7">
        <v>-2242904</v>
      </c>
      <c r="X143" s="7"/>
      <c r="Y143" s="7">
        <v>0</v>
      </c>
      <c r="Z143" s="7"/>
      <c r="AA143" s="7">
        <f t="shared" ref="AA143" si="15">SUM(K143:Y143)</f>
        <v>14215103</v>
      </c>
      <c r="AB143" s="7"/>
      <c r="AC143" s="7">
        <f t="shared" ref="AC143:AC158" si="16">SUM(E143:Y143)</f>
        <v>21865791</v>
      </c>
    </row>
    <row r="144" spans="1:31" ht="12.75" customHeight="1" x14ac:dyDescent="0.2">
      <c r="A144" s="10" t="s">
        <v>155</v>
      </c>
      <c r="C144" s="10" t="s">
        <v>31</v>
      </c>
      <c r="E144" s="7">
        <v>1472831</v>
      </c>
      <c r="F144" s="7"/>
      <c r="G144" s="7">
        <v>541212</v>
      </c>
      <c r="H144" s="7"/>
      <c r="I144" s="7">
        <v>504308</v>
      </c>
      <c r="J144" s="7"/>
      <c r="K144" s="7">
        <f>95593+135392</f>
        <v>230985</v>
      </c>
      <c r="L144" s="7"/>
      <c r="M144" s="7">
        <v>1235438</v>
      </c>
      <c r="N144" s="7"/>
      <c r="O144" s="7">
        <v>0</v>
      </c>
      <c r="P144" s="7"/>
      <c r="Q144" s="7">
        <v>196508</v>
      </c>
      <c r="R144" s="7"/>
      <c r="S144" s="7">
        <v>9548</v>
      </c>
      <c r="T144" s="7"/>
      <c r="U144" s="7">
        <f>264556+729435+82042</f>
        <v>1076033</v>
      </c>
      <c r="V144" s="7"/>
      <c r="W144" s="7">
        <v>0</v>
      </c>
      <c r="X144" s="7"/>
      <c r="Y144" s="7">
        <v>0</v>
      </c>
      <c r="Z144" s="7"/>
      <c r="AA144" s="7">
        <f t="shared" ref="AA144:AA167" si="17">SUM(K144:Y144)</f>
        <v>2748512</v>
      </c>
      <c r="AB144" s="7"/>
      <c r="AC144" s="7">
        <f t="shared" si="16"/>
        <v>5266863</v>
      </c>
    </row>
    <row r="145" spans="1:29" ht="12.75" customHeight="1" x14ac:dyDescent="0.2">
      <c r="A145" s="10" t="s">
        <v>156</v>
      </c>
      <c r="C145" s="10" t="s">
        <v>157</v>
      </c>
      <c r="E145" s="7">
        <v>2876754</v>
      </c>
      <c r="F145" s="7"/>
      <c r="G145" s="7">
        <v>984900</v>
      </c>
      <c r="H145" s="7"/>
      <c r="I145" s="7">
        <v>1105468</v>
      </c>
      <c r="J145" s="7"/>
      <c r="K145" s="7">
        <f>1351597+115553+115553</f>
        <v>1582703</v>
      </c>
      <c r="L145" s="7"/>
      <c r="M145" s="7">
        <v>14043831</v>
      </c>
      <c r="N145" s="7"/>
      <c r="O145" s="7">
        <f>357269+1486927</f>
        <v>1844196</v>
      </c>
      <c r="P145" s="7"/>
      <c r="Q145" s="7">
        <v>691055</v>
      </c>
      <c r="R145" s="7"/>
      <c r="S145" s="7">
        <v>82533</v>
      </c>
      <c r="T145" s="7"/>
      <c r="U145" s="7">
        <f>1670+162825</f>
        <v>164495</v>
      </c>
      <c r="V145" s="7"/>
      <c r="W145" s="7">
        <v>0</v>
      </c>
      <c r="X145" s="7"/>
      <c r="Y145" s="7">
        <v>0</v>
      </c>
      <c r="Z145" s="7"/>
      <c r="AA145" s="7">
        <f t="shared" si="17"/>
        <v>18408813</v>
      </c>
      <c r="AB145" s="7"/>
      <c r="AC145" s="7">
        <f t="shared" si="16"/>
        <v>23375935</v>
      </c>
    </row>
    <row r="146" spans="1:29" s="9" customFormat="1" ht="12.75" customHeight="1" x14ac:dyDescent="0.2">
      <c r="A146" s="9" t="s">
        <v>158</v>
      </c>
      <c r="C146" s="9" t="s">
        <v>109</v>
      </c>
      <c r="E146" s="7">
        <v>4941476</v>
      </c>
      <c r="F146" s="7"/>
      <c r="G146" s="7">
        <v>783868</v>
      </c>
      <c r="H146" s="7"/>
      <c r="I146" s="7">
        <v>6139061</v>
      </c>
      <c r="J146" s="7"/>
      <c r="K146" s="7">
        <f>542228+3823815+1536649</f>
        <v>5902692</v>
      </c>
      <c r="L146" s="7"/>
      <c r="M146" s="7">
        <v>22957701</v>
      </c>
      <c r="N146" s="7"/>
      <c r="O146" s="7">
        <v>2398676</v>
      </c>
      <c r="P146" s="7"/>
      <c r="Q146" s="7">
        <v>2514375</v>
      </c>
      <c r="R146" s="7"/>
      <c r="S146" s="7">
        <v>257148</v>
      </c>
      <c r="T146" s="7"/>
      <c r="U146" s="7">
        <v>887160</v>
      </c>
      <c r="V146" s="7"/>
      <c r="W146" s="7">
        <v>-996500</v>
      </c>
      <c r="X146" s="7"/>
      <c r="Y146" s="7">
        <v>0</v>
      </c>
      <c r="Z146" s="7"/>
      <c r="AA146" s="7">
        <f t="shared" si="17"/>
        <v>33921252</v>
      </c>
      <c r="AB146" s="7"/>
      <c r="AC146" s="7">
        <f t="shared" si="16"/>
        <v>45785657</v>
      </c>
    </row>
    <row r="147" spans="1:29" ht="12.75" customHeight="1" x14ac:dyDescent="0.2">
      <c r="A147" s="10" t="s">
        <v>159</v>
      </c>
      <c r="C147" s="10" t="s">
        <v>13</v>
      </c>
      <c r="E147" s="7">
        <v>5304902</v>
      </c>
      <c r="F147" s="7"/>
      <c r="G147" s="7">
        <v>2841712</v>
      </c>
      <c r="H147" s="7"/>
      <c r="I147" s="7">
        <v>1391487</v>
      </c>
      <c r="J147" s="7"/>
      <c r="K147" s="7">
        <f>1280629+290378</f>
        <v>1571007</v>
      </c>
      <c r="L147" s="7"/>
      <c r="M147" s="7">
        <f>12322272+1381858+45133+1088277</f>
        <v>14837540</v>
      </c>
      <c r="N147" s="7"/>
      <c r="O147" s="7">
        <v>261146</v>
      </c>
      <c r="P147" s="7"/>
      <c r="Q147" s="7">
        <v>1323761</v>
      </c>
      <c r="R147" s="7"/>
      <c r="S147" s="7">
        <v>74320</v>
      </c>
      <c r="T147" s="7"/>
      <c r="U147" s="7">
        <v>975527</v>
      </c>
      <c r="V147" s="7"/>
      <c r="W147" s="7">
        <v>0</v>
      </c>
      <c r="X147" s="7"/>
      <c r="Y147" s="7">
        <v>0</v>
      </c>
      <c r="Z147" s="7"/>
      <c r="AA147" s="7">
        <f t="shared" si="17"/>
        <v>19043301</v>
      </c>
      <c r="AB147" s="7"/>
      <c r="AC147" s="7">
        <f t="shared" si="16"/>
        <v>28581402</v>
      </c>
    </row>
    <row r="148" spans="1:29" ht="12.75" customHeight="1" x14ac:dyDescent="0.2">
      <c r="A148" s="10" t="s">
        <v>160</v>
      </c>
      <c r="C148" s="10" t="s">
        <v>161</v>
      </c>
      <c r="E148" s="7">
        <v>3859630</v>
      </c>
      <c r="F148" s="7"/>
      <c r="G148" s="7">
        <v>989816</v>
      </c>
      <c r="H148" s="7"/>
      <c r="I148" s="7">
        <v>2972</v>
      </c>
      <c r="J148" s="7"/>
      <c r="K148" s="7">
        <v>3357163</v>
      </c>
      <c r="L148" s="7"/>
      <c r="M148" s="7">
        <v>15066453</v>
      </c>
      <c r="N148" s="7"/>
      <c r="O148" s="7">
        <v>0</v>
      </c>
      <c r="P148" s="7"/>
      <c r="Q148" s="7">
        <v>1502439</v>
      </c>
      <c r="R148" s="7"/>
      <c r="S148" s="7">
        <v>313427</v>
      </c>
      <c r="T148" s="7"/>
      <c r="U148" s="7">
        <v>194749</v>
      </c>
      <c r="V148" s="7"/>
      <c r="W148" s="7">
        <v>482546</v>
      </c>
      <c r="X148" s="7"/>
      <c r="Y148" s="7">
        <v>0</v>
      </c>
      <c r="Z148" s="7"/>
      <c r="AA148" s="7">
        <f t="shared" si="17"/>
        <v>20916777</v>
      </c>
      <c r="AB148" s="7"/>
      <c r="AC148" s="7">
        <f t="shared" si="16"/>
        <v>25769195</v>
      </c>
    </row>
    <row r="149" spans="1:29" ht="12.75" customHeight="1" x14ac:dyDescent="0.2">
      <c r="A149" s="10" t="s">
        <v>162</v>
      </c>
      <c r="C149" s="10" t="s">
        <v>25</v>
      </c>
      <c r="E149" s="7">
        <v>1846112</v>
      </c>
      <c r="F149" s="7"/>
      <c r="G149" s="7">
        <v>730580</v>
      </c>
      <c r="H149" s="7"/>
      <c r="I149" s="7">
        <v>10325375</v>
      </c>
      <c r="J149" s="7"/>
      <c r="K149" s="7">
        <f>4080934+765030+309318</f>
        <v>5155282</v>
      </c>
      <c r="L149" s="7"/>
      <c r="M149" s="7">
        <v>13424764</v>
      </c>
      <c r="N149" s="7"/>
      <c r="O149" s="7">
        <v>275168</v>
      </c>
      <c r="P149" s="7"/>
      <c r="Q149" s="7">
        <v>1505947</v>
      </c>
      <c r="R149" s="7"/>
      <c r="S149" s="7">
        <v>143354</v>
      </c>
      <c r="T149" s="7"/>
      <c r="U149" s="7">
        <v>68259</v>
      </c>
      <c r="V149" s="7"/>
      <c r="W149" s="7">
        <v>0</v>
      </c>
      <c r="X149" s="7"/>
      <c r="Y149" s="7">
        <v>0</v>
      </c>
      <c r="Z149" s="7"/>
      <c r="AA149" s="7">
        <f t="shared" si="17"/>
        <v>20572774</v>
      </c>
      <c r="AB149" s="7"/>
      <c r="AC149" s="7">
        <f t="shared" si="16"/>
        <v>33474841</v>
      </c>
    </row>
    <row r="150" spans="1:29" ht="12.75" customHeight="1" x14ac:dyDescent="0.2">
      <c r="A150" s="10" t="s">
        <v>51</v>
      </c>
      <c r="C150" s="10" t="s">
        <v>51</v>
      </c>
      <c r="E150" s="7">
        <v>3204235</v>
      </c>
      <c r="F150" s="7"/>
      <c r="G150" s="7">
        <v>2201118</v>
      </c>
      <c r="H150" s="7"/>
      <c r="I150" s="7">
        <v>1214535</v>
      </c>
      <c r="J150" s="7"/>
      <c r="K150" s="7">
        <f>1386778+1184221</f>
        <v>2570999</v>
      </c>
      <c r="L150" s="7"/>
      <c r="M150" s="7">
        <f>2582384+9495732+1046504</f>
        <v>13124620</v>
      </c>
      <c r="N150" s="7"/>
      <c r="O150" s="7">
        <v>52798</v>
      </c>
      <c r="P150" s="7"/>
      <c r="Q150" s="7">
        <v>1348331</v>
      </c>
      <c r="R150" s="7"/>
      <c r="S150" s="7">
        <v>32588</v>
      </c>
      <c r="T150" s="7"/>
      <c r="U150" s="7">
        <v>77156</v>
      </c>
      <c r="V150" s="7"/>
      <c r="W150" s="7">
        <v>0</v>
      </c>
      <c r="X150" s="7"/>
      <c r="Y150" s="7">
        <v>0</v>
      </c>
      <c r="Z150" s="7"/>
      <c r="AA150" s="7">
        <f t="shared" si="17"/>
        <v>17206492</v>
      </c>
      <c r="AB150" s="7"/>
      <c r="AC150" s="7">
        <f t="shared" si="16"/>
        <v>23826380</v>
      </c>
    </row>
    <row r="151" spans="1:29" ht="12.75" customHeight="1" x14ac:dyDescent="0.2">
      <c r="A151" s="10" t="s">
        <v>163</v>
      </c>
      <c r="C151" s="10" t="s">
        <v>90</v>
      </c>
      <c r="E151" s="7">
        <v>12320678</v>
      </c>
      <c r="F151" s="7"/>
      <c r="G151" s="7">
        <v>1730479</v>
      </c>
      <c r="H151" s="7"/>
      <c r="I151" s="7">
        <v>123170</v>
      </c>
      <c r="J151" s="7"/>
      <c r="K151" s="7">
        <f>1453136+1861131+1884994</f>
        <v>5199261</v>
      </c>
      <c r="L151" s="7"/>
      <c r="M151" s="7">
        <v>37914960</v>
      </c>
      <c r="N151" s="7"/>
      <c r="O151" s="7">
        <f>514501+662591</f>
        <v>1177092</v>
      </c>
      <c r="P151" s="7"/>
      <c r="Q151" s="7">
        <v>6419066</v>
      </c>
      <c r="R151" s="7"/>
      <c r="S151" s="7">
        <v>684403</v>
      </c>
      <c r="T151" s="7"/>
      <c r="U151" s="7">
        <v>138873</v>
      </c>
      <c r="V151" s="7"/>
      <c r="W151" s="7">
        <v>0</v>
      </c>
      <c r="X151" s="7"/>
      <c r="Y151" s="7">
        <v>0</v>
      </c>
      <c r="Z151" s="7"/>
      <c r="AA151" s="7">
        <f t="shared" si="17"/>
        <v>51533655</v>
      </c>
      <c r="AB151" s="7"/>
      <c r="AC151" s="7">
        <f t="shared" si="16"/>
        <v>65707982</v>
      </c>
    </row>
    <row r="152" spans="1:29" ht="12.75" customHeight="1" x14ac:dyDescent="0.2">
      <c r="A152" s="10" t="s">
        <v>164</v>
      </c>
      <c r="C152" s="10" t="s">
        <v>90</v>
      </c>
      <c r="E152" s="7">
        <v>782098</v>
      </c>
      <c r="F152" s="7"/>
      <c r="G152" s="7">
        <v>422775</v>
      </c>
      <c r="H152" s="7"/>
      <c r="I152" s="7">
        <v>79714</v>
      </c>
      <c r="J152" s="7"/>
      <c r="K152" s="7">
        <f>319090+1201984</f>
        <v>1521074</v>
      </c>
      <c r="L152" s="7"/>
      <c r="M152" s="7">
        <v>836576</v>
      </c>
      <c r="N152" s="7"/>
      <c r="O152" s="7">
        <v>0</v>
      </c>
      <c r="P152" s="7"/>
      <c r="Q152" s="7">
        <v>537345</v>
      </c>
      <c r="R152" s="7"/>
      <c r="S152" s="7">
        <v>1163</v>
      </c>
      <c r="T152" s="7"/>
      <c r="U152" s="7">
        <v>16932</v>
      </c>
      <c r="V152" s="7"/>
      <c r="W152" s="7">
        <v>0</v>
      </c>
      <c r="X152" s="7"/>
      <c r="Y152" s="7">
        <v>0</v>
      </c>
      <c r="Z152" s="7"/>
      <c r="AA152" s="7">
        <f t="shared" si="17"/>
        <v>2913090</v>
      </c>
      <c r="AB152" s="7"/>
      <c r="AC152" s="7">
        <f t="shared" si="16"/>
        <v>4197677</v>
      </c>
    </row>
    <row r="153" spans="1:29" ht="12.75" customHeight="1" x14ac:dyDescent="0.2">
      <c r="A153" s="10" t="s">
        <v>165</v>
      </c>
      <c r="C153" s="10" t="s">
        <v>64</v>
      </c>
      <c r="E153" s="7">
        <v>4382555</v>
      </c>
      <c r="F153" s="7"/>
      <c r="G153" s="7">
        <v>1017254</v>
      </c>
      <c r="H153" s="7"/>
      <c r="I153" s="7">
        <v>1387878</v>
      </c>
      <c r="J153" s="7"/>
      <c r="K153" s="7">
        <f>1170672+49348+1076280+227757</f>
        <v>2524057</v>
      </c>
      <c r="L153" s="7"/>
      <c r="M153" s="7">
        <f>2422504+11831232</f>
        <v>14253736</v>
      </c>
      <c r="N153" s="7"/>
      <c r="O153" s="7">
        <v>180612</v>
      </c>
      <c r="P153" s="7"/>
      <c r="Q153" s="7">
        <v>1789278</v>
      </c>
      <c r="R153" s="7"/>
      <c r="S153" s="7">
        <v>193488</v>
      </c>
      <c r="T153" s="7"/>
      <c r="U153" s="7">
        <v>1144270</v>
      </c>
      <c r="V153" s="7"/>
      <c r="W153" s="7">
        <v>-422010</v>
      </c>
      <c r="X153" s="7"/>
      <c r="Y153" s="7">
        <v>0</v>
      </c>
      <c r="Z153" s="7"/>
      <c r="AA153" s="7">
        <f t="shared" si="17"/>
        <v>19663431</v>
      </c>
      <c r="AB153" s="7"/>
      <c r="AC153" s="7">
        <f t="shared" si="16"/>
        <v>26451118</v>
      </c>
    </row>
    <row r="154" spans="1:29" ht="12.75" customHeight="1" x14ac:dyDescent="0.2">
      <c r="A154" s="7" t="s">
        <v>166</v>
      </c>
      <c r="C154" s="7" t="s">
        <v>25</v>
      </c>
      <c r="D154" s="7"/>
      <c r="E154" s="7">
        <v>3175079</v>
      </c>
      <c r="F154" s="7"/>
      <c r="G154" s="7">
        <v>848150</v>
      </c>
      <c r="H154" s="7"/>
      <c r="I154" s="7">
        <v>1238019</v>
      </c>
      <c r="J154" s="7"/>
      <c r="K154" s="7">
        <f>2094556+224823+269788+149000</f>
        <v>2738167</v>
      </c>
      <c r="L154" s="7"/>
      <c r="M154" s="7">
        <f>13806366+1103726+1400216+1071646</f>
        <v>17381954</v>
      </c>
      <c r="N154" s="7"/>
      <c r="O154" s="7">
        <v>0</v>
      </c>
      <c r="P154" s="7"/>
      <c r="Q154" s="7">
        <v>953727</v>
      </c>
      <c r="R154" s="7"/>
      <c r="S154" s="7">
        <v>69863</v>
      </c>
      <c r="T154" s="7"/>
      <c r="U154" s="7">
        <v>493820</v>
      </c>
      <c r="V154" s="7"/>
      <c r="W154" s="7">
        <v>0</v>
      </c>
      <c r="X154" s="7"/>
      <c r="Y154" s="7">
        <v>0</v>
      </c>
      <c r="Z154" s="7"/>
      <c r="AA154" s="7">
        <f t="shared" si="17"/>
        <v>21637531</v>
      </c>
      <c r="AB154" s="7"/>
      <c r="AC154" s="7">
        <f t="shared" si="16"/>
        <v>26898779</v>
      </c>
    </row>
    <row r="155" spans="1:29" ht="12.75" customHeight="1" x14ac:dyDescent="0.2">
      <c r="A155" s="10" t="s">
        <v>167</v>
      </c>
      <c r="C155" s="10" t="s">
        <v>101</v>
      </c>
      <c r="E155" s="7">
        <v>9009978</v>
      </c>
      <c r="F155" s="7"/>
      <c r="G155" s="7">
        <v>9386468</v>
      </c>
      <c r="H155" s="7"/>
      <c r="I155" s="7">
        <v>8523780</v>
      </c>
      <c r="J155" s="7"/>
      <c r="K155" s="7">
        <v>4081499</v>
      </c>
      <c r="L155" s="7"/>
      <c r="M155" s="7">
        <v>19827982</v>
      </c>
      <c r="N155" s="7"/>
      <c r="O155" s="7">
        <f>2656808+1245443</f>
        <v>3902251</v>
      </c>
      <c r="P155" s="7"/>
      <c r="Q155" s="7">
        <v>1648584</v>
      </c>
      <c r="R155" s="7"/>
      <c r="S155" s="7">
        <v>-78720</v>
      </c>
      <c r="T155" s="7"/>
      <c r="U155" s="7">
        <v>233885</v>
      </c>
      <c r="V155" s="7"/>
      <c r="W155" s="7">
        <v>63528</v>
      </c>
      <c r="X155" s="7"/>
      <c r="Y155" s="7">
        <v>0</v>
      </c>
      <c r="Z155" s="7"/>
      <c r="AA155" s="7">
        <f t="shared" si="17"/>
        <v>29679009</v>
      </c>
      <c r="AB155" s="7"/>
      <c r="AC155" s="7">
        <f t="shared" si="16"/>
        <v>56599235</v>
      </c>
    </row>
    <row r="156" spans="1:29" ht="12.75" customHeight="1" x14ac:dyDescent="0.2">
      <c r="A156" s="10" t="s">
        <v>168</v>
      </c>
      <c r="C156" s="10" t="s">
        <v>169</v>
      </c>
      <c r="E156" s="7">
        <v>444003</v>
      </c>
      <c r="F156" s="7"/>
      <c r="G156" s="7">
        <v>305121</v>
      </c>
      <c r="H156" s="7"/>
      <c r="I156" s="7">
        <v>0</v>
      </c>
      <c r="J156" s="7"/>
      <c r="K156" s="7">
        <v>1801690</v>
      </c>
      <c r="L156" s="7"/>
      <c r="M156" s="7">
        <v>2692585</v>
      </c>
      <c r="N156" s="7"/>
      <c r="O156" s="7">
        <f>651687+95410+134650+97420+309820+71623</f>
        <v>1360610</v>
      </c>
      <c r="P156" s="7"/>
      <c r="Q156" s="7">
        <v>336722</v>
      </c>
      <c r="R156" s="7"/>
      <c r="S156" s="7">
        <v>18845</v>
      </c>
      <c r="T156" s="7"/>
      <c r="U156" s="7">
        <v>54931</v>
      </c>
      <c r="V156" s="7"/>
      <c r="W156" s="7">
        <v>0</v>
      </c>
      <c r="X156" s="7"/>
      <c r="Y156" s="7">
        <v>0</v>
      </c>
      <c r="Z156" s="7"/>
      <c r="AA156" s="7">
        <f t="shared" si="17"/>
        <v>6265383</v>
      </c>
      <c r="AB156" s="7"/>
      <c r="AC156" s="7">
        <f t="shared" si="16"/>
        <v>7014507</v>
      </c>
    </row>
    <row r="157" spans="1:29" ht="12.75" customHeight="1" x14ac:dyDescent="0.2">
      <c r="A157" s="10" t="s">
        <v>170</v>
      </c>
      <c r="C157" s="10" t="s">
        <v>101</v>
      </c>
      <c r="E157" s="7">
        <v>1747229</v>
      </c>
      <c r="F157" s="7"/>
      <c r="G157" s="7">
        <v>72147</v>
      </c>
      <c r="H157" s="7"/>
      <c r="I157" s="7">
        <v>788738</v>
      </c>
      <c r="J157" s="7"/>
      <c r="K157" s="7">
        <f>587220+1628468</f>
        <v>2215688</v>
      </c>
      <c r="L157" s="7"/>
      <c r="M157" s="7">
        <v>6181870</v>
      </c>
      <c r="N157" s="7"/>
      <c r="O157" s="7">
        <f>2961845+1185004</f>
        <v>4146849</v>
      </c>
      <c r="P157" s="7"/>
      <c r="Q157" s="7">
        <v>339710</v>
      </c>
      <c r="R157" s="7"/>
      <c r="S157" s="7">
        <v>52263</v>
      </c>
      <c r="T157" s="7"/>
      <c r="U157" s="7">
        <v>1159488</v>
      </c>
      <c r="V157" s="7"/>
      <c r="W157" s="7">
        <v>0</v>
      </c>
      <c r="X157" s="7"/>
      <c r="Y157" s="7">
        <v>0</v>
      </c>
      <c r="Z157" s="7"/>
      <c r="AA157" s="7">
        <f t="shared" si="17"/>
        <v>14095868</v>
      </c>
      <c r="AB157" s="7"/>
      <c r="AC157" s="7">
        <f t="shared" si="16"/>
        <v>16703982</v>
      </c>
    </row>
    <row r="158" spans="1:29" ht="12.75" customHeight="1" x14ac:dyDescent="0.2">
      <c r="A158" s="10" t="s">
        <v>64</v>
      </c>
      <c r="C158" s="10" t="s">
        <v>43</v>
      </c>
      <c r="E158" s="7">
        <v>1331975</v>
      </c>
      <c r="F158" s="7"/>
      <c r="G158" s="7">
        <v>503370</v>
      </c>
      <c r="H158" s="7"/>
      <c r="I158" s="7">
        <v>0</v>
      </c>
      <c r="J158" s="7"/>
      <c r="K158" s="7">
        <v>4831239</v>
      </c>
      <c r="L158" s="7"/>
      <c r="M158" s="7">
        <v>7163487</v>
      </c>
      <c r="N158" s="7"/>
      <c r="O158" s="7">
        <v>1686255</v>
      </c>
      <c r="P158" s="7"/>
      <c r="Q158" s="7">
        <v>672620</v>
      </c>
      <c r="R158" s="7"/>
      <c r="S158" s="7">
        <v>203020</v>
      </c>
      <c r="T158" s="7"/>
      <c r="U158" s="7">
        <v>329452</v>
      </c>
      <c r="V158" s="7"/>
      <c r="W158" s="7">
        <v>0</v>
      </c>
      <c r="X158" s="7"/>
      <c r="Y158" s="7">
        <v>0</v>
      </c>
      <c r="Z158" s="7"/>
      <c r="AA158" s="7">
        <f t="shared" si="17"/>
        <v>14886073</v>
      </c>
      <c r="AB158" s="7"/>
      <c r="AC158" s="7">
        <f t="shared" si="16"/>
        <v>16721418</v>
      </c>
    </row>
    <row r="159" spans="1:29" ht="12.75" customHeight="1" x14ac:dyDescent="0.2">
      <c r="A159" s="10" t="s">
        <v>171</v>
      </c>
      <c r="C159" s="10" t="s">
        <v>64</v>
      </c>
      <c r="E159" s="7">
        <v>1118942</v>
      </c>
      <c r="F159" s="7"/>
      <c r="G159" s="7">
        <v>451451</v>
      </c>
      <c r="H159" s="7"/>
      <c r="I159" s="7">
        <v>382185</v>
      </c>
      <c r="J159" s="7"/>
      <c r="K159" s="7">
        <f>349986+70116+70115</f>
        <v>490217</v>
      </c>
      <c r="L159" s="7"/>
      <c r="M159" s="7">
        <v>10045847</v>
      </c>
      <c r="N159" s="7"/>
      <c r="O159" s="7">
        <f>23822+33136</f>
        <v>56958</v>
      </c>
      <c r="P159" s="7"/>
      <c r="Q159" s="7">
        <v>222897</v>
      </c>
      <c r="R159" s="7"/>
      <c r="S159" s="7">
        <v>31106</v>
      </c>
      <c r="T159" s="7"/>
      <c r="U159" s="7">
        <v>126092</v>
      </c>
      <c r="V159" s="7"/>
      <c r="W159" s="7">
        <v>0</v>
      </c>
      <c r="X159" s="7"/>
      <c r="Y159" s="7">
        <v>0</v>
      </c>
      <c r="Z159" s="7"/>
      <c r="AA159" s="7">
        <f t="shared" si="17"/>
        <v>10973117</v>
      </c>
      <c r="AB159" s="7"/>
      <c r="AC159" s="7">
        <f t="shared" ref="AC159:AC167" si="18">SUM(E159:Y159)</f>
        <v>12925695</v>
      </c>
    </row>
    <row r="160" spans="1:29" ht="12.75" customHeight="1" x14ac:dyDescent="0.2">
      <c r="A160" s="10" t="s">
        <v>172</v>
      </c>
      <c r="C160" s="10" t="s">
        <v>43</v>
      </c>
      <c r="E160" s="7">
        <v>984572</v>
      </c>
      <c r="F160" s="7"/>
      <c r="G160" s="7">
        <v>301162</v>
      </c>
      <c r="H160" s="7"/>
      <c r="I160" s="7">
        <v>294185</v>
      </c>
      <c r="J160" s="7"/>
      <c r="K160" s="7">
        <f>311569+98869+345274</f>
        <v>755712</v>
      </c>
      <c r="L160" s="7"/>
      <c r="M160" s="7">
        <v>1510743</v>
      </c>
      <c r="N160" s="7"/>
      <c r="O160" s="7">
        <v>0</v>
      </c>
      <c r="P160" s="7"/>
      <c r="Q160" s="7">
        <v>212610</v>
      </c>
      <c r="R160" s="7"/>
      <c r="S160" s="7">
        <v>965</v>
      </c>
      <c r="T160" s="7"/>
      <c r="U160" s="7">
        <v>63096</v>
      </c>
      <c r="V160" s="7"/>
      <c r="W160" s="7">
        <v>0</v>
      </c>
      <c r="X160" s="7"/>
      <c r="Y160" s="7">
        <v>0</v>
      </c>
      <c r="Z160" s="7"/>
      <c r="AA160" s="7">
        <f t="shared" si="17"/>
        <v>2543126</v>
      </c>
      <c r="AB160" s="7"/>
      <c r="AC160" s="7">
        <f t="shared" si="18"/>
        <v>4123045</v>
      </c>
    </row>
    <row r="161" spans="1:29" ht="12.75" customHeight="1" x14ac:dyDescent="0.2">
      <c r="A161" s="10" t="s">
        <v>173</v>
      </c>
      <c r="C161" s="10" t="s">
        <v>174</v>
      </c>
      <c r="E161" s="7">
        <v>2430875</v>
      </c>
      <c r="F161" s="7"/>
      <c r="G161" s="7">
        <v>2024553</v>
      </c>
      <c r="H161" s="7"/>
      <c r="I161" s="7">
        <v>2169916</v>
      </c>
      <c r="J161" s="7"/>
      <c r="K161" s="7">
        <f>571710+134352+32707+1441186</f>
        <v>2179955</v>
      </c>
      <c r="L161" s="7"/>
      <c r="M161" s="7">
        <v>10566350</v>
      </c>
      <c r="N161" s="7"/>
      <c r="O161" s="7">
        <v>98030</v>
      </c>
      <c r="P161" s="7"/>
      <c r="Q161" s="7">
        <v>725574</v>
      </c>
      <c r="R161" s="7"/>
      <c r="S161" s="7">
        <v>37698</v>
      </c>
      <c r="T161" s="7"/>
      <c r="U161" s="7">
        <v>261553</v>
      </c>
      <c r="V161" s="7"/>
      <c r="W161" s="7">
        <v>0</v>
      </c>
      <c r="X161" s="7"/>
      <c r="Y161" s="7">
        <v>0</v>
      </c>
      <c r="Z161" s="7"/>
      <c r="AA161" s="7">
        <f t="shared" si="17"/>
        <v>13869160</v>
      </c>
      <c r="AB161" s="7"/>
      <c r="AC161" s="7">
        <f t="shared" si="18"/>
        <v>20494504</v>
      </c>
    </row>
    <row r="162" spans="1:29" ht="12.75" customHeight="1" x14ac:dyDescent="0.2">
      <c r="A162" s="10" t="s">
        <v>175</v>
      </c>
      <c r="C162" s="10" t="s">
        <v>11</v>
      </c>
      <c r="E162" s="7">
        <v>303802</v>
      </c>
      <c r="F162" s="7"/>
      <c r="G162" s="7">
        <v>319984</v>
      </c>
      <c r="H162" s="7"/>
      <c r="I162" s="7">
        <v>36000</v>
      </c>
      <c r="J162" s="7"/>
      <c r="K162" s="7">
        <f>210217+131386+148903+167170</f>
        <v>657676</v>
      </c>
      <c r="L162" s="7"/>
      <c r="M162" s="7">
        <f>906944+163588</f>
        <v>1070532</v>
      </c>
      <c r="N162" s="7"/>
      <c r="O162" s="7">
        <v>0</v>
      </c>
      <c r="P162" s="7"/>
      <c r="Q162" s="7">
        <v>262253</v>
      </c>
      <c r="R162" s="7"/>
      <c r="S162" s="7">
        <v>45360</v>
      </c>
      <c r="T162" s="7"/>
      <c r="U162" s="7">
        <v>50301</v>
      </c>
      <c r="V162" s="7"/>
      <c r="W162" s="7">
        <v>1531</v>
      </c>
      <c r="X162" s="7"/>
      <c r="Y162" s="7">
        <v>0</v>
      </c>
      <c r="Z162" s="7"/>
      <c r="AA162" s="7">
        <f t="shared" si="17"/>
        <v>2087653</v>
      </c>
      <c r="AB162" s="7"/>
      <c r="AC162" s="7">
        <f t="shared" si="18"/>
        <v>2747439</v>
      </c>
    </row>
    <row r="163" spans="1:29" ht="12.75" customHeight="1" x14ac:dyDescent="0.2">
      <c r="A163" s="10" t="s">
        <v>176</v>
      </c>
      <c r="C163" s="10" t="s">
        <v>177</v>
      </c>
      <c r="E163" s="7">
        <v>1383500</v>
      </c>
      <c r="F163" s="7"/>
      <c r="G163" s="7">
        <v>830875</v>
      </c>
      <c r="H163" s="7"/>
      <c r="I163" s="7">
        <v>111784</v>
      </c>
      <c r="J163" s="7"/>
      <c r="K163" s="7">
        <v>369498</v>
      </c>
      <c r="L163" s="7"/>
      <c r="M163" s="7">
        <v>3265008</v>
      </c>
      <c r="N163" s="7"/>
      <c r="O163" s="7">
        <v>524942</v>
      </c>
      <c r="P163" s="7"/>
      <c r="Q163" s="7">
        <v>509026</v>
      </c>
      <c r="R163" s="7"/>
      <c r="S163" s="7">
        <v>67633</v>
      </c>
      <c r="T163" s="7"/>
      <c r="U163" s="7">
        <v>165688</v>
      </c>
      <c r="V163" s="7"/>
      <c r="W163" s="7">
        <v>-113475</v>
      </c>
      <c r="X163" s="7"/>
      <c r="Y163" s="7">
        <v>0</v>
      </c>
      <c r="Z163" s="7"/>
      <c r="AA163" s="7">
        <f t="shared" si="17"/>
        <v>4788320</v>
      </c>
      <c r="AB163" s="7"/>
      <c r="AC163" s="7">
        <f t="shared" si="18"/>
        <v>7114479</v>
      </c>
    </row>
    <row r="164" spans="1:29" ht="12.75" customHeight="1" x14ac:dyDescent="0.2">
      <c r="A164" s="10" t="s">
        <v>178</v>
      </c>
      <c r="C164" s="10" t="s">
        <v>18</v>
      </c>
      <c r="E164" s="7">
        <v>145521</v>
      </c>
      <c r="F164" s="7"/>
      <c r="G164" s="7">
        <v>353447</v>
      </c>
      <c r="H164" s="7"/>
      <c r="I164" s="7">
        <v>0</v>
      </c>
      <c r="J164" s="7"/>
      <c r="K164" s="7">
        <f>204121+298853+20651</f>
        <v>523625</v>
      </c>
      <c r="L164" s="7"/>
      <c r="M164" s="7">
        <f>1163718+242517+290973</f>
        <v>1697208</v>
      </c>
      <c r="N164" s="7"/>
      <c r="O164" s="7">
        <v>0</v>
      </c>
      <c r="P164" s="7"/>
      <c r="Q164" s="7">
        <v>248777</v>
      </c>
      <c r="R164" s="7"/>
      <c r="S164" s="7">
        <v>10110</v>
      </c>
      <c r="T164" s="7"/>
      <c r="U164" s="7">
        <f>35978+6007+28441</f>
        <v>70426</v>
      </c>
      <c r="V164" s="7"/>
      <c r="W164" s="7">
        <v>0</v>
      </c>
      <c r="X164" s="7"/>
      <c r="Y164" s="7">
        <v>0</v>
      </c>
      <c r="Z164" s="7"/>
      <c r="AA164" s="7">
        <f t="shared" si="17"/>
        <v>2550146</v>
      </c>
      <c r="AB164" s="7"/>
      <c r="AC164" s="7">
        <f t="shared" si="18"/>
        <v>3049114</v>
      </c>
    </row>
    <row r="165" spans="1:29" ht="12.75" customHeight="1" x14ac:dyDescent="0.2">
      <c r="A165" s="7" t="s">
        <v>495</v>
      </c>
      <c r="C165" s="7" t="s">
        <v>41</v>
      </c>
      <c r="E165" s="7">
        <v>1344072</v>
      </c>
      <c r="F165" s="7"/>
      <c r="G165" s="7">
        <v>2199837</v>
      </c>
      <c r="H165" s="7"/>
      <c r="I165" s="7">
        <v>1831925</v>
      </c>
      <c r="J165" s="7"/>
      <c r="K165" s="7">
        <v>920505</v>
      </c>
      <c r="L165" s="7"/>
      <c r="M165" s="7">
        <f>11994003+7661507+2604902</f>
        <v>22260412</v>
      </c>
      <c r="N165" s="7"/>
      <c r="O165" s="7">
        <v>2669472</v>
      </c>
      <c r="P165" s="7"/>
      <c r="Q165" s="7">
        <v>1015806</v>
      </c>
      <c r="R165" s="7"/>
      <c r="S165" s="7">
        <v>81720</v>
      </c>
      <c r="T165" s="7"/>
      <c r="U165" s="7">
        <v>150144</v>
      </c>
      <c r="V165" s="7"/>
      <c r="W165" s="7">
        <v>0</v>
      </c>
      <c r="X165" s="7"/>
      <c r="Y165" s="7">
        <v>0</v>
      </c>
      <c r="Z165" s="7"/>
      <c r="AA165" s="7">
        <f t="shared" si="17"/>
        <v>27098059</v>
      </c>
      <c r="AB165" s="7"/>
      <c r="AC165" s="7">
        <f t="shared" si="18"/>
        <v>32473893</v>
      </c>
    </row>
    <row r="166" spans="1:29" ht="12.75" customHeight="1" x14ac:dyDescent="0.2">
      <c r="A166" s="10" t="s">
        <v>180</v>
      </c>
      <c r="C166" s="10" t="s">
        <v>181</v>
      </c>
      <c r="E166" s="7">
        <v>763748</v>
      </c>
      <c r="F166" s="7"/>
      <c r="G166" s="7">
        <v>388169</v>
      </c>
      <c r="H166" s="7"/>
      <c r="I166" s="7">
        <v>77990</v>
      </c>
      <c r="J166" s="7"/>
      <c r="K166" s="7">
        <v>744034</v>
      </c>
      <c r="L166" s="7"/>
      <c r="M166" s="7">
        <v>886838</v>
      </c>
      <c r="N166" s="7"/>
      <c r="O166" s="7">
        <v>77776</v>
      </c>
      <c r="P166" s="7"/>
      <c r="Q166" s="7">
        <v>140851</v>
      </c>
      <c r="R166" s="7"/>
      <c r="S166" s="7">
        <v>0</v>
      </c>
      <c r="T166" s="7"/>
      <c r="U166" s="7">
        <v>11752</v>
      </c>
      <c r="V166" s="7"/>
      <c r="W166" s="7">
        <v>-1000</v>
      </c>
      <c r="X166" s="7"/>
      <c r="Y166" s="7">
        <v>0</v>
      </c>
      <c r="Z166" s="7"/>
      <c r="AA166" s="7">
        <f t="shared" si="17"/>
        <v>1860251</v>
      </c>
      <c r="AB166" s="7"/>
      <c r="AC166" s="7">
        <f t="shared" si="18"/>
        <v>3090158</v>
      </c>
    </row>
    <row r="167" spans="1:29" ht="12.75" customHeight="1" x14ac:dyDescent="0.2">
      <c r="A167" s="10" t="s">
        <v>481</v>
      </c>
      <c r="C167" s="10" t="s">
        <v>11</v>
      </c>
      <c r="E167" s="7">
        <v>634174</v>
      </c>
      <c r="F167" s="7"/>
      <c r="G167" s="7">
        <v>914937</v>
      </c>
      <c r="H167" s="7"/>
      <c r="I167" s="7">
        <v>0</v>
      </c>
      <c r="J167" s="7"/>
      <c r="K167" s="7">
        <f>146032+352436+2315399</f>
        <v>2813867</v>
      </c>
      <c r="L167" s="7"/>
      <c r="M167" s="7">
        <f>1044920+42312</f>
        <v>1087232</v>
      </c>
      <c r="N167" s="7"/>
      <c r="O167" s="7">
        <v>0</v>
      </c>
      <c r="P167" s="7"/>
      <c r="Q167" s="7">
        <v>879136</v>
      </c>
      <c r="R167" s="7"/>
      <c r="S167" s="7">
        <v>9648</v>
      </c>
      <c r="T167" s="7"/>
      <c r="U167" s="7">
        <v>85908</v>
      </c>
      <c r="V167" s="7"/>
      <c r="W167" s="7">
        <v>0</v>
      </c>
      <c r="X167" s="7"/>
      <c r="Y167" s="7">
        <v>0</v>
      </c>
      <c r="Z167" s="7"/>
      <c r="AA167" s="7">
        <f t="shared" si="17"/>
        <v>4875791</v>
      </c>
      <c r="AB167" s="7"/>
      <c r="AC167" s="7">
        <f t="shared" si="18"/>
        <v>6424902</v>
      </c>
    </row>
    <row r="168" spans="1:29" ht="12.75" customHeight="1" x14ac:dyDescent="0.2">
      <c r="A168" s="10" t="s">
        <v>467</v>
      </c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11" t="s">
        <v>478</v>
      </c>
    </row>
    <row r="169" spans="1:29" ht="12.75" customHeight="1" x14ac:dyDescent="0.2">
      <c r="A169" s="10" t="s">
        <v>182</v>
      </c>
      <c r="C169" s="10" t="s">
        <v>87</v>
      </c>
      <c r="E169" s="9">
        <v>2250512</v>
      </c>
      <c r="F169" s="9"/>
      <c r="G169" s="9">
        <v>1239387</v>
      </c>
      <c r="H169" s="9"/>
      <c r="I169" s="9">
        <v>442244</v>
      </c>
      <c r="J169" s="9"/>
      <c r="K169" s="9">
        <f>890590+167184</f>
        <v>1057774</v>
      </c>
      <c r="L169" s="9"/>
      <c r="M169" s="9">
        <f>2092843+2183302+729052+1494576</f>
        <v>6499773</v>
      </c>
      <c r="N169" s="9"/>
      <c r="O169" s="9">
        <v>0</v>
      </c>
      <c r="P169" s="9"/>
      <c r="Q169" s="9">
        <v>660250</v>
      </c>
      <c r="R169" s="9"/>
      <c r="S169" s="9">
        <v>6582</v>
      </c>
      <c r="T169" s="9"/>
      <c r="U169" s="9">
        <v>39875</v>
      </c>
      <c r="V169" s="9"/>
      <c r="W169" s="9">
        <v>0</v>
      </c>
      <c r="X169" s="9"/>
      <c r="Y169" s="9">
        <v>0</v>
      </c>
      <c r="Z169" s="9"/>
      <c r="AA169" s="9">
        <f t="shared" ref="AA169:AA185" si="19">SUM(K169:Y169)</f>
        <v>8264254</v>
      </c>
      <c r="AB169" s="9"/>
      <c r="AC169" s="9">
        <f t="shared" ref="AC169:AC185" si="20">SUM(E169:Y169)</f>
        <v>12196397</v>
      </c>
    </row>
    <row r="170" spans="1:29" ht="12.75" customHeight="1" x14ac:dyDescent="0.2">
      <c r="A170" s="10" t="s">
        <v>179</v>
      </c>
      <c r="C170" s="10" t="s">
        <v>123</v>
      </c>
      <c r="E170" s="7">
        <v>4412543</v>
      </c>
      <c r="F170" s="7"/>
      <c r="G170" s="7">
        <v>9926907</v>
      </c>
      <c r="H170" s="7"/>
      <c r="I170" s="7">
        <v>290794</v>
      </c>
      <c r="J170" s="7"/>
      <c r="K170" s="7">
        <f>2037865+403724+740590</f>
        <v>3182179</v>
      </c>
      <c r="L170" s="7"/>
      <c r="M170" s="7">
        <v>20287028</v>
      </c>
      <c r="N170" s="7"/>
      <c r="O170" s="7">
        <v>476211</v>
      </c>
      <c r="P170" s="7"/>
      <c r="Q170" s="7">
        <v>2231124</v>
      </c>
      <c r="R170" s="7"/>
      <c r="S170" s="7">
        <v>168953</v>
      </c>
      <c r="T170" s="7"/>
      <c r="U170" s="7">
        <v>417356</v>
      </c>
      <c r="V170" s="7"/>
      <c r="W170" s="7">
        <v>436824</v>
      </c>
      <c r="X170" s="7"/>
      <c r="Y170" s="7">
        <v>0</v>
      </c>
      <c r="Z170" s="7"/>
      <c r="AA170" s="7">
        <f t="shared" si="19"/>
        <v>27199675</v>
      </c>
      <c r="AB170" s="7"/>
      <c r="AC170" s="7">
        <f t="shared" si="20"/>
        <v>41829919</v>
      </c>
    </row>
    <row r="171" spans="1:29" ht="12.75" customHeight="1" x14ac:dyDescent="0.2">
      <c r="A171" s="10" t="s">
        <v>183</v>
      </c>
      <c r="C171" s="10" t="s">
        <v>78</v>
      </c>
      <c r="E171" s="7">
        <v>2563939</v>
      </c>
      <c r="F171" s="7"/>
      <c r="G171" s="7">
        <v>1665949</v>
      </c>
      <c r="H171" s="7"/>
      <c r="I171" s="7">
        <v>2598853</v>
      </c>
      <c r="J171" s="7"/>
      <c r="K171" s="7">
        <f>565322+274430</f>
        <v>839752</v>
      </c>
      <c r="L171" s="7"/>
      <c r="M171" s="7">
        <f>4028359+1884082</f>
        <v>5912441</v>
      </c>
      <c r="N171" s="7"/>
      <c r="O171" s="7">
        <v>0</v>
      </c>
      <c r="P171" s="7"/>
      <c r="Q171" s="7">
        <v>704328</v>
      </c>
      <c r="R171" s="7"/>
      <c r="S171" s="7">
        <v>18482</v>
      </c>
      <c r="T171" s="7"/>
      <c r="U171" s="7">
        <v>418828</v>
      </c>
      <c r="V171" s="7"/>
      <c r="W171" s="7">
        <v>0</v>
      </c>
      <c r="X171" s="7"/>
      <c r="Y171" s="7">
        <v>0</v>
      </c>
      <c r="Z171" s="7"/>
      <c r="AA171" s="7">
        <f t="shared" si="19"/>
        <v>7893831</v>
      </c>
      <c r="AB171" s="7"/>
      <c r="AC171" s="7">
        <f t="shared" si="20"/>
        <v>14722572</v>
      </c>
    </row>
    <row r="172" spans="1:29" ht="12.75" customHeight="1" x14ac:dyDescent="0.2">
      <c r="A172" s="10" t="s">
        <v>184</v>
      </c>
      <c r="C172" s="10" t="s">
        <v>13</v>
      </c>
      <c r="E172" s="7">
        <v>1508980</v>
      </c>
      <c r="F172" s="7"/>
      <c r="G172" s="7">
        <v>1196792</v>
      </c>
      <c r="H172" s="7"/>
      <c r="I172" s="7">
        <v>2753728</v>
      </c>
      <c r="J172" s="7"/>
      <c r="K172" s="7">
        <f>764213+84705+642001+344947+339593</f>
        <v>2175459</v>
      </c>
      <c r="L172" s="7"/>
      <c r="M172" s="7">
        <f>5098669+1124278</f>
        <v>6222947</v>
      </c>
      <c r="N172" s="7"/>
      <c r="O172" s="7">
        <v>0</v>
      </c>
      <c r="P172" s="7"/>
      <c r="Q172" s="7">
        <v>1839867</v>
      </c>
      <c r="R172" s="7"/>
      <c r="S172" s="7">
        <v>16185</v>
      </c>
      <c r="T172" s="7"/>
      <c r="U172" s="7">
        <v>2055</v>
      </c>
      <c r="V172" s="7"/>
      <c r="W172" s="7">
        <v>75000</v>
      </c>
      <c r="X172" s="7"/>
      <c r="Y172" s="7">
        <v>0</v>
      </c>
      <c r="Z172" s="7"/>
      <c r="AA172" s="7">
        <f t="shared" si="19"/>
        <v>10331513</v>
      </c>
      <c r="AB172" s="7"/>
      <c r="AC172" s="7">
        <f t="shared" si="20"/>
        <v>15791013</v>
      </c>
    </row>
    <row r="173" spans="1:29" s="7" customFormat="1" ht="12.75" customHeight="1" x14ac:dyDescent="0.2">
      <c r="A173" s="7" t="s">
        <v>185</v>
      </c>
      <c r="C173" s="7" t="s">
        <v>25</v>
      </c>
      <c r="E173" s="7">
        <v>4549612</v>
      </c>
      <c r="G173" s="7">
        <v>1714258</v>
      </c>
      <c r="I173" s="7">
        <v>682965</v>
      </c>
      <c r="K173" s="7">
        <f>5050295+853668+213416+211877+3414652</f>
        <v>9743908</v>
      </c>
      <c r="M173" s="7">
        <f>9300869+1993044+1993044</f>
        <v>13286957</v>
      </c>
      <c r="O173" s="7">
        <v>0</v>
      </c>
      <c r="Q173" s="7">
        <v>2928560</v>
      </c>
      <c r="S173" s="7">
        <v>40217</v>
      </c>
      <c r="U173" s="7">
        <f>9086+34503</f>
        <v>43589</v>
      </c>
      <c r="W173" s="7">
        <v>473618</v>
      </c>
      <c r="Y173" s="7">
        <v>0</v>
      </c>
      <c r="AA173" s="7">
        <f t="shared" si="19"/>
        <v>26516849</v>
      </c>
      <c r="AC173" s="7">
        <f t="shared" si="20"/>
        <v>33463684</v>
      </c>
    </row>
    <row r="174" spans="1:29" ht="12.75" customHeight="1" x14ac:dyDescent="0.2">
      <c r="A174" s="10" t="s">
        <v>187</v>
      </c>
      <c r="C174" s="10" t="s">
        <v>15</v>
      </c>
      <c r="E174" s="7">
        <v>5816560</v>
      </c>
      <c r="F174" s="7"/>
      <c r="G174" s="7">
        <v>1997920</v>
      </c>
      <c r="H174" s="7"/>
      <c r="I174" s="7">
        <v>2215049</v>
      </c>
      <c r="J174" s="7"/>
      <c r="K174" s="7">
        <f>1105891+5153985</f>
        <v>6259876</v>
      </c>
      <c r="L174" s="7"/>
      <c r="M174" s="7">
        <v>8658855</v>
      </c>
      <c r="N174" s="7"/>
      <c r="O174" s="7">
        <v>0</v>
      </c>
      <c r="P174" s="7"/>
      <c r="Q174" s="7">
        <v>1898510</v>
      </c>
      <c r="R174" s="7"/>
      <c r="S174" s="7">
        <v>28482</v>
      </c>
      <c r="T174" s="7"/>
      <c r="U174" s="7">
        <v>155984</v>
      </c>
      <c r="V174" s="7"/>
      <c r="W174" s="7">
        <v>0</v>
      </c>
      <c r="X174" s="7"/>
      <c r="Y174" s="7">
        <v>0</v>
      </c>
      <c r="Z174" s="7"/>
      <c r="AA174" s="7">
        <f t="shared" si="19"/>
        <v>17001707</v>
      </c>
      <c r="AB174" s="7"/>
      <c r="AC174" s="7">
        <f t="shared" si="20"/>
        <v>27031236</v>
      </c>
    </row>
    <row r="175" spans="1:29" ht="12.75" customHeight="1" x14ac:dyDescent="0.2">
      <c r="A175" s="10" t="s">
        <v>186</v>
      </c>
      <c r="C175" s="10" t="s">
        <v>25</v>
      </c>
      <c r="E175" s="7">
        <v>2201584</v>
      </c>
      <c r="F175" s="7"/>
      <c r="G175" s="7">
        <v>1759507</v>
      </c>
      <c r="H175" s="7"/>
      <c r="I175" s="7">
        <v>647164</v>
      </c>
      <c r="J175" s="7"/>
      <c r="K175" s="7">
        <f>769274+3063796+666555</f>
        <v>4499625</v>
      </c>
      <c r="L175" s="7"/>
      <c r="M175" s="7">
        <v>13974613</v>
      </c>
      <c r="N175" s="7"/>
      <c r="O175" s="7">
        <v>0</v>
      </c>
      <c r="P175" s="7"/>
      <c r="Q175" s="7">
        <v>1365595</v>
      </c>
      <c r="R175" s="7"/>
      <c r="S175" s="7">
        <v>947</v>
      </c>
      <c r="T175" s="7"/>
      <c r="U175" s="7">
        <v>368542</v>
      </c>
      <c r="V175" s="7"/>
      <c r="W175" s="7">
        <v>2718</v>
      </c>
      <c r="X175" s="7"/>
      <c r="Y175" s="7">
        <v>-18613059</v>
      </c>
      <c r="Z175" s="7"/>
      <c r="AA175" s="7">
        <f t="shared" si="19"/>
        <v>1598981</v>
      </c>
      <c r="AB175" s="7"/>
      <c r="AC175" s="7">
        <f t="shared" si="20"/>
        <v>6207236</v>
      </c>
    </row>
    <row r="176" spans="1:29" ht="12.75" customHeight="1" x14ac:dyDescent="0.2">
      <c r="A176" s="10" t="s">
        <v>188</v>
      </c>
      <c r="C176" s="10" t="s">
        <v>45</v>
      </c>
      <c r="E176" s="7">
        <v>908953</v>
      </c>
      <c r="F176" s="7"/>
      <c r="G176" s="7">
        <v>376964</v>
      </c>
      <c r="H176" s="7"/>
      <c r="I176" s="7">
        <v>2500</v>
      </c>
      <c r="J176" s="7"/>
      <c r="K176" s="7">
        <v>413241</v>
      </c>
      <c r="L176" s="7"/>
      <c r="M176" s="7">
        <v>4720735</v>
      </c>
      <c r="N176" s="7"/>
      <c r="O176" s="7">
        <v>37077</v>
      </c>
      <c r="P176" s="7"/>
      <c r="Q176" s="7">
        <v>239456</v>
      </c>
      <c r="R176" s="7"/>
      <c r="S176" s="7">
        <v>20512</v>
      </c>
      <c r="T176" s="7"/>
      <c r="U176" s="7">
        <v>86992</v>
      </c>
      <c r="V176" s="7"/>
      <c r="W176" s="7">
        <v>0</v>
      </c>
      <c r="X176" s="7"/>
      <c r="Y176" s="7">
        <v>0</v>
      </c>
      <c r="Z176" s="7"/>
      <c r="AA176" s="7">
        <f t="shared" si="19"/>
        <v>5518013</v>
      </c>
      <c r="AB176" s="7"/>
      <c r="AC176" s="7">
        <f t="shared" si="20"/>
        <v>6806430</v>
      </c>
    </row>
    <row r="177" spans="1:30" ht="12.75" customHeight="1" x14ac:dyDescent="0.2">
      <c r="A177" s="10" t="s">
        <v>189</v>
      </c>
      <c r="C177" s="10" t="s">
        <v>11</v>
      </c>
      <c r="E177" s="7">
        <v>3033512</v>
      </c>
      <c r="F177" s="7"/>
      <c r="G177" s="7">
        <v>996859</v>
      </c>
      <c r="H177" s="7"/>
      <c r="I177" s="7">
        <v>287772</v>
      </c>
      <c r="J177" s="7"/>
      <c r="K177" s="7">
        <f>382368+325315+258942+63078+630836</f>
        <v>1660539</v>
      </c>
      <c r="L177" s="7"/>
      <c r="M177" s="7">
        <f>4091218+225000+549706</f>
        <v>4865924</v>
      </c>
      <c r="N177" s="7"/>
      <c r="O177" s="7">
        <v>0</v>
      </c>
      <c r="P177" s="7"/>
      <c r="Q177" s="7">
        <v>409661</v>
      </c>
      <c r="R177" s="7"/>
      <c r="S177" s="7">
        <v>6069</v>
      </c>
      <c r="T177" s="7"/>
      <c r="U177" s="7">
        <v>187211</v>
      </c>
      <c r="V177" s="7"/>
      <c r="W177" s="7">
        <v>0</v>
      </c>
      <c r="X177" s="7"/>
      <c r="Y177" s="7">
        <v>0</v>
      </c>
      <c r="Z177" s="7"/>
      <c r="AA177" s="7">
        <f t="shared" si="19"/>
        <v>7129404</v>
      </c>
      <c r="AB177" s="7"/>
      <c r="AC177" s="7">
        <f t="shared" si="20"/>
        <v>11447547</v>
      </c>
    </row>
    <row r="178" spans="1:30" ht="12.75" customHeight="1" x14ac:dyDescent="0.2">
      <c r="A178" s="10" t="s">
        <v>190</v>
      </c>
      <c r="C178" s="10" t="s">
        <v>36</v>
      </c>
      <c r="E178" s="7">
        <v>2199436</v>
      </c>
      <c r="F178" s="7"/>
      <c r="G178" s="7">
        <v>1297817</v>
      </c>
      <c r="H178" s="7"/>
      <c r="I178" s="7">
        <v>356644</v>
      </c>
      <c r="J178" s="7"/>
      <c r="K178" s="7">
        <f>618073+80692+80692+61821+61821+237999</f>
        <v>1141098</v>
      </c>
      <c r="L178" s="7"/>
      <c r="M178" s="7">
        <v>5265980</v>
      </c>
      <c r="N178" s="7"/>
      <c r="O178" s="7">
        <v>7430</v>
      </c>
      <c r="P178" s="7"/>
      <c r="Q178" s="7">
        <v>753390</v>
      </c>
      <c r="R178" s="7"/>
      <c r="S178" s="7">
        <v>84028</v>
      </c>
      <c r="T178" s="7"/>
      <c r="U178" s="7">
        <f>322718+280533</f>
        <v>603251</v>
      </c>
      <c r="V178" s="7"/>
      <c r="W178" s="7">
        <v>-254050</v>
      </c>
      <c r="X178" s="7"/>
      <c r="Y178" s="7">
        <v>0</v>
      </c>
      <c r="Z178" s="7"/>
      <c r="AA178" s="7">
        <f t="shared" si="19"/>
        <v>7601127</v>
      </c>
      <c r="AB178" s="7"/>
      <c r="AC178" s="7">
        <f t="shared" si="20"/>
        <v>11455024</v>
      </c>
    </row>
    <row r="179" spans="1:30" ht="12.75" customHeight="1" x14ac:dyDescent="0.2">
      <c r="A179" s="10" t="s">
        <v>191</v>
      </c>
      <c r="C179" s="10" t="s">
        <v>43</v>
      </c>
      <c r="E179" s="7">
        <v>1727978</v>
      </c>
      <c r="F179" s="7"/>
      <c r="G179" s="7">
        <v>0</v>
      </c>
      <c r="H179" s="7"/>
      <c r="I179" s="7">
        <v>0</v>
      </c>
      <c r="J179" s="7"/>
      <c r="K179" s="7">
        <v>2568709</v>
      </c>
      <c r="L179" s="7"/>
      <c r="M179" s="7">
        <v>13602820</v>
      </c>
      <c r="N179" s="7"/>
      <c r="O179" s="7">
        <f>178678+1271253</f>
        <v>1449931</v>
      </c>
      <c r="P179" s="7"/>
      <c r="Q179" s="7">
        <v>2989084</v>
      </c>
      <c r="R179" s="7"/>
      <c r="S179" s="7">
        <v>114211</v>
      </c>
      <c r="T179" s="7"/>
      <c r="U179" s="7">
        <f>80791+37082</f>
        <v>117873</v>
      </c>
      <c r="V179" s="7"/>
      <c r="W179" s="7">
        <v>0</v>
      </c>
      <c r="X179" s="7"/>
      <c r="Y179" s="7">
        <v>0</v>
      </c>
      <c r="Z179" s="7"/>
      <c r="AA179" s="7">
        <f t="shared" si="19"/>
        <v>20842628</v>
      </c>
      <c r="AB179" s="7"/>
      <c r="AC179" s="7">
        <f t="shared" si="20"/>
        <v>22570606</v>
      </c>
      <c r="AD179" s="7"/>
    </row>
    <row r="180" spans="1:30" ht="12.75" customHeight="1" x14ac:dyDescent="0.2">
      <c r="A180" s="10" t="s">
        <v>192</v>
      </c>
      <c r="C180" s="10" t="s">
        <v>64</v>
      </c>
      <c r="E180" s="7">
        <v>1637112</v>
      </c>
      <c r="F180" s="7"/>
      <c r="G180" s="7">
        <v>10092</v>
      </c>
      <c r="H180" s="7"/>
      <c r="I180" s="7">
        <v>0</v>
      </c>
      <c r="J180" s="7"/>
      <c r="K180" s="7">
        <f>1387299+78859</f>
        <v>1466158</v>
      </c>
      <c r="L180" s="7"/>
      <c r="M180" s="7">
        <v>5715684</v>
      </c>
      <c r="N180" s="7"/>
      <c r="O180" s="7">
        <v>0</v>
      </c>
      <c r="P180" s="7"/>
      <c r="Q180" s="7">
        <v>1023197</v>
      </c>
      <c r="R180" s="7"/>
      <c r="S180" s="7">
        <v>58318</v>
      </c>
      <c r="T180" s="7"/>
      <c r="U180" s="7">
        <v>39173</v>
      </c>
      <c r="V180" s="7"/>
      <c r="W180" s="7">
        <v>0</v>
      </c>
      <c r="X180" s="7"/>
      <c r="Y180" s="7">
        <v>0</v>
      </c>
      <c r="Z180" s="7"/>
      <c r="AA180" s="7">
        <f t="shared" si="19"/>
        <v>8302530</v>
      </c>
      <c r="AB180" s="7"/>
      <c r="AC180" s="7">
        <f t="shared" si="20"/>
        <v>9949734</v>
      </c>
    </row>
    <row r="181" spans="1:30" ht="12.75" customHeight="1" x14ac:dyDescent="0.2">
      <c r="A181" s="10" t="s">
        <v>193</v>
      </c>
      <c r="C181" s="10" t="s">
        <v>15</v>
      </c>
      <c r="E181" s="7">
        <v>1638607</v>
      </c>
      <c r="F181" s="7"/>
      <c r="G181" s="7">
        <v>247901</v>
      </c>
      <c r="H181" s="7"/>
      <c r="I181" s="7">
        <v>441102</v>
      </c>
      <c r="J181" s="7"/>
      <c r="K181" s="7">
        <v>812959</v>
      </c>
      <c r="L181" s="7"/>
      <c r="M181" s="7">
        <v>5725697</v>
      </c>
      <c r="N181" s="7"/>
      <c r="O181" s="7">
        <v>0</v>
      </c>
      <c r="P181" s="7"/>
      <c r="Q181" s="7">
        <v>1609551</v>
      </c>
      <c r="R181" s="7"/>
      <c r="S181" s="7">
        <v>163165</v>
      </c>
      <c r="T181" s="7"/>
      <c r="U181" s="7">
        <v>981215</v>
      </c>
      <c r="V181" s="7"/>
      <c r="W181" s="7">
        <v>296713</v>
      </c>
      <c r="X181" s="7"/>
      <c r="Y181" s="7">
        <v>0</v>
      </c>
      <c r="Z181" s="7"/>
      <c r="AA181" s="7">
        <f t="shared" si="19"/>
        <v>9589300</v>
      </c>
      <c r="AB181" s="7"/>
      <c r="AC181" s="7">
        <f t="shared" si="20"/>
        <v>11916910</v>
      </c>
    </row>
    <row r="182" spans="1:30" ht="12.75" hidden="1" customHeight="1" x14ac:dyDescent="0.2">
      <c r="A182" s="7" t="s">
        <v>194</v>
      </c>
      <c r="C182" s="7" t="s">
        <v>25</v>
      </c>
      <c r="D182" s="7"/>
      <c r="E182" s="7">
        <v>813784</v>
      </c>
      <c r="F182" s="7"/>
      <c r="G182" s="7">
        <v>409858</v>
      </c>
      <c r="H182" s="7"/>
      <c r="I182" s="7">
        <v>249893</v>
      </c>
      <c r="J182" s="7"/>
      <c r="K182" s="7">
        <f>645054+1239706+138442</f>
        <v>2023202</v>
      </c>
      <c r="L182" s="7"/>
      <c r="M182" s="7">
        <f>2893237+376211</f>
        <v>3269448</v>
      </c>
      <c r="N182" s="7"/>
      <c r="O182" s="7">
        <v>0</v>
      </c>
      <c r="P182" s="7"/>
      <c r="Q182" s="7">
        <v>698201</v>
      </c>
      <c r="R182" s="7"/>
      <c r="S182" s="7">
        <v>2722</v>
      </c>
      <c r="T182" s="7"/>
      <c r="U182" s="7">
        <v>34953</v>
      </c>
      <c r="V182" s="7"/>
      <c r="W182" s="7">
        <v>0</v>
      </c>
      <c r="X182" s="7"/>
      <c r="Y182" s="7">
        <v>0</v>
      </c>
      <c r="Z182" s="7"/>
      <c r="AA182" s="7">
        <f t="shared" si="19"/>
        <v>6028526</v>
      </c>
      <c r="AB182" s="7"/>
      <c r="AC182" s="7">
        <f t="shared" si="20"/>
        <v>7502061</v>
      </c>
    </row>
    <row r="183" spans="1:30" ht="12.75" customHeight="1" x14ac:dyDescent="0.2">
      <c r="A183" s="7" t="s">
        <v>400</v>
      </c>
      <c r="C183" s="7" t="s">
        <v>151</v>
      </c>
      <c r="D183" s="7"/>
      <c r="E183" s="7">
        <v>714059</v>
      </c>
      <c r="F183" s="7"/>
      <c r="G183" s="7">
        <v>588309</v>
      </c>
      <c r="H183" s="7"/>
      <c r="I183" s="7">
        <v>0</v>
      </c>
      <c r="J183" s="7"/>
      <c r="K183" s="7">
        <f>300442+48546</f>
        <v>348988</v>
      </c>
      <c r="L183" s="7"/>
      <c r="M183" s="7">
        <f>3381797+908691+266626</f>
        <v>4557114</v>
      </c>
      <c r="N183" s="7"/>
      <c r="O183" s="7">
        <v>196995</v>
      </c>
      <c r="P183" s="7"/>
      <c r="Q183" s="7">
        <v>269206</v>
      </c>
      <c r="R183" s="7"/>
      <c r="S183" s="7">
        <v>66714</v>
      </c>
      <c r="T183" s="7"/>
      <c r="U183" s="7">
        <f>7280+57805</f>
        <v>65085</v>
      </c>
      <c r="V183" s="7"/>
      <c r="W183" s="7">
        <v>0</v>
      </c>
      <c r="X183" s="7"/>
      <c r="Y183" s="7">
        <v>0</v>
      </c>
      <c r="Z183" s="7"/>
      <c r="AA183" s="7">
        <f t="shared" si="19"/>
        <v>5504102</v>
      </c>
      <c r="AB183" s="7"/>
      <c r="AC183" s="7">
        <f t="shared" si="20"/>
        <v>6806470</v>
      </c>
    </row>
    <row r="184" spans="1:30" ht="12.75" customHeight="1" x14ac:dyDescent="0.2">
      <c r="A184" s="10" t="s">
        <v>195</v>
      </c>
      <c r="C184" s="10" t="s">
        <v>161</v>
      </c>
      <c r="E184" s="7">
        <v>2485636</v>
      </c>
      <c r="F184" s="7"/>
      <c r="G184" s="7">
        <v>1545499</v>
      </c>
      <c r="H184" s="7"/>
      <c r="I184" s="7">
        <v>1088580</v>
      </c>
      <c r="J184" s="7"/>
      <c r="K184" s="7">
        <v>1282353</v>
      </c>
      <c r="L184" s="7"/>
      <c r="M184" s="7">
        <v>33328287</v>
      </c>
      <c r="N184" s="7"/>
      <c r="O184" s="7">
        <v>0</v>
      </c>
      <c r="P184" s="7"/>
      <c r="Q184" s="7">
        <v>1132059</v>
      </c>
      <c r="R184" s="7"/>
      <c r="S184" s="7">
        <v>761988</v>
      </c>
      <c r="T184" s="7"/>
      <c r="U184" s="7">
        <v>824199</v>
      </c>
      <c r="V184" s="7"/>
      <c r="W184" s="7">
        <v>4665814</v>
      </c>
      <c r="X184" s="7"/>
      <c r="Y184" s="7">
        <v>0</v>
      </c>
      <c r="Z184" s="7"/>
      <c r="AA184" s="7">
        <f t="shared" si="19"/>
        <v>41994700</v>
      </c>
      <c r="AB184" s="7"/>
      <c r="AC184" s="7">
        <f t="shared" si="20"/>
        <v>47114415</v>
      </c>
    </row>
    <row r="185" spans="1:30" ht="12.75" customHeight="1" x14ac:dyDescent="0.2">
      <c r="A185" s="10" t="s">
        <v>196</v>
      </c>
      <c r="C185" s="10" t="s">
        <v>197</v>
      </c>
      <c r="E185" s="7">
        <v>962309</v>
      </c>
      <c r="F185" s="7"/>
      <c r="G185" s="7">
        <v>512274</v>
      </c>
      <c r="H185" s="7"/>
      <c r="I185" s="7">
        <v>432284</v>
      </c>
      <c r="J185" s="7"/>
      <c r="K185" s="7">
        <v>407917</v>
      </c>
      <c r="L185" s="7"/>
      <c r="M185" s="7">
        <f>4344025+1788870</f>
        <v>6132895</v>
      </c>
      <c r="N185" s="7"/>
      <c r="O185" s="7">
        <v>916240</v>
      </c>
      <c r="P185" s="7"/>
      <c r="Q185" s="7">
        <v>437914</v>
      </c>
      <c r="R185" s="7"/>
      <c r="S185" s="7">
        <v>24179</v>
      </c>
      <c r="T185" s="7"/>
      <c r="U185" s="7">
        <v>383627</v>
      </c>
      <c r="V185" s="7"/>
      <c r="W185" s="7">
        <v>-916239</v>
      </c>
      <c r="X185" s="7"/>
      <c r="Y185" s="7">
        <v>0</v>
      </c>
      <c r="Z185" s="7"/>
      <c r="AA185" s="7">
        <f t="shared" si="19"/>
        <v>7386533</v>
      </c>
      <c r="AB185" s="7"/>
      <c r="AC185" s="7">
        <f t="shared" si="20"/>
        <v>9293400</v>
      </c>
    </row>
    <row r="186" spans="1:30" s="9" customFormat="1" ht="12.75" customHeight="1" x14ac:dyDescent="0.2">
      <c r="A186" s="10" t="s">
        <v>198</v>
      </c>
      <c r="B186" s="10"/>
      <c r="C186" s="10" t="s">
        <v>101</v>
      </c>
      <c r="D186" s="10"/>
      <c r="E186" s="7">
        <v>2300678</v>
      </c>
      <c r="F186" s="7"/>
      <c r="G186" s="7">
        <v>582472</v>
      </c>
      <c r="H186" s="7"/>
      <c r="I186" s="7">
        <v>589487</v>
      </c>
      <c r="J186" s="7"/>
      <c r="K186" s="7">
        <v>1157506</v>
      </c>
      <c r="L186" s="7"/>
      <c r="M186" s="7">
        <f>7171174+1056555</f>
        <v>8227729</v>
      </c>
      <c r="N186" s="7"/>
      <c r="O186" s="7">
        <v>0</v>
      </c>
      <c r="P186" s="7"/>
      <c r="Q186" s="7">
        <v>1084109</v>
      </c>
      <c r="R186" s="7"/>
      <c r="S186" s="7">
        <v>61807</v>
      </c>
      <c r="T186" s="7"/>
      <c r="U186" s="7">
        <v>231909</v>
      </c>
      <c r="V186" s="7"/>
      <c r="W186" s="7">
        <v>-40000</v>
      </c>
      <c r="X186" s="7"/>
      <c r="Y186" s="7">
        <v>0</v>
      </c>
      <c r="Z186" s="7"/>
      <c r="AA186" s="7">
        <f t="shared" ref="AA186:AA208" si="21">SUM(K186:Y186)</f>
        <v>10723060</v>
      </c>
      <c r="AB186" s="7"/>
      <c r="AC186" s="7">
        <f t="shared" ref="AC186:AC208" si="22">SUM(E186:Y186)</f>
        <v>14195697</v>
      </c>
    </row>
    <row r="187" spans="1:30" ht="12.75" customHeight="1" x14ac:dyDescent="0.2">
      <c r="A187" s="10" t="s">
        <v>199</v>
      </c>
      <c r="C187" s="10" t="s">
        <v>90</v>
      </c>
      <c r="E187" s="7">
        <v>3362870</v>
      </c>
      <c r="F187" s="7"/>
      <c r="G187" s="7">
        <v>1363819</v>
      </c>
      <c r="H187" s="7"/>
      <c r="I187" s="7">
        <v>2958673</v>
      </c>
      <c r="J187" s="7"/>
      <c r="K187" s="7">
        <v>1185735</v>
      </c>
      <c r="L187" s="7"/>
      <c r="M187" s="7">
        <v>7519822</v>
      </c>
      <c r="N187" s="7"/>
      <c r="O187" s="7">
        <v>0</v>
      </c>
      <c r="P187" s="7"/>
      <c r="Q187" s="7">
        <v>1086944</v>
      </c>
      <c r="R187" s="7"/>
      <c r="S187" s="7">
        <v>173022</v>
      </c>
      <c r="T187" s="7"/>
      <c r="U187" s="7">
        <v>144224</v>
      </c>
      <c r="V187" s="7"/>
      <c r="W187" s="7">
        <v>968624</v>
      </c>
      <c r="X187" s="7"/>
      <c r="Y187" s="7">
        <v>0</v>
      </c>
      <c r="Z187" s="7"/>
      <c r="AA187" s="7">
        <f t="shared" si="21"/>
        <v>11078371</v>
      </c>
      <c r="AB187" s="7"/>
      <c r="AC187" s="7">
        <f t="shared" si="22"/>
        <v>18763733</v>
      </c>
    </row>
    <row r="188" spans="1:30" ht="12.75" customHeight="1" x14ac:dyDescent="0.2">
      <c r="A188" s="10" t="s">
        <v>200</v>
      </c>
      <c r="C188" s="10" t="s">
        <v>25</v>
      </c>
      <c r="E188" s="7">
        <v>12713838</v>
      </c>
      <c r="F188" s="7"/>
      <c r="G188" s="7">
        <v>11931107</v>
      </c>
      <c r="H188" s="7"/>
      <c r="I188" s="7">
        <v>0</v>
      </c>
      <c r="J188" s="7"/>
      <c r="K188" s="7">
        <f>5491614+5081000+278708</f>
        <v>10851322</v>
      </c>
      <c r="L188" s="7"/>
      <c r="M188" s="7">
        <f>27384001+7815584</f>
        <v>35199585</v>
      </c>
      <c r="N188" s="7"/>
      <c r="O188" s="7">
        <v>0</v>
      </c>
      <c r="P188" s="7"/>
      <c r="Q188" s="7">
        <v>4198410</v>
      </c>
      <c r="R188" s="7"/>
      <c r="S188" s="7">
        <v>11201</v>
      </c>
      <c r="T188" s="7"/>
      <c r="U188" s="7">
        <v>0</v>
      </c>
      <c r="V188" s="7"/>
      <c r="W188" s="7">
        <v>0</v>
      </c>
      <c r="X188" s="7"/>
      <c r="Y188" s="7">
        <v>0</v>
      </c>
      <c r="Z188" s="7"/>
      <c r="AA188" s="7">
        <f t="shared" si="21"/>
        <v>50260518</v>
      </c>
      <c r="AB188" s="7"/>
      <c r="AC188" s="7">
        <f t="shared" si="22"/>
        <v>74905463</v>
      </c>
    </row>
    <row r="189" spans="1:30" ht="12.75" customHeight="1" x14ac:dyDescent="0.2">
      <c r="A189" s="10" t="s">
        <v>201</v>
      </c>
      <c r="C189" s="10" t="s">
        <v>25</v>
      </c>
      <c r="E189" s="7">
        <v>2687795</v>
      </c>
      <c r="F189" s="7"/>
      <c r="G189" s="7">
        <v>221056</v>
      </c>
      <c r="H189" s="7"/>
      <c r="I189" s="7">
        <v>3523912</v>
      </c>
      <c r="J189" s="7"/>
      <c r="K189" s="7">
        <f>2759802+348781+642050+158537</f>
        <v>3909170</v>
      </c>
      <c r="L189" s="7"/>
      <c r="M189" s="7">
        <v>8496204</v>
      </c>
      <c r="N189" s="7"/>
      <c r="O189" s="7">
        <v>0</v>
      </c>
      <c r="P189" s="7"/>
      <c r="Q189" s="7">
        <v>1866235</v>
      </c>
      <c r="R189" s="7"/>
      <c r="S189" s="7">
        <v>31094</v>
      </c>
      <c r="T189" s="7"/>
      <c r="U189" s="7">
        <v>1029025</v>
      </c>
      <c r="V189" s="7"/>
      <c r="W189" s="7">
        <v>0</v>
      </c>
      <c r="X189" s="7"/>
      <c r="Y189" s="7">
        <v>0</v>
      </c>
      <c r="Z189" s="7"/>
      <c r="AA189" s="7">
        <f t="shared" si="21"/>
        <v>15331728</v>
      </c>
      <c r="AB189" s="7"/>
      <c r="AC189" s="7">
        <f t="shared" si="22"/>
        <v>21764491</v>
      </c>
    </row>
    <row r="190" spans="1:30" ht="12.75" customHeight="1" x14ac:dyDescent="0.2">
      <c r="A190" s="10" t="s">
        <v>202</v>
      </c>
      <c r="C190" s="10" t="s">
        <v>123</v>
      </c>
      <c r="E190" s="7">
        <v>580802</v>
      </c>
      <c r="F190" s="7"/>
      <c r="G190" s="7">
        <v>1907629</v>
      </c>
      <c r="H190" s="7"/>
      <c r="I190" s="7">
        <v>0</v>
      </c>
      <c r="J190" s="7"/>
      <c r="K190" s="7">
        <v>802654</v>
      </c>
      <c r="L190" s="7"/>
      <c r="M190" s="7">
        <f>965097+1668443+214930+1655919</f>
        <v>4504389</v>
      </c>
      <c r="N190" s="7"/>
      <c r="O190" s="7">
        <v>127553</v>
      </c>
      <c r="P190" s="7"/>
      <c r="Q190" s="7">
        <v>184454</v>
      </c>
      <c r="R190" s="7"/>
      <c r="S190" s="7">
        <v>16023</v>
      </c>
      <c r="T190" s="7"/>
      <c r="U190" s="7">
        <v>12343</v>
      </c>
      <c r="V190" s="7"/>
      <c r="W190" s="7">
        <v>0</v>
      </c>
      <c r="X190" s="7"/>
      <c r="Y190" s="7">
        <v>0</v>
      </c>
      <c r="Z190" s="7"/>
      <c r="AA190" s="7">
        <f t="shared" si="21"/>
        <v>5647416</v>
      </c>
      <c r="AB190" s="7"/>
      <c r="AC190" s="7">
        <f t="shared" si="22"/>
        <v>8135847</v>
      </c>
    </row>
    <row r="191" spans="1:30" ht="12.75" customHeight="1" x14ac:dyDescent="0.2">
      <c r="A191" s="10" t="s">
        <v>203</v>
      </c>
      <c r="C191" s="10" t="s">
        <v>25</v>
      </c>
      <c r="E191" s="7">
        <v>580522</v>
      </c>
      <c r="F191" s="7"/>
      <c r="G191" s="7">
        <v>556870</v>
      </c>
      <c r="H191" s="7"/>
      <c r="I191" s="7">
        <v>1056016</v>
      </c>
      <c r="J191" s="7"/>
      <c r="K191" s="7">
        <f>1469826+205091+1469113+102546</f>
        <v>3246576</v>
      </c>
      <c r="L191" s="7"/>
      <c r="M191" s="7">
        <v>4821340</v>
      </c>
      <c r="N191" s="7"/>
      <c r="O191" s="7">
        <f>3664459+254697+108502</f>
        <v>4027658</v>
      </c>
      <c r="P191" s="7"/>
      <c r="Q191" s="7">
        <v>310920</v>
      </c>
      <c r="R191" s="7"/>
      <c r="S191" s="7">
        <v>11071</v>
      </c>
      <c r="T191" s="7"/>
      <c r="U191" s="7">
        <v>243844</v>
      </c>
      <c r="V191" s="7"/>
      <c r="W191" s="7">
        <v>0</v>
      </c>
      <c r="X191" s="7"/>
      <c r="Y191" s="7">
        <v>0</v>
      </c>
      <c r="Z191" s="7"/>
      <c r="AA191" s="7">
        <f t="shared" si="21"/>
        <v>12661409</v>
      </c>
      <c r="AB191" s="7"/>
      <c r="AC191" s="7">
        <f t="shared" si="22"/>
        <v>14854817</v>
      </c>
    </row>
    <row r="192" spans="1:30" ht="12.75" customHeight="1" x14ac:dyDescent="0.2">
      <c r="A192" s="10" t="s">
        <v>204</v>
      </c>
      <c r="C192" s="10" t="s">
        <v>45</v>
      </c>
      <c r="E192" s="7">
        <v>2007682</v>
      </c>
      <c r="F192" s="7"/>
      <c r="G192" s="7">
        <v>1244971</v>
      </c>
      <c r="H192" s="7"/>
      <c r="I192" s="7">
        <v>2290274</v>
      </c>
      <c r="J192" s="7"/>
      <c r="K192" s="7">
        <v>2761833</v>
      </c>
      <c r="L192" s="7"/>
      <c r="M192" s="7">
        <v>14571160</v>
      </c>
      <c r="N192" s="7"/>
      <c r="O192" s="7">
        <v>0</v>
      </c>
      <c r="P192" s="7"/>
      <c r="Q192" s="7">
        <v>1593174</v>
      </c>
      <c r="R192" s="7"/>
      <c r="S192" s="7">
        <v>53673</v>
      </c>
      <c r="T192" s="7"/>
      <c r="U192" s="7">
        <v>494732</v>
      </c>
      <c r="V192" s="7"/>
      <c r="W192" s="7">
        <v>-45000</v>
      </c>
      <c r="X192" s="7"/>
      <c r="Y192" s="7">
        <v>0</v>
      </c>
      <c r="Z192" s="7"/>
      <c r="AA192" s="7">
        <f t="shared" si="21"/>
        <v>19429572</v>
      </c>
      <c r="AB192" s="7"/>
      <c r="AC192" s="7">
        <f t="shared" si="22"/>
        <v>24972499</v>
      </c>
    </row>
    <row r="193" spans="1:31" ht="12.75" customHeight="1" x14ac:dyDescent="0.2">
      <c r="A193" s="10" t="s">
        <v>205</v>
      </c>
      <c r="C193" s="10" t="s">
        <v>100</v>
      </c>
      <c r="E193" s="7">
        <v>1528539</v>
      </c>
      <c r="F193" s="7"/>
      <c r="G193" s="7">
        <v>987808</v>
      </c>
      <c r="H193" s="7"/>
      <c r="I193" s="7">
        <v>946086</v>
      </c>
      <c r="J193" s="7"/>
      <c r="K193" s="7">
        <f>960929+1470711</f>
        <v>2431640</v>
      </c>
      <c r="L193" s="7"/>
      <c r="M193" s="7">
        <v>5029644</v>
      </c>
      <c r="N193" s="7"/>
      <c r="O193" s="7">
        <f>265146+212666</f>
        <v>477812</v>
      </c>
      <c r="P193" s="7"/>
      <c r="Q193" s="7">
        <v>387648</v>
      </c>
      <c r="R193" s="7"/>
      <c r="S193" s="7">
        <v>66069</v>
      </c>
      <c r="T193" s="7"/>
      <c r="U193" s="7">
        <f>553211+130579</f>
        <v>683790</v>
      </c>
      <c r="V193" s="7"/>
      <c r="W193" s="7">
        <v>0</v>
      </c>
      <c r="X193" s="7"/>
      <c r="Y193" s="7">
        <v>0</v>
      </c>
      <c r="Z193" s="7"/>
      <c r="AA193" s="7">
        <f t="shared" si="21"/>
        <v>9076603</v>
      </c>
      <c r="AB193" s="7"/>
      <c r="AC193" s="7">
        <f t="shared" si="22"/>
        <v>12539036</v>
      </c>
    </row>
    <row r="194" spans="1:31" ht="12.75" customHeight="1" x14ac:dyDescent="0.2">
      <c r="A194" s="10" t="s">
        <v>206</v>
      </c>
      <c r="C194" s="10" t="s">
        <v>207</v>
      </c>
      <c r="E194" s="7">
        <v>1646862</v>
      </c>
      <c r="F194" s="7"/>
      <c r="G194" s="7">
        <v>2052279</v>
      </c>
      <c r="H194" s="7"/>
      <c r="I194" s="7">
        <v>1890719</v>
      </c>
      <c r="J194" s="7"/>
      <c r="K194" s="7">
        <v>1271907</v>
      </c>
      <c r="L194" s="7"/>
      <c r="M194" s="7">
        <v>8024044</v>
      </c>
      <c r="N194" s="7"/>
      <c r="O194" s="7">
        <f>2187917+1185433</f>
        <v>3373350</v>
      </c>
      <c r="P194" s="7"/>
      <c r="Q194" s="7">
        <v>0</v>
      </c>
      <c r="R194" s="7"/>
      <c r="S194" s="7">
        <v>97667</v>
      </c>
      <c r="T194" s="7"/>
      <c r="U194" s="7">
        <v>18808</v>
      </c>
      <c r="V194" s="7"/>
      <c r="W194" s="7">
        <v>-393284</v>
      </c>
      <c r="X194" s="7"/>
      <c r="Y194" s="7">
        <v>0</v>
      </c>
      <c r="Z194" s="7"/>
      <c r="AA194" s="7">
        <f t="shared" si="21"/>
        <v>12392492</v>
      </c>
      <c r="AB194" s="7"/>
      <c r="AC194" s="7">
        <f t="shared" si="22"/>
        <v>17982352</v>
      </c>
    </row>
    <row r="195" spans="1:31" ht="12.75" customHeight="1" x14ac:dyDescent="0.2">
      <c r="A195" s="10" t="s">
        <v>208</v>
      </c>
      <c r="C195" s="10" t="s">
        <v>209</v>
      </c>
      <c r="E195" s="7">
        <v>451106</v>
      </c>
      <c r="F195" s="7"/>
      <c r="G195" s="7">
        <v>945614</v>
      </c>
      <c r="H195" s="7"/>
      <c r="I195" s="7">
        <v>57136</v>
      </c>
      <c r="J195" s="7"/>
      <c r="K195" s="7">
        <f>562212+236296</f>
        <v>798508</v>
      </c>
      <c r="L195" s="7"/>
      <c r="M195" s="7">
        <v>2405536</v>
      </c>
      <c r="N195" s="7"/>
      <c r="O195" s="7">
        <f>179475+20161+52406</f>
        <v>252042</v>
      </c>
      <c r="P195" s="7"/>
      <c r="Q195" s="7">
        <v>356695</v>
      </c>
      <c r="R195" s="7"/>
      <c r="S195" s="7">
        <v>15615</v>
      </c>
      <c r="T195" s="7"/>
      <c r="U195" s="7">
        <v>122304</v>
      </c>
      <c r="V195" s="7"/>
      <c r="W195" s="7">
        <v>0</v>
      </c>
      <c r="X195" s="7"/>
      <c r="Y195" s="7">
        <v>0</v>
      </c>
      <c r="Z195" s="7"/>
      <c r="AA195" s="7">
        <f t="shared" si="21"/>
        <v>3950700</v>
      </c>
      <c r="AB195" s="7"/>
      <c r="AC195" s="7">
        <f t="shared" si="22"/>
        <v>5404556</v>
      </c>
    </row>
    <row r="196" spans="1:31" ht="12.75" customHeight="1" x14ac:dyDescent="0.2">
      <c r="A196" s="10" t="s">
        <v>210</v>
      </c>
      <c r="C196" s="10" t="s">
        <v>211</v>
      </c>
      <c r="E196" s="7">
        <v>1924682</v>
      </c>
      <c r="F196" s="7"/>
      <c r="G196" s="7">
        <v>3435908</v>
      </c>
      <c r="H196" s="7"/>
      <c r="I196" s="7">
        <v>0</v>
      </c>
      <c r="J196" s="7"/>
      <c r="K196" s="7">
        <f>1465856+300613+147508</f>
        <v>1913977</v>
      </c>
      <c r="L196" s="7"/>
      <c r="M196" s="7">
        <v>9620121</v>
      </c>
      <c r="N196" s="7"/>
      <c r="O196" s="7">
        <v>330303</v>
      </c>
      <c r="P196" s="7"/>
      <c r="Q196" s="7">
        <v>1251514</v>
      </c>
      <c r="R196" s="7"/>
      <c r="S196" s="7">
        <v>40</v>
      </c>
      <c r="T196" s="7"/>
      <c r="U196" s="7">
        <v>302111</v>
      </c>
      <c r="V196" s="7"/>
      <c r="W196" s="7">
        <v>0</v>
      </c>
      <c r="X196" s="7"/>
      <c r="Y196" s="7">
        <v>0</v>
      </c>
      <c r="Z196" s="7"/>
      <c r="AA196" s="7">
        <f t="shared" si="21"/>
        <v>13418066</v>
      </c>
      <c r="AB196" s="7"/>
      <c r="AC196" s="7">
        <f t="shared" si="22"/>
        <v>18778656</v>
      </c>
    </row>
    <row r="197" spans="1:31" ht="12.75" customHeight="1" x14ac:dyDescent="0.2">
      <c r="A197" s="10" t="s">
        <v>212</v>
      </c>
      <c r="C197" s="10" t="s">
        <v>84</v>
      </c>
      <c r="E197" s="7">
        <v>1979111</v>
      </c>
      <c r="F197" s="7"/>
      <c r="G197" s="7">
        <v>608901</v>
      </c>
      <c r="H197" s="7"/>
      <c r="I197" s="7">
        <v>821861</v>
      </c>
      <c r="J197" s="7"/>
      <c r="K197" s="7">
        <v>1848339</v>
      </c>
      <c r="L197" s="7"/>
      <c r="M197" s="7">
        <v>4782182</v>
      </c>
      <c r="N197" s="7"/>
      <c r="O197" s="7">
        <v>204027</v>
      </c>
      <c r="P197" s="7"/>
      <c r="Q197" s="7">
        <v>99603</v>
      </c>
      <c r="R197" s="7"/>
      <c r="S197" s="7">
        <v>61270</v>
      </c>
      <c r="T197" s="7"/>
      <c r="U197" s="7">
        <v>342752</v>
      </c>
      <c r="V197" s="7"/>
      <c r="W197" s="7">
        <v>0</v>
      </c>
      <c r="X197" s="7"/>
      <c r="Y197" s="7">
        <v>0</v>
      </c>
      <c r="Z197" s="7"/>
      <c r="AA197" s="7">
        <f t="shared" si="21"/>
        <v>7338173</v>
      </c>
      <c r="AB197" s="7"/>
      <c r="AC197" s="7">
        <f t="shared" si="22"/>
        <v>10748046</v>
      </c>
    </row>
    <row r="198" spans="1:31" ht="12.75" customHeight="1" x14ac:dyDescent="0.2">
      <c r="A198" s="10" t="s">
        <v>213</v>
      </c>
      <c r="C198" s="10" t="s">
        <v>20</v>
      </c>
      <c r="E198" s="7">
        <v>1690359</v>
      </c>
      <c r="F198" s="7"/>
      <c r="G198" s="7">
        <v>1560690</v>
      </c>
      <c r="H198" s="7"/>
      <c r="I198" s="7">
        <v>131743</v>
      </c>
      <c r="J198" s="7"/>
      <c r="K198" s="7">
        <v>500914</v>
      </c>
      <c r="L198" s="7"/>
      <c r="M198" s="7">
        <f>4073824+556450+378537+302829+1056790</f>
        <v>6368430</v>
      </c>
      <c r="N198" s="7"/>
      <c r="O198" s="7">
        <v>0</v>
      </c>
      <c r="P198" s="7"/>
      <c r="Q198" s="7">
        <v>1012983</v>
      </c>
      <c r="R198" s="7"/>
      <c r="S198" s="7">
        <v>176546</v>
      </c>
      <c r="T198" s="7"/>
      <c r="U198" s="7">
        <v>121982</v>
      </c>
      <c r="V198" s="7"/>
      <c r="W198" s="7">
        <v>0</v>
      </c>
      <c r="X198" s="7"/>
      <c r="Y198" s="7">
        <v>0</v>
      </c>
      <c r="Z198" s="7"/>
      <c r="AA198" s="7">
        <f t="shared" si="21"/>
        <v>8180855</v>
      </c>
      <c r="AB198" s="7"/>
      <c r="AC198" s="7">
        <f t="shared" si="22"/>
        <v>11563647</v>
      </c>
    </row>
    <row r="199" spans="1:31" ht="12.75" customHeight="1" x14ac:dyDescent="0.2">
      <c r="A199" s="10" t="s">
        <v>214</v>
      </c>
      <c r="C199" s="10" t="s">
        <v>43</v>
      </c>
      <c r="E199" s="7">
        <v>1394660</v>
      </c>
      <c r="F199" s="7"/>
      <c r="G199" s="7">
        <v>1113063</v>
      </c>
      <c r="H199" s="7"/>
      <c r="I199" s="7">
        <v>86300</v>
      </c>
      <c r="J199" s="7"/>
      <c r="K199" s="7">
        <f>400445+308923</f>
        <v>709368</v>
      </c>
      <c r="L199" s="7"/>
      <c r="M199" s="7">
        <v>6229949</v>
      </c>
      <c r="N199" s="7"/>
      <c r="O199" s="7">
        <v>0</v>
      </c>
      <c r="P199" s="7"/>
      <c r="Q199" s="7">
        <v>774783</v>
      </c>
      <c r="R199" s="7"/>
      <c r="S199" s="7">
        <v>1389</v>
      </c>
      <c r="T199" s="7"/>
      <c r="U199" s="7">
        <f>10202+93922</f>
        <v>104124</v>
      </c>
      <c r="V199" s="7"/>
      <c r="W199" s="7">
        <v>-11330</v>
      </c>
      <c r="X199" s="7"/>
      <c r="Y199" s="7">
        <v>0</v>
      </c>
      <c r="Z199" s="7"/>
      <c r="AA199" s="7">
        <f t="shared" si="21"/>
        <v>7808283</v>
      </c>
      <c r="AB199" s="7"/>
      <c r="AC199" s="7">
        <f t="shared" si="22"/>
        <v>10402306</v>
      </c>
    </row>
    <row r="200" spans="1:31" ht="12.75" customHeight="1" x14ac:dyDescent="0.2">
      <c r="A200" s="10" t="s">
        <v>215</v>
      </c>
      <c r="C200" s="10" t="s">
        <v>41</v>
      </c>
      <c r="E200" s="7">
        <v>1323368</v>
      </c>
      <c r="F200" s="7"/>
      <c r="G200" s="7">
        <v>1759520</v>
      </c>
      <c r="H200" s="7"/>
      <c r="I200" s="7">
        <v>44182</v>
      </c>
      <c r="J200" s="7"/>
      <c r="K200" s="7">
        <f>246452+173098+2274642</f>
        <v>2694192</v>
      </c>
      <c r="L200" s="7"/>
      <c r="M200" s="7">
        <v>12509144</v>
      </c>
      <c r="N200" s="7"/>
      <c r="O200" s="7">
        <v>525544</v>
      </c>
      <c r="P200" s="7"/>
      <c r="Q200" s="7">
        <v>1105401</v>
      </c>
      <c r="R200" s="7"/>
      <c r="S200" s="7">
        <v>191617</v>
      </c>
      <c r="T200" s="7"/>
      <c r="U200" s="7">
        <v>125728</v>
      </c>
      <c r="V200" s="7"/>
      <c r="W200" s="7">
        <v>0</v>
      </c>
      <c r="X200" s="7"/>
      <c r="Y200" s="7">
        <v>0</v>
      </c>
      <c r="Z200" s="7"/>
      <c r="AA200" s="7">
        <f t="shared" si="21"/>
        <v>17151626</v>
      </c>
      <c r="AB200" s="7"/>
      <c r="AC200" s="7">
        <f t="shared" si="22"/>
        <v>20278696</v>
      </c>
    </row>
    <row r="201" spans="1:31" ht="12.75" customHeight="1" x14ac:dyDescent="0.2">
      <c r="A201" s="10" t="s">
        <v>216</v>
      </c>
      <c r="C201" s="10" t="s">
        <v>25</v>
      </c>
      <c r="E201" s="7">
        <v>1180745</v>
      </c>
      <c r="F201" s="7"/>
      <c r="G201" s="7">
        <v>709546</v>
      </c>
      <c r="H201" s="7"/>
      <c r="I201" s="7">
        <v>762719</v>
      </c>
      <c r="J201" s="7"/>
      <c r="K201" s="7">
        <f>927029+656961+1629868</f>
        <v>3213858</v>
      </c>
      <c r="L201" s="7"/>
      <c r="M201" s="7">
        <v>4767385</v>
      </c>
      <c r="N201" s="7"/>
      <c r="O201" s="7">
        <v>69388</v>
      </c>
      <c r="P201" s="7"/>
      <c r="Q201" s="7">
        <v>994143</v>
      </c>
      <c r="R201" s="7"/>
      <c r="S201" s="7">
        <v>0</v>
      </c>
      <c r="T201" s="7"/>
      <c r="U201" s="7">
        <v>204155</v>
      </c>
      <c r="V201" s="7"/>
      <c r="W201" s="7">
        <v>0</v>
      </c>
      <c r="X201" s="7"/>
      <c r="Y201" s="7">
        <v>0</v>
      </c>
      <c r="Z201" s="7"/>
      <c r="AA201" s="7">
        <f t="shared" si="21"/>
        <v>9248929</v>
      </c>
      <c r="AB201" s="7"/>
      <c r="AC201" s="7">
        <f t="shared" si="22"/>
        <v>11901939</v>
      </c>
    </row>
    <row r="202" spans="1:31" ht="12.75" customHeight="1" x14ac:dyDescent="0.2">
      <c r="A202" s="10" t="s">
        <v>217</v>
      </c>
      <c r="C202" s="10" t="s">
        <v>197</v>
      </c>
      <c r="E202" s="7">
        <v>1015276</v>
      </c>
      <c r="F202" s="7"/>
      <c r="G202" s="7">
        <v>420612</v>
      </c>
      <c r="H202" s="7"/>
      <c r="I202" s="7">
        <v>444046</v>
      </c>
      <c r="J202" s="7"/>
      <c r="K202" s="7">
        <f>368976+272158</f>
        <v>641134</v>
      </c>
      <c r="L202" s="7"/>
      <c r="M202" s="7">
        <f>809733+404867</f>
        <v>1214600</v>
      </c>
      <c r="N202" s="7"/>
      <c r="O202" s="7">
        <v>0</v>
      </c>
      <c r="P202" s="7"/>
      <c r="Q202" s="7">
        <v>373798</v>
      </c>
      <c r="R202" s="7"/>
      <c r="S202" s="7">
        <v>29096</v>
      </c>
      <c r="T202" s="7"/>
      <c r="U202" s="7">
        <f>2000+19774</f>
        <v>21774</v>
      </c>
      <c r="V202" s="7"/>
      <c r="W202" s="7">
        <v>0</v>
      </c>
      <c r="X202" s="7"/>
      <c r="Y202" s="7">
        <v>0</v>
      </c>
      <c r="Z202" s="7"/>
      <c r="AA202" s="7">
        <f t="shared" si="21"/>
        <v>2280402</v>
      </c>
      <c r="AB202" s="7"/>
      <c r="AC202" s="7">
        <f t="shared" si="22"/>
        <v>4160336</v>
      </c>
    </row>
    <row r="203" spans="1:31" ht="12.75" customHeight="1" x14ac:dyDescent="0.2">
      <c r="A203" s="10" t="s">
        <v>218</v>
      </c>
      <c r="C203" s="10" t="s">
        <v>64</v>
      </c>
      <c r="E203" s="7">
        <v>2028567</v>
      </c>
      <c r="F203" s="7"/>
      <c r="G203" s="7">
        <v>1905274</v>
      </c>
      <c r="H203" s="7"/>
      <c r="I203" s="7">
        <v>48510</v>
      </c>
      <c r="J203" s="7"/>
      <c r="K203" s="7">
        <f>362853+1656194</f>
        <v>2019047</v>
      </c>
      <c r="L203" s="7"/>
      <c r="M203" s="7">
        <f>2884744+1414803</f>
        <v>4299547</v>
      </c>
      <c r="N203" s="7"/>
      <c r="O203" s="7">
        <f>288582+51039</f>
        <v>339621</v>
      </c>
      <c r="P203" s="7"/>
      <c r="Q203" s="7">
        <v>552590</v>
      </c>
      <c r="R203" s="7"/>
      <c r="S203" s="7">
        <v>10080</v>
      </c>
      <c r="T203" s="7"/>
      <c r="U203" s="7">
        <v>129695</v>
      </c>
      <c r="V203" s="7"/>
      <c r="W203" s="7">
        <v>0</v>
      </c>
      <c r="X203" s="7"/>
      <c r="Y203" s="7">
        <v>0</v>
      </c>
      <c r="Z203" s="7"/>
      <c r="AA203" s="7">
        <f t="shared" si="21"/>
        <v>7350580</v>
      </c>
      <c r="AB203" s="7"/>
      <c r="AC203" s="7">
        <f t="shared" si="22"/>
        <v>11332931</v>
      </c>
    </row>
    <row r="204" spans="1:31" ht="12.75" customHeight="1" x14ac:dyDescent="0.2">
      <c r="A204" s="10" t="s">
        <v>219</v>
      </c>
      <c r="C204" s="10" t="s">
        <v>25</v>
      </c>
      <c r="E204" s="7">
        <v>7622628</v>
      </c>
      <c r="F204" s="7"/>
      <c r="G204" s="7">
        <v>949984</v>
      </c>
      <c r="H204" s="7"/>
      <c r="I204" s="7">
        <v>3278671</v>
      </c>
      <c r="J204" s="7"/>
      <c r="K204" s="7">
        <f>3815055+281777+281777+563557+170963+170963+563557+563557</f>
        <v>6411206</v>
      </c>
      <c r="L204" s="7"/>
      <c r="M204" s="7">
        <v>8906264</v>
      </c>
      <c r="N204" s="7"/>
      <c r="O204" s="7">
        <f>159268+35522</f>
        <v>194790</v>
      </c>
      <c r="P204" s="7"/>
      <c r="Q204" s="7">
        <v>3122384</v>
      </c>
      <c r="R204" s="7"/>
      <c r="S204" s="7">
        <v>7499</v>
      </c>
      <c r="T204" s="7"/>
      <c r="U204" s="7">
        <v>831526</v>
      </c>
      <c r="V204" s="7"/>
      <c r="W204" s="7">
        <v>4736952</v>
      </c>
      <c r="X204" s="7"/>
      <c r="Y204" s="7">
        <v>-4554583</v>
      </c>
      <c r="Z204" s="7"/>
      <c r="AA204" s="7">
        <f t="shared" si="21"/>
        <v>19656038</v>
      </c>
      <c r="AB204" s="7"/>
      <c r="AC204" s="7">
        <f t="shared" si="22"/>
        <v>31507321</v>
      </c>
    </row>
    <row r="205" spans="1:31" ht="12.75" customHeight="1" x14ac:dyDescent="0.2">
      <c r="A205" s="10" t="s">
        <v>220</v>
      </c>
      <c r="C205" s="10" t="s">
        <v>45</v>
      </c>
      <c r="E205" s="7">
        <v>875496</v>
      </c>
      <c r="F205" s="7"/>
      <c r="G205" s="7">
        <v>613213</v>
      </c>
      <c r="H205" s="7"/>
      <c r="I205" s="7">
        <v>0</v>
      </c>
      <c r="J205" s="7"/>
      <c r="K205" s="7">
        <f>564060+31611+201415</f>
        <v>797086</v>
      </c>
      <c r="L205" s="7"/>
      <c r="M205" s="7">
        <v>3733340</v>
      </c>
      <c r="N205" s="7"/>
      <c r="O205" s="7">
        <f>547468+924330</f>
        <v>1471798</v>
      </c>
      <c r="P205" s="7"/>
      <c r="Q205" s="7">
        <v>548128</v>
      </c>
      <c r="R205" s="7"/>
      <c r="S205" s="7">
        <v>38152</v>
      </c>
      <c r="T205" s="7"/>
      <c r="U205" s="7">
        <v>260471</v>
      </c>
      <c r="V205" s="7"/>
      <c r="W205" s="7">
        <v>-4695</v>
      </c>
      <c r="X205" s="7"/>
      <c r="Y205" s="7">
        <v>0</v>
      </c>
      <c r="Z205" s="7"/>
      <c r="AA205" s="7">
        <f t="shared" si="21"/>
        <v>6844280</v>
      </c>
      <c r="AB205" s="7"/>
      <c r="AC205" s="7">
        <f t="shared" si="22"/>
        <v>8332989</v>
      </c>
    </row>
    <row r="206" spans="1:31" ht="12.75" customHeight="1" x14ac:dyDescent="0.2">
      <c r="A206" s="10" t="s">
        <v>221</v>
      </c>
      <c r="C206" s="10" t="s">
        <v>92</v>
      </c>
      <c r="E206" s="7">
        <v>657549</v>
      </c>
      <c r="F206" s="7"/>
      <c r="G206" s="7">
        <v>1200551</v>
      </c>
      <c r="H206" s="7"/>
      <c r="I206" s="7">
        <v>68954</v>
      </c>
      <c r="J206" s="7"/>
      <c r="K206" s="7">
        <f>531664+301830+63076+63076</f>
        <v>959646</v>
      </c>
      <c r="L206" s="7"/>
      <c r="M206" s="7">
        <f>3723723+288934+360853</f>
        <v>4373510</v>
      </c>
      <c r="N206" s="7"/>
      <c r="O206" s="7">
        <v>100411</v>
      </c>
      <c r="P206" s="7"/>
      <c r="Q206" s="7">
        <v>488477</v>
      </c>
      <c r="R206" s="7"/>
      <c r="S206" s="7">
        <v>108514</v>
      </c>
      <c r="T206" s="7"/>
      <c r="U206" s="7">
        <f>398562+2622</f>
        <v>401184</v>
      </c>
      <c r="V206" s="7"/>
      <c r="W206" s="7">
        <v>0</v>
      </c>
      <c r="X206" s="7"/>
      <c r="Y206" s="7">
        <v>0</v>
      </c>
      <c r="Z206" s="7"/>
      <c r="AA206" s="7">
        <f t="shared" si="21"/>
        <v>6431742</v>
      </c>
      <c r="AB206" s="7"/>
      <c r="AC206" s="7">
        <f t="shared" si="22"/>
        <v>8358796</v>
      </c>
    </row>
    <row r="207" spans="1:31" ht="12.75" customHeight="1" x14ac:dyDescent="0.2">
      <c r="A207" s="10" t="s">
        <v>74</v>
      </c>
      <c r="C207" s="10" t="s">
        <v>130</v>
      </c>
      <c r="E207" s="7">
        <v>3907962</v>
      </c>
      <c r="F207" s="7"/>
      <c r="G207" s="7">
        <v>3711215</v>
      </c>
      <c r="H207" s="7"/>
      <c r="I207" s="7">
        <v>500022</v>
      </c>
      <c r="J207" s="7"/>
      <c r="K207" s="7">
        <f>1570731+258206+430340</f>
        <v>2259277</v>
      </c>
      <c r="L207" s="7"/>
      <c r="M207" s="7">
        <f>6459047+418450+347488</f>
        <v>7224985</v>
      </c>
      <c r="N207" s="7"/>
      <c r="O207" s="7">
        <f>541236+3735461+373856</f>
        <v>4650553</v>
      </c>
      <c r="P207" s="7"/>
      <c r="Q207" s="7">
        <v>1425985</v>
      </c>
      <c r="R207" s="7"/>
      <c r="S207" s="7">
        <v>161743</v>
      </c>
      <c r="T207" s="7"/>
      <c r="U207" s="7">
        <v>556285</v>
      </c>
      <c r="V207" s="7"/>
      <c r="W207" s="7">
        <v>281546</v>
      </c>
      <c r="X207" s="7"/>
      <c r="Y207" s="7">
        <v>0</v>
      </c>
      <c r="Z207" s="7"/>
      <c r="AA207" s="7">
        <f t="shared" si="21"/>
        <v>16560374</v>
      </c>
      <c r="AB207" s="7"/>
      <c r="AC207" s="7">
        <f t="shared" si="22"/>
        <v>24679573</v>
      </c>
      <c r="AE207" s="7"/>
    </row>
    <row r="208" spans="1:31" ht="12.75" customHeight="1" x14ac:dyDescent="0.2">
      <c r="A208" s="10" t="s">
        <v>222</v>
      </c>
      <c r="C208" s="10" t="s">
        <v>25</v>
      </c>
      <c r="E208" s="7">
        <v>1869941</v>
      </c>
      <c r="F208" s="7"/>
      <c r="G208" s="7">
        <v>653487</v>
      </c>
      <c r="H208" s="7"/>
      <c r="I208" s="7">
        <v>876360</v>
      </c>
      <c r="J208" s="7"/>
      <c r="K208" s="7">
        <f>861523+1268655+447262</f>
        <v>2577440</v>
      </c>
      <c r="L208" s="7"/>
      <c r="M208" s="7">
        <v>5463140</v>
      </c>
      <c r="N208" s="7"/>
      <c r="O208" s="7">
        <v>71507</v>
      </c>
      <c r="P208" s="7"/>
      <c r="Q208" s="7">
        <v>1041821</v>
      </c>
      <c r="R208" s="7"/>
      <c r="S208" s="7">
        <v>15394</v>
      </c>
      <c r="T208" s="7"/>
      <c r="U208" s="7">
        <v>209912</v>
      </c>
      <c r="V208" s="7"/>
      <c r="W208" s="7">
        <v>0</v>
      </c>
      <c r="X208" s="7"/>
      <c r="Y208" s="7">
        <v>0</v>
      </c>
      <c r="Z208" s="7"/>
      <c r="AA208" s="7">
        <f t="shared" si="21"/>
        <v>9379214</v>
      </c>
      <c r="AB208" s="7"/>
      <c r="AC208" s="7">
        <f t="shared" si="22"/>
        <v>12779002</v>
      </c>
    </row>
    <row r="209" spans="1:30" ht="12.75" customHeight="1" x14ac:dyDescent="0.2">
      <c r="A209" s="10" t="s">
        <v>223</v>
      </c>
      <c r="C209" s="10" t="s">
        <v>25</v>
      </c>
      <c r="E209" s="7">
        <v>8140865</v>
      </c>
      <c r="F209" s="7"/>
      <c r="G209" s="7">
        <v>4013179</v>
      </c>
      <c r="H209" s="7"/>
      <c r="I209" s="7">
        <v>436279</v>
      </c>
      <c r="J209" s="7"/>
      <c r="K209" s="7">
        <f>6350396+409706</f>
        <v>6760102</v>
      </c>
      <c r="L209" s="7"/>
      <c r="M209" s="7">
        <v>23211637</v>
      </c>
      <c r="N209" s="7"/>
      <c r="O209" s="7">
        <v>62985</v>
      </c>
      <c r="P209" s="7"/>
      <c r="Q209" s="7">
        <v>6711782</v>
      </c>
      <c r="R209" s="7"/>
      <c r="S209" s="7">
        <v>39437</v>
      </c>
      <c r="T209" s="7"/>
      <c r="U209" s="7">
        <v>220238</v>
      </c>
      <c r="V209" s="7"/>
      <c r="W209" s="7">
        <v>0</v>
      </c>
      <c r="X209" s="7"/>
      <c r="Y209" s="7">
        <v>0</v>
      </c>
      <c r="Z209" s="7"/>
      <c r="AA209" s="7">
        <f t="shared" ref="AA209:AA210" si="23">SUM(K209:Y209)</f>
        <v>37006181</v>
      </c>
      <c r="AB209" s="7"/>
      <c r="AC209" s="7">
        <f t="shared" ref="AC209:AC210" si="24">SUM(E209:Y209)</f>
        <v>49596504</v>
      </c>
    </row>
    <row r="210" spans="1:30" ht="12.75" customHeight="1" x14ac:dyDescent="0.2">
      <c r="A210" s="10" t="s">
        <v>224</v>
      </c>
      <c r="C210" s="10" t="s">
        <v>43</v>
      </c>
      <c r="E210" s="7">
        <v>1615514</v>
      </c>
      <c r="F210" s="7"/>
      <c r="G210" s="7">
        <v>2127023</v>
      </c>
      <c r="H210" s="7"/>
      <c r="I210" s="7">
        <v>577073</v>
      </c>
      <c r="J210" s="7"/>
      <c r="K210" s="7">
        <v>0</v>
      </c>
      <c r="L210" s="7"/>
      <c r="M210" s="7">
        <v>20413196</v>
      </c>
      <c r="N210" s="7"/>
      <c r="O210" s="7">
        <f>115628-27262</f>
        <v>88366</v>
      </c>
      <c r="P210" s="7"/>
      <c r="Q210" s="7">
        <v>887933</v>
      </c>
      <c r="R210" s="7"/>
      <c r="S210" s="7">
        <v>309911</v>
      </c>
      <c r="T210" s="7"/>
      <c r="U210" s="7">
        <v>486569</v>
      </c>
      <c r="V210" s="7"/>
      <c r="W210" s="7">
        <v>0</v>
      </c>
      <c r="X210" s="7"/>
      <c r="Y210" s="7">
        <v>0</v>
      </c>
      <c r="Z210" s="7"/>
      <c r="AA210" s="7">
        <f t="shared" si="23"/>
        <v>22185975</v>
      </c>
      <c r="AB210" s="7"/>
      <c r="AC210" s="7">
        <f t="shared" si="24"/>
        <v>26505585</v>
      </c>
    </row>
    <row r="211" spans="1:30" s="9" customFormat="1" ht="12.75" customHeight="1" x14ac:dyDescent="0.2">
      <c r="A211" s="9" t="s">
        <v>225</v>
      </c>
      <c r="C211" s="9" t="s">
        <v>15</v>
      </c>
      <c r="E211" s="7">
        <v>1114693</v>
      </c>
      <c r="F211" s="7"/>
      <c r="G211" s="7">
        <v>466960</v>
      </c>
      <c r="H211" s="7"/>
      <c r="I211" s="7">
        <v>4500</v>
      </c>
      <c r="J211" s="7"/>
      <c r="K211" s="7">
        <f>326347+74834+818378</f>
        <v>1219559</v>
      </c>
      <c r="L211" s="7"/>
      <c r="M211" s="7">
        <f>1920210+469000</f>
        <v>2389210</v>
      </c>
      <c r="N211" s="7"/>
      <c r="O211" s="7">
        <v>0</v>
      </c>
      <c r="P211" s="7"/>
      <c r="Q211" s="7">
        <v>1023914</v>
      </c>
      <c r="R211" s="7"/>
      <c r="S211" s="7">
        <v>1296</v>
      </c>
      <c r="T211" s="7"/>
      <c r="U211" s="7">
        <v>472011</v>
      </c>
      <c r="V211" s="7"/>
      <c r="W211" s="7">
        <v>0</v>
      </c>
      <c r="X211" s="7"/>
      <c r="Y211" s="7">
        <v>0</v>
      </c>
      <c r="Z211" s="7"/>
      <c r="AA211" s="7">
        <f t="shared" ref="AA211:AA226" si="25">SUM(K211:Y211)</f>
        <v>5105990</v>
      </c>
      <c r="AB211" s="7"/>
      <c r="AC211" s="7">
        <f t="shared" ref="AC211:AC226" si="26">SUM(E211:Y211)</f>
        <v>6692143</v>
      </c>
    </row>
    <row r="212" spans="1:30" ht="12.75" customHeight="1" x14ac:dyDescent="0.2">
      <c r="A212" s="10" t="s">
        <v>226</v>
      </c>
      <c r="C212" s="10" t="s">
        <v>151</v>
      </c>
      <c r="E212" s="7">
        <v>950559</v>
      </c>
      <c r="F212" s="7"/>
      <c r="G212" s="7">
        <v>1068953</v>
      </c>
      <c r="H212" s="7"/>
      <c r="I212" s="7">
        <v>286238</v>
      </c>
      <c r="J212" s="7"/>
      <c r="K212" s="7">
        <f>214703+415788</f>
        <v>630491</v>
      </c>
      <c r="L212" s="7"/>
      <c r="M212" s="7">
        <v>3144101</v>
      </c>
      <c r="N212" s="7"/>
      <c r="O212" s="7">
        <v>371769</v>
      </c>
      <c r="P212" s="7"/>
      <c r="Q212" s="7">
        <v>347228</v>
      </c>
      <c r="R212" s="7"/>
      <c r="S212" s="7">
        <v>34631</v>
      </c>
      <c r="T212" s="7"/>
      <c r="U212" s="7">
        <v>161667</v>
      </c>
      <c r="V212" s="7"/>
      <c r="W212" s="7">
        <v>0</v>
      </c>
      <c r="X212" s="7"/>
      <c r="Y212" s="7">
        <v>0</v>
      </c>
      <c r="Z212" s="7"/>
      <c r="AA212" s="7">
        <f t="shared" si="25"/>
        <v>4689887</v>
      </c>
      <c r="AB212" s="7"/>
      <c r="AC212" s="7">
        <f t="shared" si="26"/>
        <v>6995637</v>
      </c>
    </row>
    <row r="213" spans="1:30" ht="12.75" customHeight="1" x14ac:dyDescent="0.2">
      <c r="A213" s="10" t="s">
        <v>227</v>
      </c>
      <c r="C213" s="10" t="s">
        <v>226</v>
      </c>
      <c r="E213" s="7">
        <v>2014471</v>
      </c>
      <c r="F213" s="7"/>
      <c r="G213" s="7">
        <v>1384594</v>
      </c>
      <c r="H213" s="7"/>
      <c r="I213" s="7">
        <v>1046609</v>
      </c>
      <c r="J213" s="7"/>
      <c r="K213" s="7">
        <v>1064514</v>
      </c>
      <c r="L213" s="7"/>
      <c r="M213" s="7">
        <v>13508264</v>
      </c>
      <c r="N213" s="7"/>
      <c r="O213" s="7">
        <v>670257</v>
      </c>
      <c r="P213" s="7"/>
      <c r="Q213" s="7">
        <v>577012</v>
      </c>
      <c r="R213" s="7"/>
      <c r="S213" s="7">
        <v>129953</v>
      </c>
      <c r="T213" s="7"/>
      <c r="U213" s="7">
        <f>26069+252167</f>
        <v>278236</v>
      </c>
      <c r="V213" s="7"/>
      <c r="W213" s="7">
        <v>-343100</v>
      </c>
      <c r="X213" s="7"/>
      <c r="Y213" s="7">
        <v>0</v>
      </c>
      <c r="Z213" s="7"/>
      <c r="AA213" s="7">
        <f t="shared" si="25"/>
        <v>15885136</v>
      </c>
      <c r="AB213" s="7"/>
      <c r="AC213" s="7">
        <f t="shared" si="26"/>
        <v>20330810</v>
      </c>
    </row>
    <row r="214" spans="1:30" ht="12.75" hidden="1" customHeight="1" x14ac:dyDescent="0.2">
      <c r="A214" s="10" t="s">
        <v>228</v>
      </c>
      <c r="C214" s="10" t="s">
        <v>43</v>
      </c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>
        <f t="shared" si="25"/>
        <v>0</v>
      </c>
      <c r="AB214" s="7"/>
      <c r="AC214" s="7">
        <f t="shared" si="26"/>
        <v>0</v>
      </c>
      <c r="AD214" s="7"/>
    </row>
    <row r="215" spans="1:30" ht="12.75" customHeight="1" x14ac:dyDescent="0.2">
      <c r="A215" s="10" t="s">
        <v>229</v>
      </c>
      <c r="C215" s="10" t="s">
        <v>25</v>
      </c>
      <c r="E215" s="7">
        <v>5325900</v>
      </c>
      <c r="F215" s="7"/>
      <c r="G215" s="7">
        <v>1396049</v>
      </c>
      <c r="H215" s="7"/>
      <c r="I215" s="7">
        <v>1587921</v>
      </c>
      <c r="J215" s="7"/>
      <c r="K215" s="7">
        <f>1358974+1282647+403221+604834+388325</f>
        <v>4038001</v>
      </c>
      <c r="L215" s="7"/>
      <c r="M215" s="7">
        <f>30796894+9791741+76524</f>
        <v>40665159</v>
      </c>
      <c r="N215" s="7"/>
      <c r="O215" s="7">
        <v>0</v>
      </c>
      <c r="P215" s="7"/>
      <c r="Q215" s="7">
        <v>1896700</v>
      </c>
      <c r="R215" s="7"/>
      <c r="S215" s="7">
        <v>171550</v>
      </c>
      <c r="T215" s="7"/>
      <c r="U215" s="7">
        <f>65299+834994</f>
        <v>900293</v>
      </c>
      <c r="V215" s="7"/>
      <c r="W215" s="7">
        <v>-591592</v>
      </c>
      <c r="X215" s="7"/>
      <c r="Y215" s="7">
        <v>12223401</v>
      </c>
      <c r="Z215" s="7"/>
      <c r="AA215" s="7">
        <f t="shared" si="25"/>
        <v>59303512</v>
      </c>
      <c r="AB215" s="7"/>
      <c r="AC215" s="7">
        <f t="shared" si="26"/>
        <v>67613382</v>
      </c>
    </row>
    <row r="216" spans="1:30" ht="12.75" customHeight="1" x14ac:dyDescent="0.2">
      <c r="A216" s="10" t="s">
        <v>230</v>
      </c>
      <c r="C216" s="10" t="s">
        <v>25</v>
      </c>
      <c r="E216" s="7">
        <v>5212396</v>
      </c>
      <c r="F216" s="7"/>
      <c r="G216" s="7">
        <v>930169</v>
      </c>
      <c r="H216" s="7"/>
      <c r="I216" s="7">
        <v>894761</v>
      </c>
      <c r="J216" s="7"/>
      <c r="K216" s="7">
        <f>3732699+855273+205262</f>
        <v>4793234</v>
      </c>
      <c r="L216" s="7"/>
      <c r="M216" s="7">
        <v>8633358</v>
      </c>
      <c r="N216" s="7"/>
      <c r="O216" s="7">
        <v>0</v>
      </c>
      <c r="P216" s="7"/>
      <c r="Q216" s="7">
        <v>1487408</v>
      </c>
      <c r="R216" s="7"/>
      <c r="S216" s="7">
        <v>35813</v>
      </c>
      <c r="T216" s="7"/>
      <c r="U216" s="7">
        <f>81862+474843</f>
        <v>556705</v>
      </c>
      <c r="V216" s="7"/>
      <c r="W216" s="7">
        <v>0</v>
      </c>
      <c r="X216" s="7"/>
      <c r="Y216" s="7">
        <v>0</v>
      </c>
      <c r="Z216" s="7"/>
      <c r="AA216" s="7">
        <f t="shared" si="25"/>
        <v>15506518</v>
      </c>
      <c r="AB216" s="7"/>
      <c r="AC216" s="7">
        <f t="shared" si="26"/>
        <v>22543844</v>
      </c>
    </row>
    <row r="217" spans="1:30" ht="12.75" customHeight="1" x14ac:dyDescent="0.2">
      <c r="A217" s="10" t="s">
        <v>231</v>
      </c>
      <c r="C217" s="10" t="s">
        <v>109</v>
      </c>
      <c r="E217" s="7">
        <v>1073837</v>
      </c>
      <c r="F217" s="7"/>
      <c r="G217" s="7">
        <v>726537</v>
      </c>
      <c r="H217" s="7"/>
      <c r="I217" s="7">
        <v>35347</v>
      </c>
      <c r="J217" s="7"/>
      <c r="K217" s="7">
        <v>624866</v>
      </c>
      <c r="L217" s="7"/>
      <c r="M217" s="7">
        <v>11234399</v>
      </c>
      <c r="N217" s="7"/>
      <c r="O217" s="7">
        <f>57355+111074</f>
        <v>168429</v>
      </c>
      <c r="P217" s="7"/>
      <c r="Q217" s="7">
        <v>426267</v>
      </c>
      <c r="R217" s="7"/>
      <c r="S217" s="7">
        <v>58757</v>
      </c>
      <c r="T217" s="7"/>
      <c r="U217" s="7">
        <f>233235+65954</f>
        <v>299189</v>
      </c>
      <c r="V217" s="7"/>
      <c r="W217" s="7">
        <v>-942176</v>
      </c>
      <c r="X217" s="7"/>
      <c r="Y217" s="7">
        <v>0</v>
      </c>
      <c r="Z217" s="7"/>
      <c r="AA217" s="7">
        <f t="shared" si="25"/>
        <v>11869731</v>
      </c>
      <c r="AB217" s="7"/>
      <c r="AC217" s="7">
        <f t="shared" si="26"/>
        <v>13705452</v>
      </c>
    </row>
    <row r="218" spans="1:30" ht="12.75" customHeight="1" x14ac:dyDescent="0.2">
      <c r="A218" s="10" t="s">
        <v>232</v>
      </c>
      <c r="C218" s="10" t="s">
        <v>43</v>
      </c>
      <c r="E218" s="7">
        <v>1183314</v>
      </c>
      <c r="F218" s="7"/>
      <c r="G218" s="7">
        <v>57091</v>
      </c>
      <c r="H218" s="7"/>
      <c r="I218" s="7">
        <v>1243668</v>
      </c>
      <c r="J218" s="7"/>
      <c r="K218" s="7">
        <v>1264751</v>
      </c>
      <c r="L218" s="7"/>
      <c r="M218" s="7">
        <v>12974628</v>
      </c>
      <c r="N218" s="7"/>
      <c r="O218" s="7">
        <v>588089</v>
      </c>
      <c r="P218" s="7"/>
      <c r="Q218" s="7">
        <v>1718217</v>
      </c>
      <c r="R218" s="7"/>
      <c r="S218" s="7">
        <v>14263</v>
      </c>
      <c r="T218" s="7"/>
      <c r="U218" s="7">
        <f>185007+388835</f>
        <v>573842</v>
      </c>
      <c r="V218" s="7"/>
      <c r="W218" s="7">
        <v>0</v>
      </c>
      <c r="X218" s="7"/>
      <c r="Y218" s="7">
        <v>0</v>
      </c>
      <c r="Z218" s="7"/>
      <c r="AA218" s="7">
        <f t="shared" si="25"/>
        <v>17133790</v>
      </c>
      <c r="AB218" s="7"/>
      <c r="AC218" s="7">
        <f t="shared" si="26"/>
        <v>19617863</v>
      </c>
    </row>
    <row r="219" spans="1:30" ht="12.75" customHeight="1" x14ac:dyDescent="0.2">
      <c r="A219" s="10" t="s">
        <v>233</v>
      </c>
      <c r="C219" s="10" t="s">
        <v>181</v>
      </c>
      <c r="E219" s="7">
        <v>7201862</v>
      </c>
      <c r="F219" s="7"/>
      <c r="G219" s="7">
        <v>6980062</v>
      </c>
      <c r="H219" s="7"/>
      <c r="I219" s="7">
        <v>3013686</v>
      </c>
      <c r="J219" s="7"/>
      <c r="K219" s="7">
        <v>2556706</v>
      </c>
      <c r="L219" s="7"/>
      <c r="M219" s="7">
        <v>28302365</v>
      </c>
      <c r="N219" s="7"/>
      <c r="O219" s="7">
        <v>785448</v>
      </c>
      <c r="P219" s="7"/>
      <c r="Q219" s="7">
        <f>4959549+1750620</f>
        <v>6710169</v>
      </c>
      <c r="R219" s="7"/>
      <c r="S219" s="7">
        <v>233035</v>
      </c>
      <c r="T219" s="7"/>
      <c r="U219" s="7">
        <v>2199943</v>
      </c>
      <c r="V219" s="7"/>
      <c r="W219" s="7">
        <v>-436701</v>
      </c>
      <c r="X219" s="7"/>
      <c r="Y219" s="7">
        <v>0</v>
      </c>
      <c r="Z219" s="7"/>
      <c r="AA219" s="7">
        <f t="shared" si="25"/>
        <v>40350965</v>
      </c>
      <c r="AB219" s="7"/>
      <c r="AC219" s="7">
        <f t="shared" si="26"/>
        <v>57546575</v>
      </c>
    </row>
    <row r="220" spans="1:30" ht="12.75" hidden="1" customHeight="1" x14ac:dyDescent="0.2">
      <c r="A220" s="10" t="s">
        <v>234</v>
      </c>
      <c r="C220" s="10" t="s">
        <v>43</v>
      </c>
      <c r="E220" s="7">
        <v>313538</v>
      </c>
      <c r="F220" s="7"/>
      <c r="G220" s="7">
        <v>1208163</v>
      </c>
      <c r="H220" s="7"/>
      <c r="I220" s="7">
        <v>0</v>
      </c>
      <c r="J220" s="7"/>
      <c r="K220" s="7">
        <v>1734095</v>
      </c>
      <c r="L220" s="7"/>
      <c r="M220" s="7">
        <v>9915393</v>
      </c>
      <c r="N220" s="7"/>
      <c r="O220" s="7">
        <v>0</v>
      </c>
      <c r="P220" s="7"/>
      <c r="Q220" s="7">
        <v>994245</v>
      </c>
      <c r="R220" s="7"/>
      <c r="S220" s="7">
        <v>44774</v>
      </c>
      <c r="T220" s="7"/>
      <c r="U220" s="7">
        <v>475388</v>
      </c>
      <c r="V220" s="7"/>
      <c r="W220" s="7">
        <v>0</v>
      </c>
      <c r="X220" s="7"/>
      <c r="Y220" s="7">
        <v>0</v>
      </c>
      <c r="Z220" s="7"/>
      <c r="AA220" s="7">
        <f t="shared" si="25"/>
        <v>13163895</v>
      </c>
      <c r="AB220" s="7"/>
      <c r="AC220" s="7">
        <f t="shared" si="26"/>
        <v>14685596</v>
      </c>
    </row>
    <row r="221" spans="1:30" ht="12.75" hidden="1" customHeight="1" x14ac:dyDescent="0.2">
      <c r="A221" s="10" t="s">
        <v>235</v>
      </c>
      <c r="C221" s="10" t="s">
        <v>31</v>
      </c>
      <c r="E221" s="7">
        <v>288022</v>
      </c>
      <c r="F221" s="7"/>
      <c r="G221" s="7">
        <v>451675</v>
      </c>
      <c r="H221" s="7"/>
      <c r="I221" s="7">
        <v>274207</v>
      </c>
      <c r="J221" s="7"/>
      <c r="K221" s="7">
        <f>244853+535290</f>
        <v>780143</v>
      </c>
      <c r="L221" s="7"/>
      <c r="M221" s="7">
        <f>344229*2</f>
        <v>688458</v>
      </c>
      <c r="N221" s="7"/>
      <c r="O221" s="7">
        <v>205005</v>
      </c>
      <c r="P221" s="7"/>
      <c r="Q221" s="7">
        <v>579210</v>
      </c>
      <c r="R221" s="7"/>
      <c r="S221" s="7">
        <v>42428</v>
      </c>
      <c r="T221" s="7"/>
      <c r="U221" s="7">
        <v>59514</v>
      </c>
      <c r="V221" s="7"/>
      <c r="W221" s="7">
        <v>0</v>
      </c>
      <c r="X221" s="7"/>
      <c r="Y221" s="7">
        <v>0</v>
      </c>
      <c r="Z221" s="7"/>
      <c r="AA221" s="7">
        <f t="shared" si="25"/>
        <v>2354758</v>
      </c>
      <c r="AB221" s="7"/>
      <c r="AC221" s="7">
        <f t="shared" si="26"/>
        <v>3368662</v>
      </c>
    </row>
    <row r="222" spans="1:30" ht="12.75" customHeight="1" x14ac:dyDescent="0.2">
      <c r="A222" s="10" t="s">
        <v>236</v>
      </c>
      <c r="C222" s="10" t="s">
        <v>237</v>
      </c>
      <c r="E222" s="7">
        <v>801473</v>
      </c>
      <c r="F222" s="7"/>
      <c r="G222" s="7">
        <v>426040</v>
      </c>
      <c r="H222" s="7"/>
      <c r="I222" s="7">
        <v>128210</v>
      </c>
      <c r="J222" s="7"/>
      <c r="K222" s="7">
        <f>1222730+66846</f>
        <v>1289576</v>
      </c>
      <c r="L222" s="7"/>
      <c r="M222" s="7">
        <f>2063336+443979+1512146</f>
        <v>4019461</v>
      </c>
      <c r="N222" s="7"/>
      <c r="O222" s="7">
        <v>0</v>
      </c>
      <c r="P222" s="7"/>
      <c r="Q222" s="7">
        <v>445232</v>
      </c>
      <c r="R222" s="7"/>
      <c r="S222" s="7">
        <v>58166</v>
      </c>
      <c r="T222" s="7"/>
      <c r="U222" s="7">
        <v>75880</v>
      </c>
      <c r="V222" s="7"/>
      <c r="W222" s="7">
        <v>-872666</v>
      </c>
      <c r="X222" s="7"/>
      <c r="Y222" s="7">
        <v>0</v>
      </c>
      <c r="Z222" s="7"/>
      <c r="AA222" s="7">
        <f t="shared" si="25"/>
        <v>5015649</v>
      </c>
      <c r="AB222" s="7"/>
      <c r="AC222" s="7">
        <f t="shared" si="26"/>
        <v>6371372</v>
      </c>
    </row>
    <row r="223" spans="1:30" ht="12.75" customHeight="1" x14ac:dyDescent="0.2">
      <c r="A223" s="10" t="s">
        <v>480</v>
      </c>
      <c r="C223" s="10" t="s">
        <v>247</v>
      </c>
      <c r="E223" s="7">
        <v>1417398</v>
      </c>
      <c r="F223" s="7"/>
      <c r="G223" s="7">
        <v>1762522</v>
      </c>
      <c r="H223" s="7"/>
      <c r="I223" s="7">
        <v>1479365</v>
      </c>
      <c r="J223" s="7"/>
      <c r="K223" s="7">
        <f>999622+185150</f>
        <v>1184772</v>
      </c>
      <c r="L223" s="7"/>
      <c r="M223" s="7">
        <f>8379389+741205+308845+102949</f>
        <v>9532388</v>
      </c>
      <c r="N223" s="7"/>
      <c r="O223" s="7">
        <v>292107</v>
      </c>
      <c r="P223" s="7"/>
      <c r="Q223" s="7">
        <v>1192720</v>
      </c>
      <c r="R223" s="7"/>
      <c r="S223" s="7">
        <v>3383</v>
      </c>
      <c r="T223" s="7"/>
      <c r="U223" s="7">
        <v>123955</v>
      </c>
      <c r="V223" s="7"/>
      <c r="W223" s="7">
        <v>-8998</v>
      </c>
      <c r="X223" s="7"/>
      <c r="Y223" s="7">
        <v>0</v>
      </c>
      <c r="Z223" s="7"/>
      <c r="AA223" s="7">
        <f t="shared" si="25"/>
        <v>12320327</v>
      </c>
      <c r="AB223" s="7"/>
      <c r="AC223" s="7">
        <f t="shared" si="26"/>
        <v>16979612</v>
      </c>
    </row>
    <row r="224" spans="1:30" ht="12.75" customHeight="1" x14ac:dyDescent="0.2">
      <c r="A224" s="10" t="s">
        <v>238</v>
      </c>
      <c r="C224" s="10" t="s">
        <v>11</v>
      </c>
      <c r="E224" s="7">
        <v>5562955</v>
      </c>
      <c r="F224" s="7"/>
      <c r="G224" s="7">
        <v>2341727</v>
      </c>
      <c r="H224" s="7"/>
      <c r="I224" s="7">
        <v>2112844</v>
      </c>
      <c r="J224" s="7"/>
      <c r="K224" s="7">
        <f>4535441+2214325</f>
        <v>6749766</v>
      </c>
      <c r="L224" s="7"/>
      <c r="M224" s="7">
        <v>13440529</v>
      </c>
      <c r="N224" s="7"/>
      <c r="O224" s="7">
        <v>0</v>
      </c>
      <c r="P224" s="7"/>
      <c r="Q224" s="7">
        <v>3146808</v>
      </c>
      <c r="R224" s="7"/>
      <c r="S224" s="7">
        <v>25117</v>
      </c>
      <c r="T224" s="7"/>
      <c r="U224" s="7">
        <v>244661</v>
      </c>
      <c r="V224" s="7"/>
      <c r="W224" s="7">
        <v>-353651</v>
      </c>
      <c r="X224" s="7"/>
      <c r="Y224" s="7">
        <v>0</v>
      </c>
      <c r="Z224" s="7"/>
      <c r="AA224" s="7">
        <f t="shared" si="25"/>
        <v>23253230</v>
      </c>
      <c r="AB224" s="7"/>
      <c r="AC224" s="7">
        <f t="shared" si="26"/>
        <v>33270756</v>
      </c>
    </row>
    <row r="225" spans="1:29" ht="12.75" customHeight="1" x14ac:dyDescent="0.2">
      <c r="A225" s="10" t="s">
        <v>239</v>
      </c>
      <c r="C225" s="10" t="s">
        <v>20</v>
      </c>
      <c r="E225" s="7">
        <v>1411764</v>
      </c>
      <c r="F225" s="7"/>
      <c r="G225" s="7">
        <v>1538132</v>
      </c>
      <c r="H225" s="7"/>
      <c r="I225" s="7">
        <v>0</v>
      </c>
      <c r="J225" s="7"/>
      <c r="K225" s="7">
        <f>1215075+300234+141781+119647</f>
        <v>1776737</v>
      </c>
      <c r="L225" s="7"/>
      <c r="M225" s="7">
        <f>8460630+220634+2206572</f>
        <v>10887836</v>
      </c>
      <c r="N225" s="7"/>
      <c r="O225" s="7">
        <v>106488</v>
      </c>
      <c r="P225" s="7"/>
      <c r="Q225" s="7">
        <v>437805</v>
      </c>
      <c r="R225" s="7"/>
      <c r="S225" s="7">
        <v>21447</v>
      </c>
      <c r="T225" s="7"/>
      <c r="U225" s="7">
        <v>562160</v>
      </c>
      <c r="V225" s="7"/>
      <c r="W225" s="7">
        <v>-21761</v>
      </c>
      <c r="X225" s="7"/>
      <c r="Y225" s="7">
        <v>0</v>
      </c>
      <c r="Z225" s="7"/>
      <c r="AA225" s="7">
        <f t="shared" si="25"/>
        <v>13770712</v>
      </c>
      <c r="AB225" s="7"/>
      <c r="AC225" s="7">
        <f t="shared" si="26"/>
        <v>16720608</v>
      </c>
    </row>
    <row r="226" spans="1:29" ht="12.75" customHeight="1" x14ac:dyDescent="0.2">
      <c r="A226" s="10" t="s">
        <v>240</v>
      </c>
      <c r="C226" s="10" t="s">
        <v>25</v>
      </c>
      <c r="E226" s="7">
        <v>6125953</v>
      </c>
      <c r="F226" s="7"/>
      <c r="G226" s="7">
        <v>2015126</v>
      </c>
      <c r="H226" s="7"/>
      <c r="I226" s="7">
        <v>273441</v>
      </c>
      <c r="J226" s="7"/>
      <c r="K226" s="7">
        <f>419991+3401469+5253644</f>
        <v>9075104</v>
      </c>
      <c r="L226" s="7"/>
      <c r="M226" s="7">
        <f>26677393+3157012</f>
        <v>29834405</v>
      </c>
      <c r="N226" s="7"/>
      <c r="O226" s="7">
        <f>181064+324002+706163+866597</f>
        <v>2077826</v>
      </c>
      <c r="P226" s="7"/>
      <c r="Q226" s="7">
        <v>3376078</v>
      </c>
      <c r="R226" s="7"/>
      <c r="S226" s="7">
        <v>143795</v>
      </c>
      <c r="T226" s="7"/>
      <c r="U226" s="7">
        <f>104369+725</f>
        <v>105094</v>
      </c>
      <c r="V226" s="7"/>
      <c r="W226" s="7">
        <v>0</v>
      </c>
      <c r="X226" s="7"/>
      <c r="Y226" s="7">
        <v>0</v>
      </c>
      <c r="Z226" s="7"/>
      <c r="AA226" s="7">
        <f t="shared" si="25"/>
        <v>44612302</v>
      </c>
      <c r="AB226" s="7"/>
      <c r="AC226" s="7">
        <f t="shared" si="26"/>
        <v>53026822</v>
      </c>
    </row>
    <row r="227" spans="1:29" ht="12.75" customHeight="1" x14ac:dyDescent="0.2">
      <c r="A227" s="7" t="s">
        <v>510</v>
      </c>
      <c r="C227" s="7" t="s">
        <v>59</v>
      </c>
      <c r="E227" s="7">
        <v>524181</v>
      </c>
      <c r="F227" s="7"/>
      <c r="G227" s="7">
        <v>627675</v>
      </c>
      <c r="H227" s="7"/>
      <c r="I227" s="7">
        <v>71884</v>
      </c>
      <c r="J227" s="7"/>
      <c r="K227" s="7">
        <f>3060116+70142+24927+24927</f>
        <v>3180112</v>
      </c>
      <c r="L227" s="7"/>
      <c r="M227" s="7">
        <v>0</v>
      </c>
      <c r="N227" s="7"/>
      <c r="O227" s="7">
        <v>0</v>
      </c>
      <c r="P227" s="7"/>
      <c r="Q227" s="7">
        <v>271393</v>
      </c>
      <c r="R227" s="7"/>
      <c r="S227" s="7">
        <v>0</v>
      </c>
      <c r="T227" s="7"/>
      <c r="U227" s="7">
        <v>179125</v>
      </c>
      <c r="V227" s="7"/>
      <c r="W227" s="7">
        <v>0</v>
      </c>
      <c r="X227" s="7"/>
      <c r="Y227" s="7">
        <v>0</v>
      </c>
      <c r="Z227" s="7"/>
      <c r="AA227" s="7">
        <f t="shared" ref="AA227" si="27">SUM(K227:Y227)</f>
        <v>3630630</v>
      </c>
      <c r="AB227" s="7"/>
      <c r="AC227" s="7">
        <f t="shared" ref="AC227" si="28">SUM(E227:Y227)</f>
        <v>4854370</v>
      </c>
    </row>
    <row r="228" spans="1:29" ht="12.75" customHeight="1" x14ac:dyDescent="0.2">
      <c r="A228" s="10" t="s">
        <v>241</v>
      </c>
      <c r="C228" s="10" t="s">
        <v>161</v>
      </c>
      <c r="E228" s="7">
        <v>1858148</v>
      </c>
      <c r="F228" s="7"/>
      <c r="G228" s="7">
        <v>2311042</v>
      </c>
      <c r="H228" s="7"/>
      <c r="I228" s="7">
        <v>300674</v>
      </c>
      <c r="J228" s="7"/>
      <c r="K228" s="7">
        <v>1894549</v>
      </c>
      <c r="L228" s="7"/>
      <c r="M228" s="7">
        <v>8924523</v>
      </c>
      <c r="N228" s="7"/>
      <c r="O228" s="7">
        <v>0</v>
      </c>
      <c r="P228" s="7"/>
      <c r="Q228" s="7">
        <v>2055483</v>
      </c>
      <c r="R228" s="7"/>
      <c r="S228" s="7">
        <v>196153</v>
      </c>
      <c r="T228" s="7"/>
      <c r="U228" s="7">
        <v>524398</v>
      </c>
      <c r="V228" s="7"/>
      <c r="W228" s="7">
        <v>28000</v>
      </c>
      <c r="X228" s="7"/>
      <c r="Y228" s="7">
        <v>0</v>
      </c>
      <c r="Z228" s="7"/>
      <c r="AA228" s="7">
        <f t="shared" ref="AA228:AA241" si="29">SUM(K228:Y228)</f>
        <v>13623106</v>
      </c>
      <c r="AB228" s="7"/>
      <c r="AC228" s="7">
        <f t="shared" ref="AC228:AC241" si="30">SUM(E228:Y228)</f>
        <v>18092970</v>
      </c>
    </row>
    <row r="229" spans="1:29" ht="12.75" customHeight="1" x14ac:dyDescent="0.2">
      <c r="A229" s="10" t="s">
        <v>242</v>
      </c>
      <c r="C229" s="10" t="s">
        <v>11</v>
      </c>
      <c r="E229" s="7">
        <v>2628318</v>
      </c>
      <c r="F229" s="7"/>
      <c r="G229" s="7">
        <v>1510826</v>
      </c>
      <c r="H229" s="7"/>
      <c r="I229" s="7">
        <v>10000</v>
      </c>
      <c r="J229" s="7"/>
      <c r="K229" s="7">
        <f>681542+1251523+97127</f>
        <v>2030192</v>
      </c>
      <c r="L229" s="7"/>
      <c r="M229" s="7">
        <v>8685855</v>
      </c>
      <c r="N229" s="7"/>
      <c r="O229" s="7">
        <v>0</v>
      </c>
      <c r="P229" s="7"/>
      <c r="Q229" s="7">
        <v>1854900</v>
      </c>
      <c r="R229" s="7"/>
      <c r="S229" s="7">
        <v>39407</v>
      </c>
      <c r="T229" s="7"/>
      <c r="U229" s="7">
        <v>94128</v>
      </c>
      <c r="V229" s="7"/>
      <c r="W229" s="7">
        <v>0</v>
      </c>
      <c r="X229" s="7"/>
      <c r="Y229" s="7">
        <v>0</v>
      </c>
      <c r="Z229" s="7"/>
      <c r="AA229" s="7">
        <f t="shared" si="29"/>
        <v>12704482</v>
      </c>
      <c r="AB229" s="7"/>
      <c r="AC229" s="7">
        <f t="shared" si="30"/>
        <v>16853626</v>
      </c>
    </row>
    <row r="230" spans="1:29" ht="12.75" customHeight="1" x14ac:dyDescent="0.2">
      <c r="A230" s="10" t="s">
        <v>243</v>
      </c>
      <c r="C230" s="10" t="s">
        <v>108</v>
      </c>
      <c r="E230" s="7">
        <v>1384928</v>
      </c>
      <c r="F230" s="7"/>
      <c r="G230" s="7">
        <v>1381970</v>
      </c>
      <c r="H230" s="7"/>
      <c r="I230" s="7">
        <v>509455</v>
      </c>
      <c r="J230" s="7"/>
      <c r="K230" s="7">
        <f>784686+49290+49290</f>
        <v>883266</v>
      </c>
      <c r="L230" s="7"/>
      <c r="M230" s="7">
        <v>7142827</v>
      </c>
      <c r="N230" s="7"/>
      <c r="O230" s="7">
        <v>58613</v>
      </c>
      <c r="P230" s="7"/>
      <c r="Q230" s="7">
        <v>843583</v>
      </c>
      <c r="R230" s="7"/>
      <c r="S230" s="7">
        <v>9089</v>
      </c>
      <c r="T230" s="7"/>
      <c r="U230" s="7">
        <f>22520+233922+52123</f>
        <v>308565</v>
      </c>
      <c r="V230" s="7"/>
      <c r="W230" s="7">
        <v>0</v>
      </c>
      <c r="X230" s="7"/>
      <c r="Y230" s="7">
        <v>0</v>
      </c>
      <c r="Z230" s="7"/>
      <c r="AA230" s="7">
        <f t="shared" si="29"/>
        <v>9245943</v>
      </c>
      <c r="AB230" s="7"/>
      <c r="AC230" s="7">
        <f t="shared" si="30"/>
        <v>12522296</v>
      </c>
    </row>
    <row r="231" spans="1:29" ht="12.75" customHeight="1" x14ac:dyDescent="0.2">
      <c r="A231" s="10" t="s">
        <v>244</v>
      </c>
      <c r="C231" s="10" t="s">
        <v>207</v>
      </c>
      <c r="E231" s="7">
        <v>1413573</v>
      </c>
      <c r="F231" s="7"/>
      <c r="G231" s="7">
        <v>688116</v>
      </c>
      <c r="H231" s="7"/>
      <c r="I231" s="7">
        <v>313862</v>
      </c>
      <c r="J231" s="7"/>
      <c r="K231" s="7">
        <v>327145</v>
      </c>
      <c r="L231" s="7"/>
      <c r="M231" s="7">
        <v>4958434</v>
      </c>
      <c r="N231" s="7"/>
      <c r="O231" s="7">
        <v>73682</v>
      </c>
      <c r="P231" s="7"/>
      <c r="Q231" s="7">
        <v>1002069</v>
      </c>
      <c r="R231" s="7"/>
      <c r="S231" s="7">
        <v>80537</v>
      </c>
      <c r="T231" s="7"/>
      <c r="U231" s="7">
        <v>907555</v>
      </c>
      <c r="V231" s="7"/>
      <c r="W231" s="7">
        <v>0</v>
      </c>
      <c r="X231" s="7"/>
      <c r="Y231" s="7">
        <v>0</v>
      </c>
      <c r="Z231" s="7"/>
      <c r="AA231" s="7">
        <f t="shared" si="29"/>
        <v>7349422</v>
      </c>
      <c r="AB231" s="7"/>
      <c r="AC231" s="7">
        <f t="shared" si="30"/>
        <v>9764973</v>
      </c>
    </row>
    <row r="232" spans="1:29" ht="12.75" hidden="1" customHeight="1" x14ac:dyDescent="0.2">
      <c r="A232" s="10" t="s">
        <v>245</v>
      </c>
      <c r="C232" s="10" t="s">
        <v>161</v>
      </c>
      <c r="E232" s="7">
        <v>101695000</v>
      </c>
      <c r="F232" s="7"/>
      <c r="G232" s="7">
        <v>29533000</v>
      </c>
      <c r="H232" s="7"/>
      <c r="I232" s="7">
        <v>16590000</v>
      </c>
      <c r="J232" s="7"/>
      <c r="K232" s="7">
        <v>11361000</v>
      </c>
      <c r="L232" s="7"/>
      <c r="M232" s="7">
        <v>158128000</v>
      </c>
      <c r="N232" s="7"/>
      <c r="O232" s="7">
        <v>0</v>
      </c>
      <c r="P232" s="7"/>
      <c r="Q232" s="7">
        <v>5272000</v>
      </c>
      <c r="R232" s="7"/>
      <c r="S232" s="7">
        <v>1017000</v>
      </c>
      <c r="T232" s="7"/>
      <c r="U232" s="7">
        <v>4789000</v>
      </c>
      <c r="V232" s="7"/>
      <c r="W232" s="7">
        <v>-289000</v>
      </c>
      <c r="X232" s="7"/>
      <c r="Y232" s="7">
        <v>0</v>
      </c>
      <c r="Z232" s="7"/>
      <c r="AA232" s="7">
        <f t="shared" si="29"/>
        <v>180278000</v>
      </c>
      <c r="AB232" s="7"/>
      <c r="AC232" s="7">
        <f t="shared" si="30"/>
        <v>328096000</v>
      </c>
    </row>
    <row r="233" spans="1:29" ht="12.75" customHeight="1" x14ac:dyDescent="0.2">
      <c r="A233" s="10" t="s">
        <v>246</v>
      </c>
      <c r="C233" s="10" t="s">
        <v>247</v>
      </c>
      <c r="E233" s="7">
        <v>162526</v>
      </c>
      <c r="F233" s="7"/>
      <c r="G233" s="7">
        <v>779200</v>
      </c>
      <c r="H233" s="7"/>
      <c r="I233" s="7">
        <v>942230</v>
      </c>
      <c r="J233" s="7"/>
      <c r="K233" s="7">
        <f>111339+38643</f>
        <v>149982</v>
      </c>
      <c r="L233" s="7"/>
      <c r="M233" s="7">
        <v>2561574</v>
      </c>
      <c r="N233" s="7"/>
      <c r="O233" s="7">
        <v>50321</v>
      </c>
      <c r="P233" s="7"/>
      <c r="Q233" s="7">
        <v>161667</v>
      </c>
      <c r="R233" s="7"/>
      <c r="S233" s="7">
        <v>0</v>
      </c>
      <c r="T233" s="7"/>
      <c r="U233" s="7">
        <v>22837</v>
      </c>
      <c r="V233" s="7"/>
      <c r="W233" s="7">
        <v>-175000</v>
      </c>
      <c r="X233" s="7"/>
      <c r="Y233" s="7">
        <v>0</v>
      </c>
      <c r="Z233" s="7"/>
      <c r="AA233" s="7">
        <f t="shared" si="29"/>
        <v>2771381</v>
      </c>
      <c r="AB233" s="7"/>
      <c r="AC233" s="7">
        <f t="shared" si="30"/>
        <v>4655337</v>
      </c>
    </row>
    <row r="234" spans="1:29" ht="12.75" customHeight="1" x14ac:dyDescent="0.2">
      <c r="A234" s="10" t="s">
        <v>248</v>
      </c>
      <c r="C234" s="10" t="s">
        <v>101</v>
      </c>
      <c r="E234" s="7">
        <v>909396</v>
      </c>
      <c r="F234" s="7"/>
      <c r="G234" s="7">
        <v>526186</v>
      </c>
      <c r="H234" s="7"/>
      <c r="I234" s="7">
        <v>0</v>
      </c>
      <c r="J234" s="7"/>
      <c r="K234" s="7">
        <v>494574</v>
      </c>
      <c r="L234" s="7"/>
      <c r="M234" s="7">
        <v>1607399</v>
      </c>
      <c r="N234" s="7"/>
      <c r="O234" s="7">
        <f>135317+60245+150069+80382</f>
        <v>426013</v>
      </c>
      <c r="P234" s="7"/>
      <c r="Q234" s="7">
        <v>314705</v>
      </c>
      <c r="R234" s="7"/>
      <c r="S234" s="7">
        <v>50694</v>
      </c>
      <c r="T234" s="7"/>
      <c r="U234" s="7">
        <v>79728</v>
      </c>
      <c r="V234" s="7"/>
      <c r="W234" s="7">
        <v>0</v>
      </c>
      <c r="X234" s="7"/>
      <c r="Y234" s="7">
        <v>0</v>
      </c>
      <c r="Z234" s="7"/>
      <c r="AA234" s="7">
        <f t="shared" si="29"/>
        <v>2973113</v>
      </c>
      <c r="AB234" s="7"/>
      <c r="AC234" s="7">
        <f t="shared" si="30"/>
        <v>4408695</v>
      </c>
    </row>
    <row r="235" spans="1:29" ht="12.75" customHeight="1" x14ac:dyDescent="0.2">
      <c r="A235" s="10" t="s">
        <v>249</v>
      </c>
      <c r="C235" s="10" t="s">
        <v>64</v>
      </c>
      <c r="E235" s="7">
        <v>2516374</v>
      </c>
      <c r="F235" s="7"/>
      <c r="G235" s="7">
        <v>1779330</v>
      </c>
      <c r="H235" s="7"/>
      <c r="I235" s="7">
        <v>1769666</v>
      </c>
      <c r="J235" s="7"/>
      <c r="K235" s="7">
        <f>1389958+2405539+106780</f>
        <v>3902277</v>
      </c>
      <c r="L235" s="7"/>
      <c r="M235" s="7">
        <v>4911790</v>
      </c>
      <c r="N235" s="7"/>
      <c r="O235" s="7">
        <v>314945</v>
      </c>
      <c r="P235" s="7"/>
      <c r="Q235" s="7">
        <v>1194125</v>
      </c>
      <c r="R235" s="7"/>
      <c r="S235" s="7">
        <v>1985</v>
      </c>
      <c r="T235" s="7"/>
      <c r="U235" s="7">
        <v>432195</v>
      </c>
      <c r="V235" s="7"/>
      <c r="W235" s="7">
        <v>-689225</v>
      </c>
      <c r="X235" s="7"/>
      <c r="Y235" s="7">
        <v>0</v>
      </c>
      <c r="Z235" s="7"/>
      <c r="AA235" s="7">
        <f t="shared" si="29"/>
        <v>10068092</v>
      </c>
      <c r="AB235" s="7"/>
      <c r="AC235" s="7">
        <f t="shared" si="30"/>
        <v>16133462</v>
      </c>
    </row>
    <row r="236" spans="1:29" ht="12.75" customHeight="1" x14ac:dyDescent="0.2">
      <c r="A236" s="10" t="s">
        <v>250</v>
      </c>
      <c r="C236" s="10" t="s">
        <v>207</v>
      </c>
      <c r="E236" s="7">
        <v>4109538</v>
      </c>
      <c r="F236" s="7"/>
      <c r="G236" s="7">
        <v>1077177</v>
      </c>
      <c r="H236" s="7"/>
      <c r="I236" s="7">
        <v>405309</v>
      </c>
      <c r="J236" s="7"/>
      <c r="K236" s="7">
        <f>1860106+30929</f>
        <v>1891035</v>
      </c>
      <c r="L236" s="7"/>
      <c r="M236" s="7">
        <v>15913230</v>
      </c>
      <c r="N236" s="7"/>
      <c r="O236" s="7">
        <v>224299</v>
      </c>
      <c r="P236" s="7"/>
      <c r="Q236" s="7">
        <v>1161462</v>
      </c>
      <c r="R236" s="7"/>
      <c r="S236" s="7">
        <v>607412</v>
      </c>
      <c r="T236" s="7"/>
      <c r="U236" s="7">
        <f>72989+308996</f>
        <v>381985</v>
      </c>
      <c r="V236" s="7"/>
      <c r="W236" s="7">
        <v>-676595</v>
      </c>
      <c r="X236" s="7"/>
      <c r="Y236" s="7">
        <v>0</v>
      </c>
      <c r="Z236" s="7"/>
      <c r="AA236" s="7">
        <f t="shared" si="29"/>
        <v>19502828</v>
      </c>
      <c r="AB236" s="7"/>
      <c r="AC236" s="7">
        <f t="shared" si="30"/>
        <v>25094852</v>
      </c>
    </row>
    <row r="237" spans="1:29" ht="12.75" hidden="1" customHeight="1" x14ac:dyDescent="0.2">
      <c r="A237" s="10" t="s">
        <v>251</v>
      </c>
      <c r="C237" s="10" t="s">
        <v>11</v>
      </c>
      <c r="E237" s="7">
        <v>2809820</v>
      </c>
      <c r="F237" s="7"/>
      <c r="G237" s="7">
        <v>109477</v>
      </c>
      <c r="H237" s="7"/>
      <c r="I237" s="7">
        <v>819384</v>
      </c>
      <c r="J237" s="7"/>
      <c r="K237" s="7">
        <f>578350+876794</f>
        <v>1455144</v>
      </c>
      <c r="L237" s="7"/>
      <c r="M237" s="7">
        <v>20305224</v>
      </c>
      <c r="N237" s="7"/>
      <c r="O237" s="7">
        <v>0</v>
      </c>
      <c r="P237" s="7"/>
      <c r="Q237" s="7">
        <v>1566739</v>
      </c>
      <c r="R237" s="7"/>
      <c r="S237" s="7">
        <v>49544</v>
      </c>
      <c r="T237" s="7"/>
      <c r="U237" s="7">
        <v>51846</v>
      </c>
      <c r="V237" s="7"/>
      <c r="W237" s="7">
        <v>-2019171</v>
      </c>
      <c r="X237" s="7"/>
      <c r="Y237" s="7">
        <v>0</v>
      </c>
      <c r="Z237" s="7"/>
      <c r="AA237" s="7">
        <f t="shared" si="29"/>
        <v>21409326</v>
      </c>
      <c r="AB237" s="7"/>
      <c r="AC237" s="7">
        <f t="shared" si="30"/>
        <v>25148007</v>
      </c>
    </row>
    <row r="238" spans="1:29" ht="12.75" customHeight="1" x14ac:dyDescent="0.2">
      <c r="A238" s="10" t="s">
        <v>252</v>
      </c>
      <c r="C238" s="10" t="s">
        <v>87</v>
      </c>
      <c r="E238" s="7">
        <v>273355</v>
      </c>
      <c r="F238" s="7"/>
      <c r="G238" s="7">
        <v>274843</v>
      </c>
      <c r="H238" s="7"/>
      <c r="I238" s="7">
        <v>12408</v>
      </c>
      <c r="J238" s="7"/>
      <c r="K238" s="7">
        <f>251846+94691+92073+23575+59140+30060</f>
        <v>551385</v>
      </c>
      <c r="L238" s="7"/>
      <c r="M238" s="7">
        <f>1036170+282592</f>
        <v>1318762</v>
      </c>
      <c r="N238" s="7"/>
      <c r="O238" s="7">
        <v>0</v>
      </c>
      <c r="P238" s="7"/>
      <c r="Q238" s="7">
        <v>232546</v>
      </c>
      <c r="R238" s="7"/>
      <c r="S238" s="7">
        <v>4411</v>
      </c>
      <c r="T238" s="7"/>
      <c r="U238" s="7">
        <v>34531</v>
      </c>
      <c r="V238" s="7"/>
      <c r="W238" s="7">
        <v>-147718</v>
      </c>
      <c r="X238" s="7"/>
      <c r="Y238" s="7">
        <v>0</v>
      </c>
      <c r="Z238" s="7"/>
      <c r="AA238" s="7">
        <f t="shared" si="29"/>
        <v>1993917</v>
      </c>
      <c r="AB238" s="7"/>
      <c r="AC238" s="7">
        <f t="shared" si="30"/>
        <v>2554523</v>
      </c>
    </row>
    <row r="239" spans="1:29" ht="12.75" customHeight="1" x14ac:dyDescent="0.2">
      <c r="A239" s="10" t="s">
        <v>157</v>
      </c>
      <c r="C239" s="10" t="s">
        <v>64</v>
      </c>
      <c r="E239" s="7">
        <v>1226909</v>
      </c>
      <c r="F239" s="7"/>
      <c r="G239" s="7">
        <v>522794</v>
      </c>
      <c r="H239" s="7"/>
      <c r="I239" s="7">
        <v>0</v>
      </c>
      <c r="J239" s="7"/>
      <c r="K239" s="7">
        <v>1456695</v>
      </c>
      <c r="L239" s="7"/>
      <c r="M239" s="7">
        <v>495591</v>
      </c>
      <c r="N239" s="7"/>
      <c r="O239" s="7">
        <v>0</v>
      </c>
      <c r="P239" s="7"/>
      <c r="Q239" s="7">
        <v>334229</v>
      </c>
      <c r="R239" s="7"/>
      <c r="S239" s="7">
        <v>1473</v>
      </c>
      <c r="T239" s="7"/>
      <c r="U239" s="7">
        <v>68785</v>
      </c>
      <c r="V239" s="7"/>
      <c r="W239" s="7">
        <v>0</v>
      </c>
      <c r="X239" s="7"/>
      <c r="Y239" s="7">
        <v>0</v>
      </c>
      <c r="Z239" s="7"/>
      <c r="AA239" s="7">
        <f t="shared" si="29"/>
        <v>2356773</v>
      </c>
      <c r="AB239" s="7"/>
      <c r="AC239" s="7">
        <f t="shared" si="30"/>
        <v>4106476</v>
      </c>
    </row>
    <row r="240" spans="1:29" ht="12.75" customHeight="1" x14ac:dyDescent="0.2">
      <c r="A240" s="10" t="s">
        <v>253</v>
      </c>
      <c r="C240" s="10" t="s">
        <v>25</v>
      </c>
      <c r="E240" s="7">
        <v>1710953</v>
      </c>
      <c r="F240" s="7"/>
      <c r="G240" s="7">
        <v>479820</v>
      </c>
      <c r="H240" s="7"/>
      <c r="I240" s="7">
        <v>3152608</v>
      </c>
      <c r="J240" s="7"/>
      <c r="K240" s="7">
        <f>2138904+427576+122166</f>
        <v>2688646</v>
      </c>
      <c r="L240" s="7"/>
      <c r="M240" s="7">
        <v>9095313</v>
      </c>
      <c r="N240" s="7"/>
      <c r="O240" s="7">
        <f>1505490+145968</f>
        <v>1651458</v>
      </c>
      <c r="P240" s="7"/>
      <c r="Q240" s="7">
        <v>1324869</v>
      </c>
      <c r="R240" s="7"/>
      <c r="S240" s="7">
        <v>8518</v>
      </c>
      <c r="T240" s="7"/>
      <c r="U240" s="7">
        <v>59733</v>
      </c>
      <c r="V240" s="7"/>
      <c r="W240" s="7">
        <v>0</v>
      </c>
      <c r="X240" s="7"/>
      <c r="Y240" s="7">
        <v>0</v>
      </c>
      <c r="Z240" s="7"/>
      <c r="AA240" s="7">
        <f t="shared" si="29"/>
        <v>14828537</v>
      </c>
      <c r="AB240" s="7"/>
      <c r="AC240" s="7">
        <f t="shared" si="30"/>
        <v>20171918</v>
      </c>
    </row>
    <row r="241" spans="1:31" s="9" customFormat="1" ht="12.75" customHeight="1" x14ac:dyDescent="0.2">
      <c r="A241" s="10" t="s">
        <v>254</v>
      </c>
      <c r="B241" s="10"/>
      <c r="C241" s="10" t="s">
        <v>41</v>
      </c>
      <c r="D241" s="10"/>
      <c r="E241" s="7">
        <v>3988152</v>
      </c>
      <c r="F241" s="7"/>
      <c r="G241" s="7">
        <v>2046300</v>
      </c>
      <c r="H241" s="7"/>
      <c r="I241" s="7">
        <v>0</v>
      </c>
      <c r="J241" s="7"/>
      <c r="K241" s="7">
        <v>8935574</v>
      </c>
      <c r="L241" s="7"/>
      <c r="M241" s="7">
        <v>15662936</v>
      </c>
      <c r="N241" s="7"/>
      <c r="O241" s="7">
        <v>8234614</v>
      </c>
      <c r="P241" s="7"/>
      <c r="Q241" s="7">
        <v>4091385</v>
      </c>
      <c r="R241" s="7"/>
      <c r="S241" s="7">
        <v>703045</v>
      </c>
      <c r="T241" s="7"/>
      <c r="U241" s="7">
        <v>1116935</v>
      </c>
      <c r="V241" s="7"/>
      <c r="W241" s="7">
        <v>-1351699</v>
      </c>
      <c r="X241" s="7"/>
      <c r="Y241" s="7">
        <v>0</v>
      </c>
      <c r="Z241" s="7"/>
      <c r="AA241" s="7">
        <f t="shared" si="29"/>
        <v>37392790</v>
      </c>
      <c r="AB241" s="7"/>
      <c r="AC241" s="7">
        <f t="shared" si="30"/>
        <v>43427242</v>
      </c>
    </row>
    <row r="242" spans="1:31" ht="12.75" customHeight="1" x14ac:dyDescent="0.2">
      <c r="A242" s="10" t="s">
        <v>467</v>
      </c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11" t="s">
        <v>478</v>
      </c>
    </row>
    <row r="243" spans="1:31" ht="12.75" customHeight="1" x14ac:dyDescent="0.2">
      <c r="A243" s="10" t="s">
        <v>255</v>
      </c>
      <c r="C243" s="10" t="s">
        <v>256</v>
      </c>
      <c r="E243" s="9">
        <v>1283959</v>
      </c>
      <c r="F243" s="9"/>
      <c r="G243" s="9">
        <v>363315</v>
      </c>
      <c r="H243" s="9"/>
      <c r="I243" s="9">
        <v>0</v>
      </c>
      <c r="J243" s="9"/>
      <c r="K243" s="9">
        <v>314624</v>
      </c>
      <c r="L243" s="9"/>
      <c r="M243" s="9">
        <v>2807014</v>
      </c>
      <c r="N243" s="9"/>
      <c r="O243" s="9">
        <v>0</v>
      </c>
      <c r="P243" s="9"/>
      <c r="Q243" s="9">
        <v>533309</v>
      </c>
      <c r="R243" s="9"/>
      <c r="S243" s="9">
        <v>917</v>
      </c>
      <c r="T243" s="9"/>
      <c r="U243" s="9">
        <v>33727</v>
      </c>
      <c r="V243" s="9"/>
      <c r="W243" s="9">
        <v>653122</v>
      </c>
      <c r="X243" s="9"/>
      <c r="Y243" s="9">
        <v>0</v>
      </c>
      <c r="Z243" s="9"/>
      <c r="AA243" s="9">
        <f t="shared" ref="AA243:AA250" si="31">SUM(K243:Y243)</f>
        <v>4342713</v>
      </c>
      <c r="AB243" s="9"/>
      <c r="AC243" s="9">
        <f t="shared" ref="AC243:AC272" si="32">SUM(E243:Y243)</f>
        <v>5989987</v>
      </c>
    </row>
    <row r="244" spans="1:31" ht="12.75" customHeight="1" x14ac:dyDescent="0.2">
      <c r="A244" s="10" t="s">
        <v>257</v>
      </c>
      <c r="C244" s="10" t="s">
        <v>258</v>
      </c>
      <c r="E244" s="7">
        <v>2374231</v>
      </c>
      <c r="F244" s="7"/>
      <c r="G244" s="7">
        <v>1579309</v>
      </c>
      <c r="H244" s="7"/>
      <c r="I244" s="7">
        <v>1368362</v>
      </c>
      <c r="J244" s="7"/>
      <c r="K244" s="7">
        <v>578640</v>
      </c>
      <c r="L244" s="7"/>
      <c r="M244" s="7">
        <v>5811005</v>
      </c>
      <c r="N244" s="7"/>
      <c r="O244" s="7">
        <v>0</v>
      </c>
      <c r="P244" s="7"/>
      <c r="Q244" s="7">
        <v>574513</v>
      </c>
      <c r="R244" s="7"/>
      <c r="S244" s="7">
        <v>32844</v>
      </c>
      <c r="T244" s="7"/>
      <c r="U244" s="7">
        <v>202021</v>
      </c>
      <c r="V244" s="7"/>
      <c r="W244" s="7">
        <v>0</v>
      </c>
      <c r="X244" s="7"/>
      <c r="Y244" s="7">
        <v>0</v>
      </c>
      <c r="Z244" s="7"/>
      <c r="AA244" s="7">
        <f t="shared" si="31"/>
        <v>7199023</v>
      </c>
      <c r="AB244" s="7"/>
      <c r="AC244" s="7">
        <f t="shared" si="32"/>
        <v>12520925</v>
      </c>
    </row>
    <row r="245" spans="1:31" ht="12.75" customHeight="1" x14ac:dyDescent="0.2">
      <c r="A245" s="10" t="s">
        <v>259</v>
      </c>
      <c r="C245" s="10" t="s">
        <v>64</v>
      </c>
      <c r="E245" s="7">
        <v>5073283</v>
      </c>
      <c r="F245" s="7"/>
      <c r="G245" s="7">
        <v>1106688</v>
      </c>
      <c r="H245" s="7"/>
      <c r="I245" s="7">
        <v>2004768</v>
      </c>
      <c r="J245" s="7"/>
      <c r="K245" s="7">
        <v>1505738</v>
      </c>
      <c r="L245" s="7"/>
      <c r="M245" s="7">
        <v>13025898</v>
      </c>
      <c r="N245" s="7"/>
      <c r="O245" s="7">
        <v>43957</v>
      </c>
      <c r="P245" s="7"/>
      <c r="Q245" s="7">
        <v>1556563</v>
      </c>
      <c r="R245" s="7"/>
      <c r="S245" s="7">
        <v>208984</v>
      </c>
      <c r="T245" s="7"/>
      <c r="U245" s="7">
        <f>124555+82334</f>
        <v>206889</v>
      </c>
      <c r="V245" s="7"/>
      <c r="W245" s="7">
        <v>-22048</v>
      </c>
      <c r="X245" s="7"/>
      <c r="Y245" s="7">
        <v>0</v>
      </c>
      <c r="Z245" s="7"/>
      <c r="AA245" s="7">
        <f t="shared" si="31"/>
        <v>16525981</v>
      </c>
      <c r="AB245" s="7"/>
      <c r="AC245" s="7">
        <f t="shared" si="32"/>
        <v>24710720</v>
      </c>
    </row>
    <row r="246" spans="1:31" ht="12.75" customHeight="1" x14ac:dyDescent="0.2">
      <c r="A246" s="10" t="s">
        <v>260</v>
      </c>
      <c r="C246" s="10" t="s">
        <v>130</v>
      </c>
      <c r="E246" s="7">
        <v>2272847</v>
      </c>
      <c r="F246" s="7"/>
      <c r="G246" s="7">
        <v>1041965</v>
      </c>
      <c r="H246" s="7"/>
      <c r="I246" s="7">
        <v>363490</v>
      </c>
      <c r="J246" s="7"/>
      <c r="K246" s="7">
        <f>1919003+325298+75185+375269</f>
        <v>2694755</v>
      </c>
      <c r="L246" s="7"/>
      <c r="M246" s="7">
        <v>1376608</v>
      </c>
      <c r="N246" s="7"/>
      <c r="O246" s="7">
        <v>0</v>
      </c>
      <c r="P246" s="7"/>
      <c r="Q246" s="7">
        <v>1025220</v>
      </c>
      <c r="R246" s="7"/>
      <c r="S246" s="7">
        <v>84540</v>
      </c>
      <c r="T246" s="7"/>
      <c r="U246" s="7">
        <f>4650+441641</f>
        <v>446291</v>
      </c>
      <c r="V246" s="7"/>
      <c r="W246" s="7">
        <v>0</v>
      </c>
      <c r="X246" s="7"/>
      <c r="Y246" s="7">
        <v>0</v>
      </c>
      <c r="Z246" s="7"/>
      <c r="AA246" s="7">
        <f t="shared" si="31"/>
        <v>5627414</v>
      </c>
      <c r="AB246" s="7"/>
      <c r="AC246" s="7">
        <f t="shared" si="32"/>
        <v>9305716</v>
      </c>
    </row>
    <row r="247" spans="1:31" ht="12.75" customHeight="1" x14ac:dyDescent="0.2">
      <c r="A247" s="7" t="s">
        <v>497</v>
      </c>
      <c r="C247" s="7" t="s">
        <v>43</v>
      </c>
      <c r="E247" s="7">
        <v>404869</v>
      </c>
      <c r="F247" s="7"/>
      <c r="G247" s="7">
        <v>324857</v>
      </c>
      <c r="H247" s="7"/>
      <c r="I247" s="7">
        <v>367630</v>
      </c>
      <c r="J247" s="7"/>
      <c r="K247" s="7">
        <v>701937</v>
      </c>
      <c r="L247" s="7"/>
      <c r="M247" s="7">
        <v>9527352</v>
      </c>
      <c r="N247" s="7"/>
      <c r="O247" s="7">
        <v>0</v>
      </c>
      <c r="P247" s="7"/>
      <c r="Q247" s="7">
        <v>2064970</v>
      </c>
      <c r="R247" s="7"/>
      <c r="S247" s="7">
        <v>440939</v>
      </c>
      <c r="T247" s="7"/>
      <c r="U247" s="7">
        <v>197314</v>
      </c>
      <c r="V247" s="7"/>
      <c r="W247" s="7">
        <v>0</v>
      </c>
      <c r="X247" s="7"/>
      <c r="Y247" s="7">
        <v>0</v>
      </c>
      <c r="Z247" s="7"/>
      <c r="AA247" s="7">
        <f t="shared" si="31"/>
        <v>12932512</v>
      </c>
      <c r="AB247" s="7"/>
      <c r="AC247" s="7">
        <f t="shared" si="32"/>
        <v>14029868</v>
      </c>
    </row>
    <row r="248" spans="1:31" ht="12.75" customHeight="1" x14ac:dyDescent="0.2">
      <c r="A248" s="10" t="s">
        <v>261</v>
      </c>
      <c r="C248" s="10" t="s">
        <v>51</v>
      </c>
      <c r="E248" s="7">
        <v>2576361</v>
      </c>
      <c r="F248" s="7"/>
      <c r="G248" s="7">
        <v>680199</v>
      </c>
      <c r="H248" s="7"/>
      <c r="I248" s="7">
        <v>172933</v>
      </c>
      <c r="J248" s="7"/>
      <c r="K248" s="7">
        <f>975659+1089450+952861</f>
        <v>3017970</v>
      </c>
      <c r="L248" s="7"/>
      <c r="M248" s="7">
        <v>7679436</v>
      </c>
      <c r="N248" s="7"/>
      <c r="O248" s="7">
        <v>115400</v>
      </c>
      <c r="P248" s="7"/>
      <c r="Q248" s="7">
        <v>3194245</v>
      </c>
      <c r="R248" s="7"/>
      <c r="S248" s="7">
        <v>145550</v>
      </c>
      <c r="T248" s="7"/>
      <c r="U248" s="7">
        <v>7651</v>
      </c>
      <c r="V248" s="7"/>
      <c r="W248" s="7">
        <v>0</v>
      </c>
      <c r="X248" s="7"/>
      <c r="Y248" s="7">
        <v>0</v>
      </c>
      <c r="Z248" s="7"/>
      <c r="AA248" s="7">
        <f t="shared" si="31"/>
        <v>14160252</v>
      </c>
      <c r="AB248" s="7"/>
      <c r="AC248" s="7">
        <f t="shared" si="32"/>
        <v>17589745</v>
      </c>
      <c r="AE248" s="7"/>
    </row>
    <row r="249" spans="1:31" ht="12" customHeight="1" x14ac:dyDescent="0.2">
      <c r="A249" s="10" t="s">
        <v>262</v>
      </c>
      <c r="C249" s="10" t="s">
        <v>237</v>
      </c>
      <c r="E249" s="7">
        <v>920992</v>
      </c>
      <c r="F249" s="7"/>
      <c r="G249" s="7">
        <v>524997</v>
      </c>
      <c r="H249" s="7"/>
      <c r="I249" s="7">
        <v>837654</v>
      </c>
      <c r="J249" s="7"/>
      <c r="K249" s="7">
        <f>373447+88625</f>
        <v>462072</v>
      </c>
      <c r="L249" s="7"/>
      <c r="M249" s="7">
        <v>2280139</v>
      </c>
      <c r="N249" s="7"/>
      <c r="O249" s="7">
        <f>651985+86280</f>
        <v>738265</v>
      </c>
      <c r="P249" s="7"/>
      <c r="Q249" s="7">
        <v>454557</v>
      </c>
      <c r="R249" s="7"/>
      <c r="S249" s="7">
        <v>32570</v>
      </c>
      <c r="T249" s="7"/>
      <c r="U249" s="7">
        <f>1772+87243</f>
        <v>89015</v>
      </c>
      <c r="V249" s="7"/>
      <c r="W249" s="7">
        <v>-397737</v>
      </c>
      <c r="X249" s="7"/>
      <c r="Y249" s="7">
        <v>0</v>
      </c>
      <c r="Z249" s="7"/>
      <c r="AA249" s="7">
        <f t="shared" si="31"/>
        <v>3658881</v>
      </c>
      <c r="AB249" s="7"/>
      <c r="AC249" s="7">
        <f t="shared" si="32"/>
        <v>5942524</v>
      </c>
    </row>
    <row r="250" spans="1:31" ht="12.75" customHeight="1" x14ac:dyDescent="0.2">
      <c r="A250" s="10" t="s">
        <v>109</v>
      </c>
      <c r="C250" s="10" t="s">
        <v>78</v>
      </c>
      <c r="E250" s="7">
        <v>4621972</v>
      </c>
      <c r="F250" s="7"/>
      <c r="G250" s="7">
        <v>5023120</v>
      </c>
      <c r="H250" s="7"/>
      <c r="I250" s="7">
        <v>1292008</v>
      </c>
      <c r="J250" s="7"/>
      <c r="K250" s="7">
        <f>995193+94034+94034</f>
        <v>1183261</v>
      </c>
      <c r="L250" s="7"/>
      <c r="M250" s="7">
        <v>16968167</v>
      </c>
      <c r="N250" s="7"/>
      <c r="O250" s="7">
        <v>0</v>
      </c>
      <c r="P250" s="7"/>
      <c r="Q250" s="7">
        <v>4115473</v>
      </c>
      <c r="R250" s="7"/>
      <c r="S250" s="7">
        <v>67451</v>
      </c>
      <c r="T250" s="7"/>
      <c r="U250" s="7">
        <v>673628</v>
      </c>
      <c r="V250" s="7"/>
      <c r="W250" s="7">
        <v>-327269</v>
      </c>
      <c r="X250" s="7"/>
      <c r="Y250" s="7">
        <v>0</v>
      </c>
      <c r="Z250" s="7"/>
      <c r="AA250" s="7">
        <f t="shared" si="31"/>
        <v>22680711</v>
      </c>
      <c r="AB250" s="7"/>
      <c r="AC250" s="7">
        <f t="shared" si="32"/>
        <v>33617811</v>
      </c>
    </row>
    <row r="251" spans="1:31" ht="12.75" hidden="1" customHeight="1" x14ac:dyDescent="0.2">
      <c r="A251" s="10" t="s">
        <v>263</v>
      </c>
      <c r="C251" s="10" t="s">
        <v>25</v>
      </c>
      <c r="E251" s="7">
        <v>116521</v>
      </c>
      <c r="F251" s="7"/>
      <c r="G251" s="7">
        <v>858610</v>
      </c>
      <c r="H251" s="7"/>
      <c r="I251" s="7">
        <v>0</v>
      </c>
      <c r="J251" s="7"/>
      <c r="K251" s="7">
        <f>195501+611868+554613</f>
        <v>1361982</v>
      </c>
      <c r="L251" s="7"/>
      <c r="M251" s="7">
        <v>13725936</v>
      </c>
      <c r="N251" s="7"/>
      <c r="O251" s="7">
        <v>0</v>
      </c>
      <c r="P251" s="7"/>
      <c r="Q251" s="7">
        <v>1101315</v>
      </c>
      <c r="R251" s="7"/>
      <c r="S251" s="7">
        <v>8477</v>
      </c>
      <c r="T251" s="7"/>
      <c r="U251" s="7">
        <v>303785</v>
      </c>
      <c r="V251" s="7"/>
      <c r="W251" s="7">
        <v>0</v>
      </c>
      <c r="X251" s="7"/>
      <c r="Y251" s="7">
        <v>0</v>
      </c>
      <c r="Z251" s="7"/>
      <c r="AA251" s="7">
        <f t="shared" ref="AA251:AA272" si="33">SUM(K251:Y251)</f>
        <v>16501495</v>
      </c>
      <c r="AB251" s="7"/>
      <c r="AC251" s="7">
        <f t="shared" si="32"/>
        <v>17476626</v>
      </c>
    </row>
    <row r="252" spans="1:31" ht="12.75" customHeight="1" x14ac:dyDescent="0.2">
      <c r="A252" s="10" t="s">
        <v>498</v>
      </c>
      <c r="C252" s="10" t="s">
        <v>448</v>
      </c>
      <c r="E252" s="7">
        <v>1640693</v>
      </c>
      <c r="F252" s="7"/>
      <c r="G252" s="7">
        <v>786479</v>
      </c>
      <c r="H252" s="7"/>
      <c r="I252" s="7">
        <v>727191</v>
      </c>
      <c r="J252" s="7"/>
      <c r="K252" s="7">
        <v>1332598</v>
      </c>
      <c r="L252" s="7"/>
      <c r="M252" s="7">
        <v>5210599</v>
      </c>
      <c r="N252" s="7"/>
      <c r="O252" s="7">
        <v>838109</v>
      </c>
      <c r="P252" s="7"/>
      <c r="Q252" s="7">
        <f>1718436+1279</f>
        <v>1719715</v>
      </c>
      <c r="R252" s="7"/>
      <c r="S252" s="7">
        <v>25228</v>
      </c>
      <c r="T252" s="7"/>
      <c r="U252" s="7">
        <v>227519</v>
      </c>
      <c r="V252" s="7"/>
      <c r="W252" s="7">
        <v>-35139</v>
      </c>
      <c r="X252" s="7"/>
      <c r="Y252" s="7">
        <v>0</v>
      </c>
      <c r="Z252" s="7"/>
      <c r="AA252" s="7">
        <f t="shared" si="33"/>
        <v>9318629</v>
      </c>
      <c r="AB252" s="7"/>
      <c r="AC252" s="7">
        <f t="shared" si="32"/>
        <v>12472992</v>
      </c>
    </row>
    <row r="253" spans="1:31" ht="12.75" customHeight="1" x14ac:dyDescent="0.2">
      <c r="A253" s="7" t="s">
        <v>499</v>
      </c>
      <c r="C253" s="7" t="s">
        <v>161</v>
      </c>
      <c r="E253" s="7">
        <v>416875</v>
      </c>
      <c r="F253" s="7"/>
      <c r="G253" s="7">
        <v>285486</v>
      </c>
      <c r="H253" s="7"/>
      <c r="I253" s="7">
        <v>296118</v>
      </c>
      <c r="J253" s="7"/>
      <c r="K253" s="7">
        <f>356196+33392</f>
        <v>389588</v>
      </c>
      <c r="L253" s="7"/>
      <c r="M253" s="7">
        <v>2810432</v>
      </c>
      <c r="N253" s="7"/>
      <c r="O253" s="7">
        <f>65912+83397</f>
        <v>149309</v>
      </c>
      <c r="P253" s="7"/>
      <c r="Q253" s="7">
        <v>417286</v>
      </c>
      <c r="R253" s="7"/>
      <c r="S253" s="7">
        <v>31162</v>
      </c>
      <c r="T253" s="7"/>
      <c r="U253" s="7">
        <v>642060</v>
      </c>
      <c r="V253" s="7"/>
      <c r="W253" s="7">
        <v>0</v>
      </c>
      <c r="X253" s="7"/>
      <c r="Y253" s="7">
        <v>0</v>
      </c>
      <c r="Z253" s="7"/>
      <c r="AA253" s="7">
        <f t="shared" ref="AA253" si="34">SUM(K253:Y253)</f>
        <v>4439837</v>
      </c>
      <c r="AB253" s="7"/>
      <c r="AC253" s="7">
        <f t="shared" si="32"/>
        <v>5438316</v>
      </c>
    </row>
    <row r="254" spans="1:31" ht="12.75" customHeight="1" x14ac:dyDescent="0.2">
      <c r="A254" s="10" t="s">
        <v>264</v>
      </c>
      <c r="C254" s="10" t="s">
        <v>265</v>
      </c>
      <c r="E254" s="7">
        <v>584026</v>
      </c>
      <c r="F254" s="7"/>
      <c r="G254" s="7">
        <v>537277</v>
      </c>
      <c r="H254" s="7"/>
      <c r="I254" s="7">
        <v>277204</v>
      </c>
      <c r="J254" s="7"/>
      <c r="K254" s="7">
        <v>224047</v>
      </c>
      <c r="L254" s="7"/>
      <c r="M254" s="7">
        <v>3420832</v>
      </c>
      <c r="N254" s="7"/>
      <c r="O254" s="7">
        <v>0</v>
      </c>
      <c r="P254" s="7"/>
      <c r="Q254" s="7">
        <v>285354</v>
      </c>
      <c r="R254" s="7"/>
      <c r="S254" s="7">
        <v>28883</v>
      </c>
      <c r="T254" s="7"/>
      <c r="U254" s="7">
        <v>147639</v>
      </c>
      <c r="V254" s="7"/>
      <c r="W254" s="7">
        <v>0</v>
      </c>
      <c r="X254" s="7"/>
      <c r="Y254" s="7">
        <v>0</v>
      </c>
      <c r="Z254" s="7"/>
      <c r="AA254" s="7">
        <f t="shared" si="33"/>
        <v>4106755</v>
      </c>
      <c r="AB254" s="7"/>
      <c r="AC254" s="7">
        <f t="shared" si="32"/>
        <v>5505262</v>
      </c>
    </row>
    <row r="255" spans="1:31" ht="12.75" hidden="1" customHeight="1" x14ac:dyDescent="0.2">
      <c r="A255" s="10" t="s">
        <v>266</v>
      </c>
      <c r="C255" s="10" t="s">
        <v>267</v>
      </c>
      <c r="E255" s="7">
        <v>146263</v>
      </c>
      <c r="F255" s="7"/>
      <c r="G255" s="7">
        <v>217510</v>
      </c>
      <c r="H255" s="7"/>
      <c r="I255" s="7">
        <v>0</v>
      </c>
      <c r="J255" s="7"/>
      <c r="K255" s="7">
        <f>41170+515287+1284477</f>
        <v>1840934</v>
      </c>
      <c r="L255" s="7"/>
      <c r="M255" s="7">
        <v>0</v>
      </c>
      <c r="N255" s="7"/>
      <c r="O255" s="7">
        <v>0</v>
      </c>
      <c r="P255" s="7"/>
      <c r="Q255" s="7">
        <v>599439</v>
      </c>
      <c r="R255" s="7"/>
      <c r="S255" s="7">
        <v>1336</v>
      </c>
      <c r="T255" s="7"/>
      <c r="U255" s="7">
        <v>112813</v>
      </c>
      <c r="V255" s="7"/>
      <c r="W255" s="7">
        <v>-70000</v>
      </c>
      <c r="X255" s="7"/>
      <c r="Y255" s="7">
        <v>0</v>
      </c>
      <c r="Z255" s="7"/>
      <c r="AA255" s="7">
        <f t="shared" si="33"/>
        <v>2484522</v>
      </c>
      <c r="AB255" s="7"/>
      <c r="AC255" s="7">
        <f t="shared" si="32"/>
        <v>2848295</v>
      </c>
    </row>
    <row r="256" spans="1:31" ht="12.75" customHeight="1" x14ac:dyDescent="0.2">
      <c r="A256" s="10" t="s">
        <v>268</v>
      </c>
      <c r="C256" s="10" t="s">
        <v>134</v>
      </c>
      <c r="E256" s="7">
        <v>180338</v>
      </c>
      <c r="F256" s="7"/>
      <c r="G256" s="7">
        <v>1184540</v>
      </c>
      <c r="H256" s="7"/>
      <c r="I256" s="7">
        <v>0</v>
      </c>
      <c r="J256" s="7"/>
      <c r="K256" s="7">
        <f>163766+237987</f>
        <v>401753</v>
      </c>
      <c r="L256" s="7"/>
      <c r="M256" s="7">
        <v>1093600</v>
      </c>
      <c r="N256" s="7"/>
      <c r="O256" s="7">
        <v>0</v>
      </c>
      <c r="P256" s="7"/>
      <c r="Q256" s="7">
        <v>446465</v>
      </c>
      <c r="R256" s="7"/>
      <c r="S256" s="7">
        <v>65474</v>
      </c>
      <c r="T256" s="7"/>
      <c r="U256" s="7">
        <v>70937</v>
      </c>
      <c r="V256" s="7"/>
      <c r="W256" s="7">
        <v>-10162</v>
      </c>
      <c r="X256" s="7"/>
      <c r="Y256" s="7">
        <v>0</v>
      </c>
      <c r="Z256" s="7"/>
      <c r="AA256" s="7">
        <f t="shared" si="33"/>
        <v>2068067</v>
      </c>
      <c r="AB256" s="7"/>
      <c r="AC256" s="7">
        <f t="shared" si="32"/>
        <v>3432945</v>
      </c>
    </row>
    <row r="257" spans="1:29" ht="12.75" customHeight="1" x14ac:dyDescent="0.2">
      <c r="A257" s="10" t="s">
        <v>269</v>
      </c>
      <c r="C257" s="10" t="s">
        <v>64</v>
      </c>
      <c r="E257" s="7">
        <v>1491349</v>
      </c>
      <c r="F257" s="7"/>
      <c r="G257" s="7">
        <v>16241</v>
      </c>
      <c r="H257" s="7"/>
      <c r="I257" s="7">
        <v>264894</v>
      </c>
      <c r="J257" s="7"/>
      <c r="K257" s="7">
        <f>582289+362503</f>
        <v>944792</v>
      </c>
      <c r="L257" s="7"/>
      <c r="M257" s="7">
        <v>5192306</v>
      </c>
      <c r="N257" s="7"/>
      <c r="O257" s="7">
        <v>0</v>
      </c>
      <c r="P257" s="7"/>
      <c r="Q257" s="7">
        <v>236555</v>
      </c>
      <c r="R257" s="7"/>
      <c r="S257" s="7">
        <v>13936</v>
      </c>
      <c r="T257" s="7"/>
      <c r="U257" s="7">
        <v>283701</v>
      </c>
      <c r="V257" s="7"/>
      <c r="W257" s="7">
        <v>-10000</v>
      </c>
      <c r="X257" s="7"/>
      <c r="Y257" s="7">
        <v>0</v>
      </c>
      <c r="Z257" s="7"/>
      <c r="AA257" s="7">
        <f t="shared" si="33"/>
        <v>6661290</v>
      </c>
      <c r="AB257" s="7"/>
      <c r="AC257" s="7">
        <f t="shared" si="32"/>
        <v>8433774</v>
      </c>
    </row>
    <row r="258" spans="1:29" ht="12.75" customHeight="1" x14ac:dyDescent="0.2">
      <c r="A258" s="10" t="s">
        <v>270</v>
      </c>
      <c r="C258" s="10" t="s">
        <v>41</v>
      </c>
      <c r="E258" s="7">
        <v>6930994</v>
      </c>
      <c r="F258" s="7"/>
      <c r="G258" s="7">
        <v>5717723</v>
      </c>
      <c r="H258" s="7"/>
      <c r="I258" s="7">
        <v>226731</v>
      </c>
      <c r="J258" s="7"/>
      <c r="K258" s="7">
        <f>2811689+9055017+173560</f>
        <v>12040266</v>
      </c>
      <c r="L258" s="7"/>
      <c r="M258" s="7">
        <f>26650131+4647980+7159055</f>
        <v>38457166</v>
      </c>
      <c r="N258" s="7"/>
      <c r="O258" s="7">
        <f>599571+2245321</f>
        <v>2844892</v>
      </c>
      <c r="P258" s="7"/>
      <c r="Q258" s="7">
        <v>4526451</v>
      </c>
      <c r="R258" s="7"/>
      <c r="S258" s="7">
        <v>897767</v>
      </c>
      <c r="T258" s="7"/>
      <c r="U258" s="7">
        <v>433246</v>
      </c>
      <c r="V258" s="7"/>
      <c r="W258" s="7">
        <v>0</v>
      </c>
      <c r="X258" s="7"/>
      <c r="Y258" s="7">
        <v>0</v>
      </c>
      <c r="Z258" s="7"/>
      <c r="AA258" s="7">
        <f t="shared" si="33"/>
        <v>59199788</v>
      </c>
      <c r="AB258" s="7"/>
      <c r="AC258" s="7">
        <f t="shared" si="32"/>
        <v>72075236</v>
      </c>
    </row>
    <row r="259" spans="1:29" ht="12.75" customHeight="1" x14ac:dyDescent="0.2">
      <c r="A259" s="10" t="s">
        <v>271</v>
      </c>
      <c r="C259" s="10" t="s">
        <v>25</v>
      </c>
      <c r="E259" s="7">
        <v>5159806</v>
      </c>
      <c r="F259" s="7"/>
      <c r="G259" s="7">
        <v>2104715</v>
      </c>
      <c r="H259" s="7"/>
      <c r="I259" s="7">
        <v>884678</v>
      </c>
      <c r="J259" s="7"/>
      <c r="K259" s="7">
        <f>9529928+358059+358059+1074177+112330</f>
        <v>11432553</v>
      </c>
      <c r="L259" s="7"/>
      <c r="M259" s="7">
        <f>14861413+255530+1924449+5401802</f>
        <v>22443194</v>
      </c>
      <c r="N259" s="7"/>
      <c r="O259" s="7">
        <f>184553+483446+573198</f>
        <v>1241197</v>
      </c>
      <c r="P259" s="7"/>
      <c r="Q259" s="7">
        <v>3248049</v>
      </c>
      <c r="R259" s="7"/>
      <c r="S259" s="7">
        <v>428975</v>
      </c>
      <c r="T259" s="7"/>
      <c r="U259" s="7">
        <f>50214+360487</f>
        <v>410701</v>
      </c>
      <c r="V259" s="7"/>
      <c r="W259" s="7">
        <v>-18624</v>
      </c>
      <c r="X259" s="7"/>
      <c r="Y259" s="7">
        <v>0</v>
      </c>
      <c r="Z259" s="7"/>
      <c r="AA259" s="7">
        <f t="shared" si="33"/>
        <v>39186045</v>
      </c>
      <c r="AB259" s="7"/>
      <c r="AC259" s="7">
        <f t="shared" si="32"/>
        <v>47335244</v>
      </c>
    </row>
    <row r="260" spans="1:29" ht="12.75" customHeight="1" x14ac:dyDescent="0.2">
      <c r="A260" s="10" t="s">
        <v>272</v>
      </c>
      <c r="C260" s="10" t="s">
        <v>41</v>
      </c>
      <c r="E260" s="7">
        <v>1820566</v>
      </c>
      <c r="F260" s="7"/>
      <c r="G260" s="7">
        <v>840603</v>
      </c>
      <c r="H260" s="7"/>
      <c r="I260" s="7">
        <v>873919</v>
      </c>
      <c r="J260" s="7"/>
      <c r="K260" s="7">
        <v>348432</v>
      </c>
      <c r="L260" s="7"/>
      <c r="M260" s="7">
        <v>21951825</v>
      </c>
      <c r="N260" s="7"/>
      <c r="O260" s="7">
        <f>99521+525600</f>
        <v>625121</v>
      </c>
      <c r="P260" s="7"/>
      <c r="Q260" s="7">
        <v>1212711</v>
      </c>
      <c r="R260" s="7"/>
      <c r="S260" s="7">
        <v>38504</v>
      </c>
      <c r="T260" s="7"/>
      <c r="U260" s="7">
        <v>670827</v>
      </c>
      <c r="V260" s="7"/>
      <c r="W260" s="7">
        <v>0</v>
      </c>
      <c r="X260" s="7"/>
      <c r="Y260" s="7">
        <v>0</v>
      </c>
      <c r="Z260" s="7"/>
      <c r="AA260" s="7">
        <f t="shared" si="33"/>
        <v>24847420</v>
      </c>
      <c r="AB260" s="7"/>
      <c r="AC260" s="7">
        <f t="shared" si="32"/>
        <v>28382508</v>
      </c>
    </row>
    <row r="261" spans="1:29" ht="12.75" customHeight="1" x14ac:dyDescent="0.2">
      <c r="A261" s="10" t="s">
        <v>273</v>
      </c>
      <c r="C261" s="10" t="s">
        <v>90</v>
      </c>
      <c r="E261" s="7">
        <v>1682163</v>
      </c>
      <c r="F261" s="7"/>
      <c r="G261" s="7">
        <v>797263</v>
      </c>
      <c r="H261" s="7"/>
      <c r="I261" s="7">
        <v>897668</v>
      </c>
      <c r="J261" s="7"/>
      <c r="K261" s="7">
        <v>2367434</v>
      </c>
      <c r="L261" s="7"/>
      <c r="M261" s="7">
        <v>9628056</v>
      </c>
      <c r="N261" s="7"/>
      <c r="O261" s="7">
        <v>228893</v>
      </c>
      <c r="P261" s="7"/>
      <c r="Q261" s="7">
        <v>2029251</v>
      </c>
      <c r="R261" s="7"/>
      <c r="S261" s="7">
        <v>12584</v>
      </c>
      <c r="T261" s="7"/>
      <c r="U261" s="7">
        <v>298403</v>
      </c>
      <c r="V261" s="7"/>
      <c r="W261" s="7">
        <v>0</v>
      </c>
      <c r="X261" s="7"/>
      <c r="Y261" s="7">
        <v>0</v>
      </c>
      <c r="Z261" s="7"/>
      <c r="AA261" s="7">
        <f t="shared" si="33"/>
        <v>14564621</v>
      </c>
      <c r="AB261" s="7"/>
      <c r="AC261" s="7">
        <f t="shared" si="32"/>
        <v>17941715</v>
      </c>
    </row>
    <row r="262" spans="1:29" ht="12.75" customHeight="1" x14ac:dyDescent="0.2">
      <c r="A262" s="10" t="s">
        <v>274</v>
      </c>
      <c r="C262" s="10" t="s">
        <v>36</v>
      </c>
      <c r="E262" s="7">
        <v>873188</v>
      </c>
      <c r="F262" s="7"/>
      <c r="G262" s="7">
        <v>316301</v>
      </c>
      <c r="H262" s="7"/>
      <c r="I262" s="7">
        <v>101007</v>
      </c>
      <c r="J262" s="7"/>
      <c r="K262" s="7">
        <f>242927+43422+23834</f>
        <v>310183</v>
      </c>
      <c r="L262" s="7"/>
      <c r="M262" s="7">
        <f>1975892+212620+559647</f>
        <v>2748159</v>
      </c>
      <c r="N262" s="7"/>
      <c r="O262" s="7">
        <v>72719</v>
      </c>
      <c r="P262" s="7"/>
      <c r="Q262" s="7">
        <v>263865</v>
      </c>
      <c r="R262" s="7"/>
      <c r="S262" s="7">
        <v>94319</v>
      </c>
      <c r="T262" s="7"/>
      <c r="U262" s="7">
        <v>10801</v>
      </c>
      <c r="V262" s="7"/>
      <c r="W262" s="7">
        <v>-11600</v>
      </c>
      <c r="X262" s="7"/>
      <c r="Y262" s="7">
        <v>0</v>
      </c>
      <c r="Z262" s="7"/>
      <c r="AA262" s="7">
        <f t="shared" si="33"/>
        <v>3488446</v>
      </c>
      <c r="AB262" s="7"/>
      <c r="AC262" s="7">
        <f t="shared" si="32"/>
        <v>4778942</v>
      </c>
    </row>
    <row r="263" spans="1:29" ht="12.75" customHeight="1" x14ac:dyDescent="0.2">
      <c r="A263" s="10" t="s">
        <v>275</v>
      </c>
      <c r="C263" s="10" t="s">
        <v>90</v>
      </c>
      <c r="E263" s="7">
        <v>4995097</v>
      </c>
      <c r="F263" s="7"/>
      <c r="G263" s="7">
        <v>64819</v>
      </c>
      <c r="H263" s="7"/>
      <c r="I263" s="7">
        <v>442498</v>
      </c>
      <c r="J263" s="7"/>
      <c r="K263" s="7">
        <f>1132450+1452559+895729</f>
        <v>3480738</v>
      </c>
      <c r="L263" s="7"/>
      <c r="M263" s="7">
        <v>16859759</v>
      </c>
      <c r="N263" s="7"/>
      <c r="O263" s="7">
        <f>167245+248747+194715+249672</f>
        <v>860379</v>
      </c>
      <c r="P263" s="7"/>
      <c r="Q263" s="7">
        <v>3427327</v>
      </c>
      <c r="R263" s="7"/>
      <c r="S263" s="7">
        <v>124318</v>
      </c>
      <c r="T263" s="7"/>
      <c r="U263" s="7">
        <v>15938</v>
      </c>
      <c r="V263" s="7"/>
      <c r="W263" s="7">
        <v>-1714687</v>
      </c>
      <c r="X263" s="7"/>
      <c r="Y263" s="7">
        <v>0</v>
      </c>
      <c r="Z263" s="7"/>
      <c r="AA263" s="7">
        <f t="shared" si="33"/>
        <v>23053772</v>
      </c>
      <c r="AB263" s="7"/>
      <c r="AC263" s="7">
        <f t="shared" si="32"/>
        <v>28556186</v>
      </c>
    </row>
    <row r="264" spans="1:29" ht="12.75" customHeight="1" x14ac:dyDescent="0.2">
      <c r="A264" s="10" t="s">
        <v>276</v>
      </c>
      <c r="C264" s="10" t="s">
        <v>90</v>
      </c>
      <c r="E264" s="7">
        <v>3280576</v>
      </c>
      <c r="F264" s="7"/>
      <c r="G264" s="7">
        <v>877796</v>
      </c>
      <c r="H264" s="7"/>
      <c r="I264" s="7">
        <v>508310</v>
      </c>
      <c r="J264" s="7"/>
      <c r="K264" s="7">
        <f>560227+118075+75467+452202+640098</f>
        <v>1846069</v>
      </c>
      <c r="L264" s="7"/>
      <c r="M264" s="7">
        <f>3849343+1066403</f>
        <v>4915746</v>
      </c>
      <c r="N264" s="7"/>
      <c r="O264" s="7">
        <f>54019+102039+115286</f>
        <v>271344</v>
      </c>
      <c r="P264" s="7"/>
      <c r="Q264" s="7">
        <v>478566</v>
      </c>
      <c r="R264" s="7"/>
      <c r="S264" s="7">
        <v>359546</v>
      </c>
      <c r="T264" s="7"/>
      <c r="U264" s="7">
        <f>11510+123746</f>
        <v>135256</v>
      </c>
      <c r="V264" s="7"/>
      <c r="W264" s="7">
        <v>-3453669</v>
      </c>
      <c r="X264" s="7"/>
      <c r="Y264" s="7">
        <v>0</v>
      </c>
      <c r="Z264" s="7"/>
      <c r="AA264" s="7">
        <f t="shared" si="33"/>
        <v>4552858</v>
      </c>
      <c r="AB264" s="7"/>
      <c r="AC264" s="7">
        <f t="shared" si="32"/>
        <v>9219540</v>
      </c>
    </row>
    <row r="265" spans="1:29" ht="12.75" customHeight="1" x14ac:dyDescent="0.2">
      <c r="A265" s="10" t="s">
        <v>277</v>
      </c>
      <c r="C265" s="10" t="s">
        <v>90</v>
      </c>
      <c r="E265" s="7">
        <v>1129336</v>
      </c>
      <c r="F265" s="7"/>
      <c r="G265" s="7">
        <v>268685</v>
      </c>
      <c r="H265" s="7"/>
      <c r="I265" s="7">
        <v>125815</v>
      </c>
      <c r="J265" s="7"/>
      <c r="K265" s="7">
        <v>4268762</v>
      </c>
      <c r="L265" s="7"/>
      <c r="M265" s="7">
        <v>2432055</v>
      </c>
      <c r="N265" s="7"/>
      <c r="O265" s="7">
        <v>0</v>
      </c>
      <c r="P265" s="7"/>
      <c r="Q265" s="7">
        <v>2451658</v>
      </c>
      <c r="R265" s="7"/>
      <c r="S265" s="7">
        <v>3798</v>
      </c>
      <c r="T265" s="7"/>
      <c r="U265" s="7">
        <f>48203+2781</f>
        <v>50984</v>
      </c>
      <c r="V265" s="7"/>
      <c r="W265" s="7">
        <v>-12115</v>
      </c>
      <c r="X265" s="7"/>
      <c r="Y265" s="7">
        <v>0</v>
      </c>
      <c r="Z265" s="7"/>
      <c r="AA265" s="7">
        <f t="shared" si="33"/>
        <v>9195142</v>
      </c>
      <c r="AB265" s="7"/>
      <c r="AC265" s="7">
        <f t="shared" si="32"/>
        <v>10718978</v>
      </c>
    </row>
    <row r="266" spans="1:29" ht="12.75" customHeight="1" x14ac:dyDescent="0.2">
      <c r="A266" s="10" t="s">
        <v>278</v>
      </c>
      <c r="C266" s="10" t="s">
        <v>279</v>
      </c>
      <c r="E266" s="7">
        <v>2958862</v>
      </c>
      <c r="F266" s="7"/>
      <c r="G266" s="7">
        <v>1666646</v>
      </c>
      <c r="H266" s="7"/>
      <c r="I266" s="7">
        <v>0</v>
      </c>
      <c r="J266" s="7"/>
      <c r="K266" s="7">
        <f>411323+928266+231999+348028</f>
        <v>1919616</v>
      </c>
      <c r="L266" s="7"/>
      <c r="M266" s="7">
        <v>4179487</v>
      </c>
      <c r="N266" s="7"/>
      <c r="O266" s="7">
        <v>0</v>
      </c>
      <c r="P266" s="7"/>
      <c r="Q266" s="7">
        <v>2341102</v>
      </c>
      <c r="R266" s="7"/>
      <c r="S266" s="7">
        <v>10773</v>
      </c>
      <c r="T266" s="7"/>
      <c r="U266" s="7">
        <f>2387+349956</f>
        <v>352343</v>
      </c>
      <c r="V266" s="7"/>
      <c r="W266" s="7">
        <v>0</v>
      </c>
      <c r="X266" s="7"/>
      <c r="Y266" s="7">
        <v>0</v>
      </c>
      <c r="Z266" s="7"/>
      <c r="AA266" s="7">
        <f t="shared" si="33"/>
        <v>8803321</v>
      </c>
      <c r="AB266" s="7"/>
      <c r="AC266" s="7">
        <f t="shared" si="32"/>
        <v>13428829</v>
      </c>
    </row>
    <row r="267" spans="1:29" ht="12.75" customHeight="1" x14ac:dyDescent="0.2">
      <c r="A267" s="10" t="s">
        <v>280</v>
      </c>
      <c r="C267" s="10" t="s">
        <v>197</v>
      </c>
      <c r="E267" s="7">
        <v>1894048</v>
      </c>
      <c r="F267" s="7"/>
      <c r="G267" s="7">
        <v>2186851</v>
      </c>
      <c r="H267" s="7"/>
      <c r="I267" s="7">
        <v>1608837</v>
      </c>
      <c r="J267" s="7"/>
      <c r="K267" s="7">
        <v>1876328</v>
      </c>
      <c r="L267" s="7"/>
      <c r="M267" s="7">
        <v>10378470</v>
      </c>
      <c r="N267" s="7"/>
      <c r="O267" s="7">
        <f>1032907+205723</f>
        <v>1238630</v>
      </c>
      <c r="P267" s="7"/>
      <c r="Q267" s="7">
        <v>871159</v>
      </c>
      <c r="R267" s="7"/>
      <c r="S267" s="7">
        <v>121487</v>
      </c>
      <c r="T267" s="7"/>
      <c r="U267" s="7">
        <v>295833</v>
      </c>
      <c r="V267" s="7"/>
      <c r="W267" s="7">
        <v>0</v>
      </c>
      <c r="X267" s="7"/>
      <c r="Y267" s="7">
        <v>0</v>
      </c>
      <c r="Z267" s="7"/>
      <c r="AA267" s="7">
        <f t="shared" si="33"/>
        <v>14781907</v>
      </c>
      <c r="AB267" s="7"/>
      <c r="AC267" s="7">
        <f t="shared" si="32"/>
        <v>20471643</v>
      </c>
    </row>
    <row r="268" spans="1:29" ht="12.75" customHeight="1" x14ac:dyDescent="0.2">
      <c r="A268" s="10" t="s">
        <v>281</v>
      </c>
      <c r="C268" s="10" t="s">
        <v>41</v>
      </c>
      <c r="E268" s="7">
        <v>3625799</v>
      </c>
      <c r="F268" s="7"/>
      <c r="G268" s="7">
        <v>889805</v>
      </c>
      <c r="H268" s="7"/>
      <c r="I268" s="7">
        <v>0</v>
      </c>
      <c r="J268" s="7"/>
      <c r="K268" s="7">
        <f>2246745+91949+155157</f>
        <v>2493851</v>
      </c>
      <c r="L268" s="7"/>
      <c r="M268" s="7">
        <v>20991494</v>
      </c>
      <c r="N268" s="7"/>
      <c r="O268" s="7">
        <v>185760</v>
      </c>
      <c r="P268" s="7"/>
      <c r="Q268" s="7">
        <v>2164722</v>
      </c>
      <c r="R268" s="7"/>
      <c r="S268" s="7">
        <v>32198</v>
      </c>
      <c r="T268" s="7"/>
      <c r="U268" s="7">
        <v>494331</v>
      </c>
      <c r="V268" s="7"/>
      <c r="W268" s="7">
        <v>0</v>
      </c>
      <c r="X268" s="7"/>
      <c r="Y268" s="7">
        <v>0</v>
      </c>
      <c r="Z268" s="7"/>
      <c r="AA268" s="7">
        <f t="shared" si="33"/>
        <v>26362356</v>
      </c>
      <c r="AB268" s="7"/>
      <c r="AC268" s="7">
        <f t="shared" si="32"/>
        <v>30877960</v>
      </c>
    </row>
    <row r="269" spans="1:29" ht="12.75" customHeight="1" x14ac:dyDescent="0.2">
      <c r="A269" s="10" t="s">
        <v>282</v>
      </c>
      <c r="C269" s="10" t="s">
        <v>43</v>
      </c>
      <c r="E269" s="7">
        <v>1121208</v>
      </c>
      <c r="F269" s="7"/>
      <c r="G269" s="7">
        <v>578823</v>
      </c>
      <c r="H269" s="7"/>
      <c r="I269" s="7">
        <v>1134999</v>
      </c>
      <c r="J269" s="7"/>
      <c r="K269" s="7">
        <v>2511722</v>
      </c>
      <c r="L269" s="7"/>
      <c r="M269" s="7">
        <v>4001102</v>
      </c>
      <c r="N269" s="7"/>
      <c r="O269" s="7">
        <v>0</v>
      </c>
      <c r="P269" s="7"/>
      <c r="Q269" s="7">
        <v>1753213</v>
      </c>
      <c r="R269" s="7"/>
      <c r="S269" s="7">
        <v>25977</v>
      </c>
      <c r="T269" s="7"/>
      <c r="U269" s="7">
        <v>174360</v>
      </c>
      <c r="V269" s="7"/>
      <c r="W269" s="7">
        <v>-408240</v>
      </c>
      <c r="X269" s="7"/>
      <c r="Y269" s="7">
        <v>0</v>
      </c>
      <c r="Z269" s="7"/>
      <c r="AA269" s="7">
        <f t="shared" si="33"/>
        <v>8058134</v>
      </c>
      <c r="AB269" s="7"/>
      <c r="AC269" s="7">
        <f t="shared" si="32"/>
        <v>10893164</v>
      </c>
    </row>
    <row r="270" spans="1:29" ht="12.75" customHeight="1" x14ac:dyDescent="0.2">
      <c r="A270" s="10" t="s">
        <v>283</v>
      </c>
      <c r="C270" s="10" t="s">
        <v>28</v>
      </c>
      <c r="E270" s="7">
        <v>3568498</v>
      </c>
      <c r="F270" s="7"/>
      <c r="G270" s="7">
        <v>865437</v>
      </c>
      <c r="H270" s="7"/>
      <c r="I270" s="7">
        <v>261306</v>
      </c>
      <c r="J270" s="7"/>
      <c r="K270" s="7">
        <v>1807780</v>
      </c>
      <c r="L270" s="7"/>
      <c r="M270" s="7">
        <v>12276122</v>
      </c>
      <c r="N270" s="7"/>
      <c r="O270" s="7">
        <f>37308+1225059</f>
        <v>1262367</v>
      </c>
      <c r="P270" s="7"/>
      <c r="Q270" s="7">
        <v>1283809</v>
      </c>
      <c r="R270" s="7"/>
      <c r="S270" s="7">
        <v>38295</v>
      </c>
      <c r="T270" s="7"/>
      <c r="U270" s="7">
        <v>329715</v>
      </c>
      <c r="V270" s="7"/>
      <c r="W270" s="7">
        <v>-878636</v>
      </c>
      <c r="X270" s="7"/>
      <c r="Y270" s="7">
        <v>0</v>
      </c>
      <c r="Z270" s="7"/>
      <c r="AA270" s="7">
        <f t="shared" si="33"/>
        <v>16119452</v>
      </c>
      <c r="AB270" s="7"/>
      <c r="AC270" s="7">
        <f t="shared" si="32"/>
        <v>20814693</v>
      </c>
    </row>
    <row r="271" spans="1:29" ht="12.75" customHeight="1" x14ac:dyDescent="0.2">
      <c r="A271" s="10" t="s">
        <v>284</v>
      </c>
      <c r="C271" s="10" t="s">
        <v>59</v>
      </c>
      <c r="E271" s="7">
        <v>14205739</v>
      </c>
      <c r="F271" s="7"/>
      <c r="G271" s="7">
        <v>10503707</v>
      </c>
      <c r="H271" s="7"/>
      <c r="I271" s="7">
        <v>4301679</v>
      </c>
      <c r="J271" s="7"/>
      <c r="K271" s="7">
        <f>1759912+123120</f>
        <v>1883032</v>
      </c>
      <c r="L271" s="7"/>
      <c r="M271" s="7">
        <f>23940252+6592583+8822857+4507036</f>
        <v>43862728</v>
      </c>
      <c r="N271" s="7"/>
      <c r="O271" s="7">
        <v>578640</v>
      </c>
      <c r="P271" s="7"/>
      <c r="Q271" s="7">
        <v>4058660</v>
      </c>
      <c r="R271" s="7"/>
      <c r="S271" s="7">
        <v>7654</v>
      </c>
      <c r="T271" s="7"/>
      <c r="U271" s="7">
        <v>715546</v>
      </c>
      <c r="V271" s="7"/>
      <c r="W271" s="7">
        <v>0</v>
      </c>
      <c r="X271" s="7"/>
      <c r="Y271" s="7">
        <v>0</v>
      </c>
      <c r="Z271" s="7"/>
      <c r="AA271" s="7">
        <f t="shared" si="33"/>
        <v>51106260</v>
      </c>
      <c r="AB271" s="7"/>
      <c r="AC271" s="7">
        <f t="shared" si="32"/>
        <v>80117385</v>
      </c>
    </row>
    <row r="272" spans="1:29" ht="12.75" customHeight="1" x14ac:dyDescent="0.2">
      <c r="A272" s="10" t="s">
        <v>285</v>
      </c>
      <c r="C272" s="10" t="s">
        <v>286</v>
      </c>
      <c r="E272" s="7">
        <v>2299437</v>
      </c>
      <c r="F272" s="7"/>
      <c r="G272" s="7">
        <v>2916579</v>
      </c>
      <c r="H272" s="7"/>
      <c r="I272" s="7">
        <v>931218</v>
      </c>
      <c r="J272" s="7"/>
      <c r="K272" s="7">
        <f>966449+212303</f>
        <v>1178752</v>
      </c>
      <c r="L272" s="7"/>
      <c r="M272" s="7">
        <f>7841419+4003498+1602312+1600506</f>
        <v>15047735</v>
      </c>
      <c r="N272" s="7"/>
      <c r="O272" s="7">
        <f>575323+328500</f>
        <v>903823</v>
      </c>
      <c r="P272" s="7"/>
      <c r="Q272" s="7">
        <v>2800821</v>
      </c>
      <c r="R272" s="7"/>
      <c r="S272" s="7">
        <v>129953</v>
      </c>
      <c r="T272" s="7"/>
      <c r="U272" s="7">
        <f>332614+20105+149475</f>
        <v>502194</v>
      </c>
      <c r="V272" s="7"/>
      <c r="W272" s="7">
        <v>0</v>
      </c>
      <c r="X272" s="7"/>
      <c r="Y272" s="7">
        <v>0</v>
      </c>
      <c r="Z272" s="7"/>
      <c r="AA272" s="7">
        <f t="shared" si="33"/>
        <v>20563278</v>
      </c>
      <c r="AB272" s="7"/>
      <c r="AC272" s="7">
        <f t="shared" si="32"/>
        <v>26710512</v>
      </c>
    </row>
    <row r="273" spans="1:4" ht="12.75" customHeight="1" x14ac:dyDescent="0.2">
      <c r="A273" s="10" t="s">
        <v>467</v>
      </c>
      <c r="C273" s="12"/>
      <c r="D273" s="12"/>
    </row>
    <row r="274" spans="1:4" ht="12.75" customHeight="1" x14ac:dyDescent="0.2">
      <c r="A274" s="12"/>
      <c r="C274" s="12"/>
      <c r="D274" s="12"/>
    </row>
  </sheetData>
  <mergeCells count="2">
    <mergeCell ref="K5:U5"/>
    <mergeCell ref="K92:U92"/>
  </mergeCells>
  <phoneticPr fontId="4" type="noConversion"/>
  <printOptions horizontalCentered="1"/>
  <pageMargins left="0.75" right="0.75" top="0.5" bottom="0.5" header="0" footer="0.25"/>
  <pageSetup scale="74" firstPageNumber="12" pageOrder="overThenDown" orientation="portrait" useFirstPageNumber="1" r:id="rId1"/>
  <headerFooter alignWithMargins="0">
    <oddFooter>&amp;C&amp;"Times New Roman,Regular"&amp;11&amp;P</oddFooter>
  </headerFooter>
  <colBreaks count="1" manualBreakCount="1">
    <brk id="13" max="27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73"/>
  <sheetViews>
    <sheetView view="pageBreakPreview" zoomScaleNormal="100" zoomScaleSheetLayoutView="100" workbookViewId="0">
      <selection activeCell="E243" sqref="E243:AA243"/>
    </sheetView>
  </sheetViews>
  <sheetFormatPr defaultColWidth="9.140625" defaultRowHeight="12.75" customHeight="1" x14ac:dyDescent="0.2"/>
  <cols>
    <col min="1" max="1" width="21.5703125" style="10" customWidth="1"/>
    <col min="2" max="2" width="1.7109375" style="14" customWidth="1"/>
    <col min="3" max="3" width="11.7109375" style="10" customWidth="1"/>
    <col min="4" max="4" width="1.7109375" style="10" customWidth="1"/>
    <col min="5" max="5" width="12.42578125" style="10" bestFit="1" customWidth="1"/>
    <col min="6" max="6" width="1.7109375" style="10" customWidth="1"/>
    <col min="7" max="7" width="11.7109375" style="10" customWidth="1"/>
    <col min="8" max="8" width="1.7109375" style="10" customWidth="1"/>
    <col min="9" max="9" width="11.7109375" style="10" customWidth="1"/>
    <col min="10" max="10" width="1.7109375" style="10" customWidth="1"/>
    <col min="11" max="11" width="11.7109375" style="10" customWidth="1"/>
    <col min="12" max="12" width="1.7109375" style="10" customWidth="1"/>
    <col min="13" max="13" width="11.7109375" style="10" customWidth="1"/>
    <col min="14" max="14" width="1.7109375" style="10" customWidth="1"/>
    <col min="15" max="15" width="11.7109375" style="10" customWidth="1"/>
    <col min="16" max="16" width="1.7109375" style="10" customWidth="1"/>
    <col min="17" max="17" width="11.7109375" style="10" customWidth="1"/>
    <col min="18" max="18" width="1.7109375" style="10" customWidth="1"/>
    <col min="19" max="19" width="13.42578125" style="10" customWidth="1"/>
    <col min="20" max="20" width="1.7109375" style="10" customWidth="1"/>
    <col min="21" max="21" width="11.7109375" style="10" customWidth="1"/>
    <col min="22" max="22" width="1.7109375" style="10" customWidth="1"/>
    <col min="23" max="23" width="13" style="10" bestFit="1" customWidth="1"/>
    <col min="24" max="24" width="1.7109375" style="10" customWidth="1"/>
    <col min="25" max="25" width="13.7109375" style="10" bestFit="1" customWidth="1"/>
    <col min="26" max="26" width="1.7109375" style="10" customWidth="1"/>
    <col min="27" max="27" width="13.7109375" style="10" bestFit="1" customWidth="1"/>
    <col min="28" max="28" width="1.7109375" style="10" customWidth="1"/>
    <col min="29" max="29" width="11.85546875" style="10" customWidth="1"/>
    <col min="30" max="30" width="12" style="10" bestFit="1" customWidth="1"/>
    <col min="31" max="31" width="10.5703125" style="10" bestFit="1" customWidth="1"/>
    <col min="32" max="16384" width="9.140625" style="10"/>
  </cols>
  <sheetData>
    <row r="1" spans="1:30" ht="12.75" customHeight="1" x14ac:dyDescent="0.2">
      <c r="A1" s="74" t="s">
        <v>383</v>
      </c>
    </row>
    <row r="2" spans="1:30" ht="12.75" customHeight="1" x14ac:dyDescent="0.2">
      <c r="A2" s="74" t="s">
        <v>505</v>
      </c>
    </row>
    <row r="3" spans="1:30" ht="12.75" customHeight="1" x14ac:dyDescent="0.2">
      <c r="A3" s="74" t="s">
        <v>287</v>
      </c>
    </row>
    <row r="4" spans="1:30" ht="12.75" customHeight="1" x14ac:dyDescent="0.2">
      <c r="A4" s="74"/>
    </row>
    <row r="5" spans="1:30" ht="12.75" customHeight="1" x14ac:dyDescent="0.2">
      <c r="A5" s="74"/>
      <c r="E5" s="95" t="s">
        <v>418</v>
      </c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81"/>
      <c r="R5" s="81"/>
      <c r="S5" s="81"/>
      <c r="T5" s="81"/>
      <c r="U5" s="81"/>
      <c r="V5" s="82"/>
      <c r="W5" s="82"/>
    </row>
    <row r="6" spans="1:30" ht="12.75" customHeight="1" x14ac:dyDescent="0.2">
      <c r="E6" s="43" t="s">
        <v>394</v>
      </c>
      <c r="V6" s="4"/>
      <c r="Y6" s="43" t="s">
        <v>512</v>
      </c>
      <c r="Z6" s="43"/>
      <c r="AA6" s="43" t="s">
        <v>424</v>
      </c>
    </row>
    <row r="7" spans="1:30" ht="12.75" customHeight="1" x14ac:dyDescent="0.2">
      <c r="A7" s="13"/>
      <c r="C7" s="13"/>
      <c r="E7" s="43" t="s">
        <v>396</v>
      </c>
      <c r="F7" s="43"/>
      <c r="G7" s="43" t="s">
        <v>303</v>
      </c>
      <c r="H7" s="43"/>
      <c r="I7" s="43" t="s">
        <v>304</v>
      </c>
      <c r="J7" s="43"/>
      <c r="K7" s="43" t="s">
        <v>331</v>
      </c>
      <c r="L7" s="43"/>
      <c r="M7" s="43"/>
      <c r="N7" s="43"/>
      <c r="O7" s="43" t="s">
        <v>305</v>
      </c>
      <c r="P7" s="43"/>
      <c r="Q7" s="43" t="s">
        <v>294</v>
      </c>
      <c r="R7" s="43"/>
      <c r="S7" s="43"/>
      <c r="T7" s="43"/>
      <c r="U7" s="43" t="s">
        <v>306</v>
      </c>
      <c r="V7" s="43"/>
      <c r="W7" s="43" t="s">
        <v>5</v>
      </c>
      <c r="X7" s="43"/>
      <c r="Y7" s="43" t="s">
        <v>449</v>
      </c>
      <c r="Z7" s="43"/>
      <c r="AA7" s="43" t="s">
        <v>514</v>
      </c>
      <c r="AC7" s="43" t="s">
        <v>425</v>
      </c>
    </row>
    <row r="8" spans="1:30" ht="12.75" customHeight="1" x14ac:dyDescent="0.2">
      <c r="A8" s="46" t="s">
        <v>6</v>
      </c>
      <c r="C8" s="46" t="s">
        <v>7</v>
      </c>
      <c r="E8" s="1" t="s">
        <v>395</v>
      </c>
      <c r="F8" s="2"/>
      <c r="G8" s="1" t="s">
        <v>307</v>
      </c>
      <c r="H8" s="2"/>
      <c r="I8" s="1" t="s">
        <v>308</v>
      </c>
      <c r="J8" s="2"/>
      <c r="K8" s="1" t="s">
        <v>309</v>
      </c>
      <c r="L8" s="2"/>
      <c r="M8" s="1" t="s">
        <v>310</v>
      </c>
      <c r="N8" s="2"/>
      <c r="O8" s="1" t="s">
        <v>311</v>
      </c>
      <c r="P8" s="2"/>
      <c r="Q8" s="1" t="s">
        <v>312</v>
      </c>
      <c r="R8" s="2"/>
      <c r="S8" s="1" t="s">
        <v>292</v>
      </c>
      <c r="T8" s="2"/>
      <c r="U8" s="1" t="s">
        <v>338</v>
      </c>
      <c r="V8" s="2"/>
      <c r="W8" s="1" t="s">
        <v>372</v>
      </c>
      <c r="X8" s="2"/>
      <c r="Y8" s="1" t="s">
        <v>450</v>
      </c>
      <c r="Z8" s="43"/>
      <c r="AA8" s="1" t="s">
        <v>456</v>
      </c>
      <c r="AC8" s="48" t="s">
        <v>426</v>
      </c>
    </row>
    <row r="9" spans="1:30" ht="12.75" customHeight="1" x14ac:dyDescent="0.2">
      <c r="A9" s="3"/>
      <c r="C9" s="3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30" s="9" customFormat="1" ht="12.75" hidden="1" customHeight="1" x14ac:dyDescent="0.2">
      <c r="A10" s="9" t="s">
        <v>10</v>
      </c>
      <c r="B10" s="83"/>
      <c r="C10" s="9" t="s">
        <v>11</v>
      </c>
      <c r="E10" s="9">
        <f>52045512+113141469</f>
        <v>165186981</v>
      </c>
      <c r="G10" s="9">
        <v>3982604</v>
      </c>
      <c r="I10" s="9">
        <v>6906906</v>
      </c>
      <c r="K10" s="9">
        <v>66174345</v>
      </c>
      <c r="M10" s="9">
        <v>0</v>
      </c>
      <c r="O10" s="9">
        <v>0</v>
      </c>
      <c r="Q10" s="9">
        <v>44074083</v>
      </c>
      <c r="S10" s="9">
        <v>15559132</v>
      </c>
      <c r="U10" s="9">
        <v>35466855</v>
      </c>
      <c r="W10" s="9">
        <f>SUM(E10:U10)</f>
        <v>337350906</v>
      </c>
      <c r="Y10" s="9">
        <v>361755567</v>
      </c>
      <c r="AA10" s="9">
        <f>+'Stmt net assets'!AC10</f>
        <v>359861933</v>
      </c>
      <c r="AC10" s="9">
        <f>+Y10+'Stmt of activities-GA rev'!AC10-'Stmt of activities-GAexp'!W10-AA10</f>
        <v>0</v>
      </c>
    </row>
    <row r="11" spans="1:30" s="9" customFormat="1" ht="12.75" customHeight="1" x14ac:dyDescent="0.2">
      <c r="A11" s="9" t="s">
        <v>12</v>
      </c>
      <c r="B11" s="21"/>
      <c r="C11" s="9" t="s">
        <v>13</v>
      </c>
      <c r="E11" s="9">
        <v>9124381</v>
      </c>
      <c r="G11" s="9">
        <v>1069283</v>
      </c>
      <c r="I11" s="9">
        <v>785750</v>
      </c>
      <c r="K11" s="9">
        <v>939839</v>
      </c>
      <c r="M11" s="9">
        <v>1727130</v>
      </c>
      <c r="O11" s="9">
        <v>62457</v>
      </c>
      <c r="Q11" s="9">
        <v>3293515</v>
      </c>
      <c r="S11" s="9">
        <v>50234</v>
      </c>
      <c r="U11" s="9">
        <v>50615</v>
      </c>
      <c r="W11" s="9">
        <f t="shared" ref="W11" si="0">SUM(E11:U11)</f>
        <v>17103204</v>
      </c>
      <c r="Y11" s="9">
        <v>30640071</v>
      </c>
      <c r="AA11" s="9">
        <f>+'Stmt net assets'!AC11</f>
        <v>29379761</v>
      </c>
      <c r="AC11" s="9">
        <f>+Y11+'Stmt of activities-GA rev'!AC11-'Stmt of activities-GAexp'!W11-AA11</f>
        <v>0</v>
      </c>
    </row>
    <row r="12" spans="1:30" ht="12.75" customHeight="1" x14ac:dyDescent="0.2">
      <c r="A12" s="10" t="s">
        <v>14</v>
      </c>
      <c r="C12" s="10" t="s">
        <v>15</v>
      </c>
      <c r="E12" s="7">
        <v>3622582</v>
      </c>
      <c r="F12" s="7"/>
      <c r="G12" s="7">
        <v>180141</v>
      </c>
      <c r="H12" s="7"/>
      <c r="I12" s="7">
        <v>195425</v>
      </c>
      <c r="J12" s="7"/>
      <c r="K12" s="7">
        <v>138690</v>
      </c>
      <c r="L12" s="7"/>
      <c r="M12" s="7">
        <v>2058750</v>
      </c>
      <c r="N12" s="7"/>
      <c r="O12" s="7">
        <v>0</v>
      </c>
      <c r="P12" s="7"/>
      <c r="Q12" s="7">
        <v>1142487</v>
      </c>
      <c r="R12" s="7"/>
      <c r="S12" s="7">
        <v>0</v>
      </c>
      <c r="T12" s="7"/>
      <c r="U12" s="7">
        <v>133033</v>
      </c>
      <c r="V12" s="7"/>
      <c r="W12" s="7">
        <f t="shared" ref="W12:W67" si="1">SUM(E12:U12)</f>
        <v>7471108</v>
      </c>
      <c r="X12" s="7"/>
      <c r="Y12" s="7">
        <v>31512921</v>
      </c>
      <c r="Z12" s="7"/>
      <c r="AA12" s="7">
        <f>+'Stmt net assets'!AC12</f>
        <v>32380148</v>
      </c>
      <c r="AB12" s="7"/>
      <c r="AC12" s="7">
        <f>+Y12+'Stmt of activities-GA rev'!AC12-'Stmt of activities-GAexp'!W12-AA12</f>
        <v>0</v>
      </c>
    </row>
    <row r="13" spans="1:30" s="7" customFormat="1" ht="12.75" customHeight="1" x14ac:dyDescent="0.2">
      <c r="A13" s="10" t="s">
        <v>16</v>
      </c>
      <c r="B13" s="14"/>
      <c r="C13" s="10" t="s">
        <v>16</v>
      </c>
      <c r="D13" s="10"/>
      <c r="E13" s="7">
        <v>6961052</v>
      </c>
      <c r="G13" s="7">
        <v>297364</v>
      </c>
      <c r="I13" s="7">
        <v>1131083</v>
      </c>
      <c r="K13" s="7">
        <v>574802</v>
      </c>
      <c r="M13" s="7">
        <v>2446458</v>
      </c>
      <c r="O13" s="7">
        <v>0</v>
      </c>
      <c r="Q13" s="7">
        <v>4873750</v>
      </c>
      <c r="S13" s="7">
        <v>0</v>
      </c>
      <c r="U13" s="7">
        <v>112685</v>
      </c>
      <c r="W13" s="7">
        <f t="shared" si="1"/>
        <v>16397194</v>
      </c>
      <c r="Y13" s="7">
        <v>25343918</v>
      </c>
      <c r="AA13" s="7">
        <f>+'Stmt net assets'!AC13</f>
        <v>24058489</v>
      </c>
      <c r="AC13" s="7">
        <f>+Y13+'Stmt of activities-GA rev'!AC13-'Stmt of activities-GAexp'!W13-AA13</f>
        <v>0</v>
      </c>
    </row>
    <row r="14" spans="1:30" ht="12.75" customHeight="1" x14ac:dyDescent="0.2">
      <c r="A14" s="7" t="s">
        <v>17</v>
      </c>
      <c r="B14" s="7"/>
      <c r="C14" s="7" t="s">
        <v>17</v>
      </c>
      <c r="D14" s="7"/>
      <c r="E14" s="7">
        <f>3372417+2687460</f>
        <v>6059877</v>
      </c>
      <c r="F14" s="7"/>
      <c r="G14" s="7">
        <v>334693</v>
      </c>
      <c r="H14" s="7"/>
      <c r="I14" s="7">
        <v>68873</v>
      </c>
      <c r="J14" s="7"/>
      <c r="K14" s="7">
        <v>1012690</v>
      </c>
      <c r="L14" s="7"/>
      <c r="M14" s="7">
        <v>2529822</v>
      </c>
      <c r="N14" s="7"/>
      <c r="O14" s="7">
        <v>38831</v>
      </c>
      <c r="P14" s="7"/>
      <c r="Q14" s="7">
        <f>2821885+995974</f>
        <v>3817859</v>
      </c>
      <c r="R14" s="7"/>
      <c r="S14" s="7">
        <v>0</v>
      </c>
      <c r="T14" s="7"/>
      <c r="U14" s="7">
        <v>5972</v>
      </c>
      <c r="V14" s="7"/>
      <c r="W14" s="7">
        <f t="shared" si="1"/>
        <v>13868617</v>
      </c>
      <c r="X14" s="7"/>
      <c r="Y14" s="7">
        <v>30403971</v>
      </c>
      <c r="Z14" s="7"/>
      <c r="AA14" s="7">
        <f>+'Stmt net assets'!AC14</f>
        <v>28961969</v>
      </c>
      <c r="AB14" s="7"/>
      <c r="AC14" s="7">
        <f>+Y14+'Stmt of activities-GA rev'!AC14-'Stmt of activities-GAexp'!W14-AA14</f>
        <v>0</v>
      </c>
      <c r="AD14" s="7"/>
    </row>
    <row r="15" spans="1:30" ht="12.75" customHeight="1" x14ac:dyDescent="0.2">
      <c r="A15" s="10" t="s">
        <v>18</v>
      </c>
      <c r="C15" s="10" t="s">
        <v>18</v>
      </c>
      <c r="E15" s="7">
        <f>3539666+3022032</f>
        <v>6561698</v>
      </c>
      <c r="F15" s="7"/>
      <c r="G15" s="7">
        <v>0</v>
      </c>
      <c r="H15" s="7"/>
      <c r="I15" s="7">
        <v>1638177</v>
      </c>
      <c r="J15" s="7"/>
      <c r="K15" s="7">
        <v>828703</v>
      </c>
      <c r="L15" s="7"/>
      <c r="M15" s="7">
        <v>4376119</v>
      </c>
      <c r="N15" s="7"/>
      <c r="O15" s="7">
        <v>0</v>
      </c>
      <c r="P15" s="7"/>
      <c r="Q15" s="7">
        <v>5875646</v>
      </c>
      <c r="R15" s="7"/>
      <c r="S15" s="7">
        <v>0</v>
      </c>
      <c r="T15" s="7"/>
      <c r="U15" s="7">
        <v>61753</v>
      </c>
      <c r="V15" s="7"/>
      <c r="W15" s="7">
        <f t="shared" si="1"/>
        <v>19342096</v>
      </c>
      <c r="X15" s="7"/>
      <c r="Y15" s="7">
        <v>71948115</v>
      </c>
      <c r="Z15" s="7"/>
      <c r="AA15" s="7">
        <f>+'Stmt net assets'!AC15</f>
        <v>72058361</v>
      </c>
      <c r="AB15" s="7"/>
      <c r="AC15" s="7">
        <f>+Y15+'Stmt of activities-GA rev'!AC15-'Stmt of activities-GAexp'!W15-AA15</f>
        <v>0</v>
      </c>
      <c r="AD15" s="7"/>
    </row>
    <row r="16" spans="1:30" ht="12.75" customHeight="1" x14ac:dyDescent="0.2">
      <c r="A16" s="10" t="s">
        <v>19</v>
      </c>
      <c r="C16" s="10" t="s">
        <v>20</v>
      </c>
      <c r="E16" s="7">
        <v>7938796</v>
      </c>
      <c r="F16" s="7"/>
      <c r="G16" s="7">
        <v>0</v>
      </c>
      <c r="H16" s="7"/>
      <c r="I16" s="7">
        <v>1567671</v>
      </c>
      <c r="J16" s="7"/>
      <c r="K16" s="7">
        <v>1002954</v>
      </c>
      <c r="L16" s="7"/>
      <c r="M16" s="7">
        <v>3544840</v>
      </c>
      <c r="N16" s="7"/>
      <c r="O16" s="7">
        <v>0</v>
      </c>
      <c r="P16" s="7"/>
      <c r="Q16" s="7">
        <v>2240378</v>
      </c>
      <c r="R16" s="7"/>
      <c r="S16" s="7">
        <v>109170</v>
      </c>
      <c r="T16" s="7"/>
      <c r="U16" s="7">
        <v>261813</v>
      </c>
      <c r="V16" s="7"/>
      <c r="W16" s="7">
        <f t="shared" si="1"/>
        <v>16665622</v>
      </c>
      <c r="X16" s="7"/>
      <c r="Y16" s="7">
        <v>79804056</v>
      </c>
      <c r="Z16" s="7"/>
      <c r="AA16" s="7">
        <f>+'Stmt net assets'!AC16</f>
        <v>83059621</v>
      </c>
      <c r="AB16" s="7"/>
      <c r="AC16" s="7">
        <f>+Y16+'Stmt of activities-GA rev'!AC16-'Stmt of activities-GAexp'!W16-AA16</f>
        <v>0</v>
      </c>
    </row>
    <row r="17" spans="1:29" ht="12.75" customHeight="1" x14ac:dyDescent="0.2">
      <c r="A17" s="10" t="s">
        <v>21</v>
      </c>
      <c r="C17" s="10" t="s">
        <v>15</v>
      </c>
      <c r="E17" s="7">
        <v>8098619</v>
      </c>
      <c r="F17" s="7"/>
      <c r="G17" s="7">
        <v>0</v>
      </c>
      <c r="H17" s="7"/>
      <c r="I17" s="7">
        <v>1432240</v>
      </c>
      <c r="J17" s="7"/>
      <c r="K17" s="7">
        <v>1521616</v>
      </c>
      <c r="L17" s="7"/>
      <c r="M17" s="7">
        <v>178409</v>
      </c>
      <c r="N17" s="7"/>
      <c r="O17" s="7">
        <v>618381</v>
      </c>
      <c r="P17" s="7"/>
      <c r="Q17" s="7">
        <v>5987602</v>
      </c>
      <c r="R17" s="7"/>
      <c r="S17" s="7">
        <v>0</v>
      </c>
      <c r="T17" s="7"/>
      <c r="U17" s="7">
        <v>2688919</v>
      </c>
      <c r="V17" s="7"/>
      <c r="W17" s="7">
        <f t="shared" si="1"/>
        <v>20525786</v>
      </c>
      <c r="X17" s="7"/>
      <c r="Y17" s="7">
        <v>46259510</v>
      </c>
      <c r="Z17" s="7"/>
      <c r="AA17" s="7">
        <f>+'Stmt net assets'!AC17</f>
        <v>47077950</v>
      </c>
      <c r="AB17" s="7"/>
      <c r="AC17" s="7">
        <f>+Y17+'Stmt of activities-GA rev'!AC17-'Stmt of activities-GAexp'!W17-AA17</f>
        <v>0</v>
      </c>
    </row>
    <row r="18" spans="1:29" ht="12.75" customHeight="1" x14ac:dyDescent="0.2">
      <c r="A18" s="10" t="s">
        <v>22</v>
      </c>
      <c r="C18" s="10" t="s">
        <v>15</v>
      </c>
      <c r="E18" s="7">
        <v>8534837</v>
      </c>
      <c r="F18" s="7"/>
      <c r="G18" s="7">
        <v>140705</v>
      </c>
      <c r="H18" s="7"/>
      <c r="I18" s="7">
        <v>1239644</v>
      </c>
      <c r="J18" s="7"/>
      <c r="K18" s="7">
        <v>473952</v>
      </c>
      <c r="L18" s="7"/>
      <c r="M18" s="7">
        <v>6157639</v>
      </c>
      <c r="N18" s="7"/>
      <c r="O18" s="7">
        <v>388614</v>
      </c>
      <c r="P18" s="7"/>
      <c r="Q18" s="7">
        <v>3136087</v>
      </c>
      <c r="R18" s="7"/>
      <c r="S18" s="7">
        <v>0</v>
      </c>
      <c r="T18" s="7"/>
      <c r="U18" s="7">
        <v>473463</v>
      </c>
      <c r="V18" s="7"/>
      <c r="W18" s="7">
        <f t="shared" ref="W18" si="2">SUM(E18:U18)</f>
        <v>20544941</v>
      </c>
      <c r="X18" s="7"/>
      <c r="Y18" s="7">
        <v>60063617</v>
      </c>
      <c r="Z18" s="7"/>
      <c r="AA18" s="7">
        <f>+'Stmt net assets'!AC18</f>
        <v>60467667</v>
      </c>
      <c r="AB18" s="7"/>
      <c r="AC18" s="7">
        <f>+Y18+'Stmt of activities-GA rev'!AC18-'Stmt of activities-GAexp'!W18-AA18</f>
        <v>0</v>
      </c>
    </row>
    <row r="19" spans="1:29" ht="12.75" customHeight="1" x14ac:dyDescent="0.2">
      <c r="A19" s="10" t="s">
        <v>23</v>
      </c>
      <c r="C19" s="10" t="s">
        <v>11</v>
      </c>
      <c r="E19" s="7">
        <v>10221486</v>
      </c>
      <c r="F19" s="7"/>
      <c r="G19" s="7">
        <v>0</v>
      </c>
      <c r="H19" s="7"/>
      <c r="I19" s="7">
        <v>1334529</v>
      </c>
      <c r="J19" s="7"/>
      <c r="K19" s="7">
        <v>2109074</v>
      </c>
      <c r="L19" s="7"/>
      <c r="M19" s="7">
        <v>2725173</v>
      </c>
      <c r="N19" s="7"/>
      <c r="O19" s="7">
        <v>0</v>
      </c>
      <c r="P19" s="7"/>
      <c r="Q19" s="7">
        <v>4150178</v>
      </c>
      <c r="R19" s="7"/>
      <c r="S19" s="7">
        <v>0</v>
      </c>
      <c r="T19" s="7"/>
      <c r="U19" s="7">
        <v>188459</v>
      </c>
      <c r="V19" s="7"/>
      <c r="W19" s="7">
        <f t="shared" si="1"/>
        <v>20728899</v>
      </c>
      <c r="X19" s="7"/>
      <c r="Y19" s="7">
        <v>27320482</v>
      </c>
      <c r="Z19" s="7"/>
      <c r="AA19" s="7">
        <f>+'Stmt net assets'!AC19</f>
        <v>27290275</v>
      </c>
      <c r="AB19" s="7"/>
      <c r="AC19" s="7">
        <f>+Y19+'Stmt of activities-GA rev'!AC19-'Stmt of activities-GAexp'!W19-AA19</f>
        <v>0</v>
      </c>
    </row>
    <row r="20" spans="1:29" ht="12.75" customHeight="1" x14ac:dyDescent="0.2">
      <c r="A20" s="10" t="s">
        <v>24</v>
      </c>
      <c r="C20" s="10" t="s">
        <v>25</v>
      </c>
      <c r="E20" s="7">
        <v>6585290</v>
      </c>
      <c r="F20" s="7"/>
      <c r="G20" s="7">
        <v>356997</v>
      </c>
      <c r="H20" s="7"/>
      <c r="I20" s="7">
        <v>978366</v>
      </c>
      <c r="J20" s="7"/>
      <c r="K20" s="7">
        <v>596504</v>
      </c>
      <c r="L20" s="7"/>
      <c r="M20" s="7">
        <v>1753278</v>
      </c>
      <c r="N20" s="7"/>
      <c r="O20" s="7">
        <v>1846690</v>
      </c>
      <c r="P20" s="7"/>
      <c r="Q20" s="7">
        <v>2626120</v>
      </c>
      <c r="R20" s="7"/>
      <c r="S20" s="7">
        <v>0</v>
      </c>
      <c r="T20" s="7"/>
      <c r="U20" s="7">
        <v>372890</v>
      </c>
      <c r="V20" s="7"/>
      <c r="W20" s="7">
        <f t="shared" si="1"/>
        <v>15116135</v>
      </c>
      <c r="X20" s="7"/>
      <c r="Y20" s="7">
        <v>26063551</v>
      </c>
      <c r="Z20" s="7"/>
      <c r="AA20" s="7">
        <f>+'Stmt net assets'!AC20</f>
        <v>28494157</v>
      </c>
      <c r="AB20" s="7"/>
      <c r="AC20" s="7">
        <f>+Y20+'Stmt of activities-GA rev'!AC20-'Stmt of activities-GAexp'!W20-AA20</f>
        <v>0</v>
      </c>
    </row>
    <row r="21" spans="1:29" ht="12.75" customHeight="1" x14ac:dyDescent="0.2">
      <c r="A21" s="10" t="s">
        <v>26</v>
      </c>
      <c r="C21" s="10" t="s">
        <v>25</v>
      </c>
      <c r="E21" s="7">
        <f>8513081+6609326</f>
        <v>15122407</v>
      </c>
      <c r="F21" s="7"/>
      <c r="G21" s="7">
        <v>583900</v>
      </c>
      <c r="H21" s="7"/>
      <c r="I21" s="7">
        <v>2828722</v>
      </c>
      <c r="J21" s="7"/>
      <c r="K21" s="7">
        <v>959081</v>
      </c>
      <c r="L21" s="7"/>
      <c r="M21" s="7">
        <v>11927501</v>
      </c>
      <c r="N21" s="7"/>
      <c r="O21" s="7">
        <v>0</v>
      </c>
      <c r="P21" s="7"/>
      <c r="Q21" s="7">
        <v>5383560</v>
      </c>
      <c r="R21" s="7"/>
      <c r="S21" s="7">
        <v>0</v>
      </c>
      <c r="T21" s="7"/>
      <c r="U21" s="7">
        <v>746738</v>
      </c>
      <c r="V21" s="7"/>
      <c r="W21" s="7">
        <f t="shared" si="1"/>
        <v>37551909</v>
      </c>
      <c r="X21" s="7"/>
      <c r="Y21" s="7">
        <v>108061944</v>
      </c>
      <c r="Z21" s="7"/>
      <c r="AA21" s="7">
        <f>+'Stmt net assets'!AC21</f>
        <v>111971407</v>
      </c>
      <c r="AB21" s="7"/>
      <c r="AC21" s="7">
        <f>+Y21+'Stmt of activities-GA rev'!AC21-'Stmt of activities-GAexp'!W21-AA21</f>
        <v>0</v>
      </c>
    </row>
    <row r="22" spans="1:29" ht="12.75" customHeight="1" x14ac:dyDescent="0.2">
      <c r="A22" s="10" t="s">
        <v>27</v>
      </c>
      <c r="C22" s="10" t="s">
        <v>28</v>
      </c>
      <c r="E22" s="7">
        <v>8415580</v>
      </c>
      <c r="F22" s="7"/>
      <c r="G22" s="7">
        <v>140745</v>
      </c>
      <c r="H22" s="7"/>
      <c r="I22" s="7">
        <v>1806983</v>
      </c>
      <c r="J22" s="7"/>
      <c r="K22" s="7">
        <v>591247</v>
      </c>
      <c r="L22" s="7"/>
      <c r="M22" s="7">
        <v>11763034</v>
      </c>
      <c r="N22" s="7"/>
      <c r="O22" s="7">
        <v>122933</v>
      </c>
      <c r="P22" s="7"/>
      <c r="Q22" s="7">
        <v>2476551</v>
      </c>
      <c r="R22" s="7"/>
      <c r="S22" s="7">
        <v>0</v>
      </c>
      <c r="T22" s="7"/>
      <c r="U22" s="7">
        <v>620572</v>
      </c>
      <c r="V22" s="7"/>
      <c r="W22" s="7">
        <f t="shared" si="1"/>
        <v>25937645</v>
      </c>
      <c r="X22" s="7"/>
      <c r="Y22" s="7">
        <v>208319335</v>
      </c>
      <c r="Z22" s="7"/>
      <c r="AA22" s="7">
        <f>+'Stmt net assets'!AC22</f>
        <v>207070385</v>
      </c>
      <c r="AB22" s="7"/>
      <c r="AC22" s="7">
        <f>+Y22+'Stmt of activities-GA rev'!AC22-'Stmt of activities-GAexp'!W22-AA22</f>
        <v>0</v>
      </c>
    </row>
    <row r="23" spans="1:29" ht="12.75" customHeight="1" x14ac:dyDescent="0.2">
      <c r="A23" s="10" t="s">
        <v>29</v>
      </c>
      <c r="C23" s="10" t="s">
        <v>25</v>
      </c>
      <c r="E23" s="7">
        <f>5660332+4106403</f>
        <v>9766735</v>
      </c>
      <c r="F23" s="7"/>
      <c r="G23" s="7">
        <v>180994</v>
      </c>
      <c r="H23" s="7"/>
      <c r="I23" s="7">
        <v>1343654</v>
      </c>
      <c r="J23" s="7"/>
      <c r="K23" s="7">
        <v>746201</v>
      </c>
      <c r="L23" s="7"/>
      <c r="M23" s="7">
        <v>4363978</v>
      </c>
      <c r="N23" s="7"/>
      <c r="O23" s="7">
        <v>1015825</v>
      </c>
      <c r="P23" s="7"/>
      <c r="Q23" s="7">
        <v>5451587</v>
      </c>
      <c r="R23" s="7"/>
      <c r="S23" s="7">
        <v>0</v>
      </c>
      <c r="T23" s="7"/>
      <c r="U23" s="7">
        <v>735190</v>
      </c>
      <c r="V23" s="7"/>
      <c r="W23" s="7">
        <f t="shared" si="1"/>
        <v>23604164</v>
      </c>
      <c r="X23" s="7"/>
      <c r="Y23" s="7">
        <v>37930957</v>
      </c>
      <c r="Z23" s="7"/>
      <c r="AA23" s="7">
        <f>+'Stmt net assets'!AC23</f>
        <v>35378988</v>
      </c>
      <c r="AB23" s="7"/>
      <c r="AC23" s="7">
        <f>+Y23+'Stmt of activities-GA rev'!AC23-'Stmt of activities-GAexp'!W23-AA23</f>
        <v>0</v>
      </c>
    </row>
    <row r="24" spans="1:29" ht="12.75" customHeight="1" x14ac:dyDescent="0.2">
      <c r="A24" s="10" t="s">
        <v>30</v>
      </c>
      <c r="C24" s="10" t="s">
        <v>25</v>
      </c>
      <c r="E24" s="7">
        <v>9998692</v>
      </c>
      <c r="F24" s="7"/>
      <c r="G24" s="7">
        <v>366965</v>
      </c>
      <c r="H24" s="7"/>
      <c r="I24" s="7">
        <v>1046349</v>
      </c>
      <c r="J24" s="7"/>
      <c r="K24" s="7">
        <v>443766</v>
      </c>
      <c r="L24" s="7"/>
      <c r="M24" s="7">
        <v>1784211</v>
      </c>
      <c r="N24" s="7"/>
      <c r="O24" s="7">
        <v>681479</v>
      </c>
      <c r="P24" s="7"/>
      <c r="Q24" s="7">
        <v>3689554</v>
      </c>
      <c r="R24" s="7"/>
      <c r="S24" s="7">
        <v>0</v>
      </c>
      <c r="T24" s="7"/>
      <c r="U24" s="7">
        <v>120279</v>
      </c>
      <c r="V24" s="7"/>
      <c r="W24" s="7">
        <f t="shared" si="1"/>
        <v>18131295</v>
      </c>
      <c r="X24" s="7"/>
      <c r="Y24" s="7">
        <v>18749251</v>
      </c>
      <c r="Z24" s="7"/>
      <c r="AA24" s="7">
        <f>+'Stmt net assets'!AC24</f>
        <v>19475351</v>
      </c>
      <c r="AB24" s="7"/>
      <c r="AC24" s="7">
        <f>+Y24+'Stmt of activities-GA rev'!AC24-'Stmt of activities-GAexp'!W24-AA24</f>
        <v>0</v>
      </c>
    </row>
    <row r="25" spans="1:29" ht="12.75" customHeight="1" x14ac:dyDescent="0.2">
      <c r="A25" s="10" t="s">
        <v>32</v>
      </c>
      <c r="C25" s="10" t="s">
        <v>28</v>
      </c>
      <c r="E25" s="7">
        <v>2775456</v>
      </c>
      <c r="F25" s="7"/>
      <c r="G25" s="7">
        <v>0</v>
      </c>
      <c r="H25" s="7"/>
      <c r="I25" s="7">
        <v>10433</v>
      </c>
      <c r="J25" s="7"/>
      <c r="K25" s="7">
        <v>76435</v>
      </c>
      <c r="L25" s="7"/>
      <c r="M25" s="7">
        <v>557218</v>
      </c>
      <c r="N25" s="7"/>
      <c r="O25" s="7">
        <v>0</v>
      </c>
      <c r="P25" s="7"/>
      <c r="Q25" s="7">
        <v>446338</v>
      </c>
      <c r="R25" s="7"/>
      <c r="S25" s="7">
        <v>0</v>
      </c>
      <c r="T25" s="7"/>
      <c r="U25" s="7">
        <v>0</v>
      </c>
      <c r="V25" s="7"/>
      <c r="W25" s="7">
        <f t="shared" si="1"/>
        <v>3865880</v>
      </c>
      <c r="X25" s="7"/>
      <c r="Y25" s="7">
        <v>9530079</v>
      </c>
      <c r="Z25" s="7"/>
      <c r="AA25" s="7">
        <f>+'Stmt net assets'!AC25</f>
        <v>9946723</v>
      </c>
      <c r="AB25" s="7"/>
      <c r="AC25" s="7">
        <f>+Y25+'Stmt of activities-GA rev'!AC25-'Stmt of activities-GAexp'!W25-AA25</f>
        <v>0</v>
      </c>
    </row>
    <row r="26" spans="1:29" ht="12.75" customHeight="1" x14ac:dyDescent="0.2">
      <c r="A26" s="10" t="s">
        <v>33</v>
      </c>
      <c r="C26" s="10" t="s">
        <v>34</v>
      </c>
      <c r="E26" s="7">
        <v>3939838</v>
      </c>
      <c r="F26" s="7"/>
      <c r="G26" s="7">
        <v>158890</v>
      </c>
      <c r="H26" s="7"/>
      <c r="I26" s="7">
        <v>574576</v>
      </c>
      <c r="J26" s="7"/>
      <c r="K26" s="7">
        <v>356260</v>
      </c>
      <c r="L26" s="7"/>
      <c r="M26" s="7">
        <v>1161863</v>
      </c>
      <c r="N26" s="7"/>
      <c r="O26" s="7">
        <v>389290</v>
      </c>
      <c r="P26" s="7"/>
      <c r="Q26" s="7">
        <v>2048409</v>
      </c>
      <c r="R26" s="7"/>
      <c r="S26" s="7">
        <v>0</v>
      </c>
      <c r="T26" s="7"/>
      <c r="U26" s="7">
        <v>51043</v>
      </c>
      <c r="V26" s="7"/>
      <c r="W26" s="7">
        <f t="shared" si="1"/>
        <v>8680169</v>
      </c>
      <c r="X26" s="7"/>
      <c r="Y26" s="7">
        <v>29015527</v>
      </c>
      <c r="Z26" s="7"/>
      <c r="AA26" s="7">
        <f>+'Stmt net assets'!AC26</f>
        <v>30436724</v>
      </c>
      <c r="AB26" s="7"/>
      <c r="AC26" s="7">
        <f>+Y26+'Stmt of activities-GA rev'!AC26-'Stmt of activities-GAexp'!W26-AA26</f>
        <v>0</v>
      </c>
    </row>
    <row r="27" spans="1:29" ht="12.75" customHeight="1" x14ac:dyDescent="0.2">
      <c r="A27" s="10" t="s">
        <v>35</v>
      </c>
      <c r="C27" s="10" t="s">
        <v>36</v>
      </c>
      <c r="E27" s="7">
        <v>2632821</v>
      </c>
      <c r="F27" s="7"/>
      <c r="G27" s="7">
        <v>189518</v>
      </c>
      <c r="H27" s="7"/>
      <c r="I27" s="7">
        <v>568312</v>
      </c>
      <c r="J27" s="7"/>
      <c r="K27" s="7">
        <v>136396</v>
      </c>
      <c r="L27" s="7"/>
      <c r="M27" s="7">
        <v>753765</v>
      </c>
      <c r="N27" s="7"/>
      <c r="O27" s="7">
        <v>0</v>
      </c>
      <c r="P27" s="7"/>
      <c r="Q27" s="7">
        <f>1451077+324074</f>
        <v>1775151</v>
      </c>
      <c r="R27" s="7"/>
      <c r="S27" s="7">
        <v>0</v>
      </c>
      <c r="T27" s="7"/>
      <c r="U27" s="7">
        <v>73030</v>
      </c>
      <c r="V27" s="7"/>
      <c r="W27" s="7">
        <f t="shared" si="1"/>
        <v>6128993</v>
      </c>
      <c r="X27" s="7"/>
      <c r="Y27" s="7">
        <v>17397658</v>
      </c>
      <c r="Z27" s="7"/>
      <c r="AA27" s="7">
        <f>+'Stmt net assets'!AC27</f>
        <v>17052487</v>
      </c>
      <c r="AB27" s="7"/>
      <c r="AC27" s="7">
        <f>+Y27+'Stmt of activities-GA rev'!AC27-'Stmt of activities-GAexp'!W27-AA27</f>
        <v>0</v>
      </c>
    </row>
    <row r="28" spans="1:29" ht="12.75" customHeight="1" x14ac:dyDescent="0.2">
      <c r="A28" s="10" t="s">
        <v>37</v>
      </c>
      <c r="C28" s="10" t="s">
        <v>38</v>
      </c>
      <c r="E28" s="7">
        <f>1208638+243331</f>
        <v>1451969</v>
      </c>
      <c r="F28" s="7"/>
      <c r="G28" s="7">
        <v>695750</v>
      </c>
      <c r="H28" s="7"/>
      <c r="I28" s="7">
        <f>144988+132575+108106</f>
        <v>385669</v>
      </c>
      <c r="J28" s="7"/>
      <c r="K28" s="7">
        <v>0</v>
      </c>
      <c r="L28" s="7"/>
      <c r="M28" s="7">
        <v>1148914</v>
      </c>
      <c r="N28" s="7"/>
      <c r="O28" s="7">
        <v>0</v>
      </c>
      <c r="P28" s="7"/>
      <c r="Q28" s="7">
        <v>581504</v>
      </c>
      <c r="R28" s="7"/>
      <c r="S28" s="7">
        <v>0</v>
      </c>
      <c r="T28" s="7"/>
      <c r="U28" s="7">
        <v>34356</v>
      </c>
      <c r="V28" s="7"/>
      <c r="W28" s="7">
        <f t="shared" si="1"/>
        <v>4298162</v>
      </c>
      <c r="X28" s="7"/>
      <c r="Y28" s="7">
        <v>14481904</v>
      </c>
      <c r="Z28" s="7"/>
      <c r="AA28" s="7">
        <f>+'Stmt net assets'!AC28</f>
        <v>14349071</v>
      </c>
      <c r="AB28" s="7"/>
      <c r="AC28" s="7">
        <f>+Y28+'Stmt of activities-GA rev'!AC28-'Stmt of activities-GAexp'!W28-AA28</f>
        <v>0</v>
      </c>
    </row>
    <row r="29" spans="1:29" ht="12.75" customHeight="1" x14ac:dyDescent="0.2">
      <c r="A29" s="10" t="s">
        <v>39</v>
      </c>
      <c r="C29" s="10" t="s">
        <v>25</v>
      </c>
      <c r="E29" s="7">
        <v>6755965</v>
      </c>
      <c r="F29" s="7"/>
      <c r="G29" s="7">
        <v>155326</v>
      </c>
      <c r="H29" s="7"/>
      <c r="I29" s="7">
        <v>3262399</v>
      </c>
      <c r="J29" s="7"/>
      <c r="K29" s="7">
        <v>465302</v>
      </c>
      <c r="L29" s="7"/>
      <c r="M29" s="7">
        <v>4557209</v>
      </c>
      <c r="N29" s="7"/>
      <c r="O29" s="7">
        <v>1167636</v>
      </c>
      <c r="P29" s="7"/>
      <c r="Q29" s="7">
        <v>6992774</v>
      </c>
      <c r="R29" s="7"/>
      <c r="S29" s="7">
        <v>0</v>
      </c>
      <c r="T29" s="7"/>
      <c r="U29" s="7">
        <v>435179</v>
      </c>
      <c r="V29" s="7"/>
      <c r="W29" s="7">
        <f t="shared" si="1"/>
        <v>23791790</v>
      </c>
      <c r="X29" s="7"/>
      <c r="Y29" s="7">
        <v>68558700</v>
      </c>
      <c r="Z29" s="7"/>
      <c r="AA29" s="7">
        <f>+'Stmt net assets'!AC29</f>
        <v>68131943</v>
      </c>
      <c r="AB29" s="7"/>
      <c r="AC29" s="7">
        <f>+Y29+'Stmt of activities-GA rev'!AC29-'Stmt of activities-GAexp'!W29-AA29</f>
        <v>0</v>
      </c>
    </row>
    <row r="30" spans="1:29" ht="12.75" customHeight="1" x14ac:dyDescent="0.2">
      <c r="A30" s="10" t="s">
        <v>40</v>
      </c>
      <c r="C30" s="10" t="s">
        <v>41</v>
      </c>
      <c r="E30" s="7">
        <v>6175964</v>
      </c>
      <c r="F30" s="7"/>
      <c r="G30" s="7">
        <v>80648</v>
      </c>
      <c r="H30" s="7"/>
      <c r="I30" s="7">
        <v>1552988</v>
      </c>
      <c r="J30" s="7"/>
      <c r="K30" s="7">
        <v>18088</v>
      </c>
      <c r="L30" s="7"/>
      <c r="M30" s="7">
        <v>2039511</v>
      </c>
      <c r="N30" s="7"/>
      <c r="O30" s="7">
        <v>0</v>
      </c>
      <c r="P30" s="7"/>
      <c r="Q30" s="7">
        <v>2816517</v>
      </c>
      <c r="R30" s="7"/>
      <c r="S30" s="7">
        <v>0</v>
      </c>
      <c r="T30" s="7"/>
      <c r="U30" s="7">
        <v>699869</v>
      </c>
      <c r="V30" s="7"/>
      <c r="W30" s="7">
        <f t="shared" si="1"/>
        <v>13383585</v>
      </c>
      <c r="X30" s="7"/>
      <c r="Y30" s="7">
        <v>20773039</v>
      </c>
      <c r="Z30" s="7"/>
      <c r="AA30" s="7">
        <f>+'Stmt net assets'!AC30</f>
        <v>21353732</v>
      </c>
      <c r="AB30" s="7"/>
      <c r="AC30" s="7">
        <f>+Y30+'Stmt of activities-GA rev'!AC30-'Stmt of activities-GAexp'!W30-AA30</f>
        <v>0</v>
      </c>
    </row>
    <row r="31" spans="1:29" ht="12.75" customHeight="1" x14ac:dyDescent="0.2">
      <c r="A31" s="10" t="s">
        <v>42</v>
      </c>
      <c r="C31" s="10" t="s">
        <v>43</v>
      </c>
      <c r="E31" s="7">
        <v>11006802</v>
      </c>
      <c r="F31" s="7"/>
      <c r="G31" s="7">
        <v>0</v>
      </c>
      <c r="H31" s="7"/>
      <c r="I31" s="7">
        <v>6478840</v>
      </c>
      <c r="J31" s="7"/>
      <c r="K31" s="7">
        <v>1464789</v>
      </c>
      <c r="L31" s="7"/>
      <c r="M31" s="7">
        <v>4518985</v>
      </c>
      <c r="N31" s="7"/>
      <c r="O31" s="7">
        <v>0</v>
      </c>
      <c r="P31" s="7"/>
      <c r="Q31" s="7">
        <v>9628004</v>
      </c>
      <c r="R31" s="7"/>
      <c r="S31" s="7">
        <v>0</v>
      </c>
      <c r="T31" s="7"/>
      <c r="U31" s="7">
        <v>2417896</v>
      </c>
      <c r="V31" s="7"/>
      <c r="W31" s="7">
        <f t="shared" si="1"/>
        <v>35515316</v>
      </c>
      <c r="X31" s="7"/>
      <c r="Y31" s="7">
        <v>76575853</v>
      </c>
      <c r="Z31" s="7"/>
      <c r="AA31" s="7">
        <f>+'Stmt net assets'!AC31</f>
        <v>87093130</v>
      </c>
      <c r="AB31" s="7"/>
      <c r="AC31" s="7">
        <f>+Y31+'Stmt of activities-GA rev'!AC31-'Stmt of activities-GAexp'!W31-AA31</f>
        <v>0</v>
      </c>
    </row>
    <row r="32" spans="1:29" ht="12.75" customHeight="1" x14ac:dyDescent="0.2">
      <c r="A32" s="10" t="s">
        <v>44</v>
      </c>
      <c r="C32" s="10" t="s">
        <v>45</v>
      </c>
      <c r="E32" s="7">
        <f>5430502+5546732</f>
        <v>10977234</v>
      </c>
      <c r="F32" s="7"/>
      <c r="G32" s="7">
        <v>79346</v>
      </c>
      <c r="H32" s="7"/>
      <c r="I32" s="7">
        <v>2147769</v>
      </c>
      <c r="J32" s="7"/>
      <c r="K32" s="7">
        <v>910349</v>
      </c>
      <c r="L32" s="7"/>
      <c r="M32" s="7">
        <v>5532616</v>
      </c>
      <c r="N32" s="7"/>
      <c r="O32" s="7">
        <v>618008</v>
      </c>
      <c r="P32" s="7"/>
      <c r="Q32" s="7">
        <f>1608917+3027525</f>
        <v>4636442</v>
      </c>
      <c r="R32" s="7"/>
      <c r="S32" s="7">
        <v>42958</v>
      </c>
      <c r="T32" s="7"/>
      <c r="U32" s="7">
        <v>997382</v>
      </c>
      <c r="V32" s="7"/>
      <c r="W32" s="7">
        <f t="shared" si="1"/>
        <v>25942104</v>
      </c>
      <c r="X32" s="7"/>
      <c r="Y32" s="7">
        <v>31290496</v>
      </c>
      <c r="Z32" s="7"/>
      <c r="AA32" s="7">
        <f>+'Stmt net assets'!AC32</f>
        <v>37029050</v>
      </c>
      <c r="AB32" s="7"/>
      <c r="AC32" s="7">
        <f>+Y32+'Stmt of activities-GA rev'!AC32-'Stmt of activities-GAexp'!W32-AA32</f>
        <v>0</v>
      </c>
    </row>
    <row r="33" spans="1:30" ht="12.75" customHeight="1" x14ac:dyDescent="0.2">
      <c r="A33" s="10" t="s">
        <v>46</v>
      </c>
      <c r="B33" s="10"/>
      <c r="C33" s="10" t="s">
        <v>25</v>
      </c>
      <c r="E33" s="7">
        <f>4537860+2318180</f>
        <v>6856040</v>
      </c>
      <c r="F33" s="7"/>
      <c r="G33" s="7">
        <v>1092369</v>
      </c>
      <c r="H33" s="7"/>
      <c r="I33" s="7">
        <v>2074033</v>
      </c>
      <c r="J33" s="7"/>
      <c r="K33" s="7">
        <v>962912</v>
      </c>
      <c r="L33" s="7"/>
      <c r="M33" s="7">
        <v>3654599</v>
      </c>
      <c r="N33" s="7"/>
      <c r="O33" s="7">
        <v>2133946</v>
      </c>
      <c r="P33" s="7"/>
      <c r="Q33" s="7">
        <f>5786026+108293</f>
        <v>5894319</v>
      </c>
      <c r="R33" s="7"/>
      <c r="S33" s="7">
        <v>0</v>
      </c>
      <c r="T33" s="7"/>
      <c r="U33" s="7">
        <v>493021</v>
      </c>
      <c r="V33" s="7"/>
      <c r="W33" s="7">
        <f t="shared" si="1"/>
        <v>23161239</v>
      </c>
      <c r="X33" s="7"/>
      <c r="Y33" s="7">
        <v>87693592</v>
      </c>
      <c r="Z33" s="7"/>
      <c r="AA33" s="7">
        <f>+'Stmt net assets'!AC33</f>
        <v>92620599</v>
      </c>
      <c r="AB33" s="7"/>
      <c r="AC33" s="7">
        <f>+Y33+'Stmt of activities-GA rev'!AC33-'Stmt of activities-GAexp'!W33-AA33</f>
        <v>0</v>
      </c>
    </row>
    <row r="34" spans="1:30" ht="12.75" customHeight="1" x14ac:dyDescent="0.2">
      <c r="A34" s="10" t="s">
        <v>47</v>
      </c>
      <c r="C34" s="10" t="s">
        <v>25</v>
      </c>
      <c r="E34" s="7">
        <v>7616958</v>
      </c>
      <c r="F34" s="7"/>
      <c r="G34" s="7">
        <v>339855</v>
      </c>
      <c r="H34" s="7"/>
      <c r="I34" s="7">
        <v>1116981</v>
      </c>
      <c r="J34" s="7"/>
      <c r="K34" s="7">
        <v>476282</v>
      </c>
      <c r="L34" s="7"/>
      <c r="M34" s="7">
        <v>4128106</v>
      </c>
      <c r="N34" s="7"/>
      <c r="O34" s="7">
        <v>945071</v>
      </c>
      <c r="P34" s="7"/>
      <c r="Q34" s="7">
        <v>5383796</v>
      </c>
      <c r="R34" s="7"/>
      <c r="S34" s="7">
        <v>0</v>
      </c>
      <c r="T34" s="7"/>
      <c r="U34" s="7">
        <v>341998</v>
      </c>
      <c r="V34" s="7"/>
      <c r="W34" s="7">
        <f t="shared" si="1"/>
        <v>20349047</v>
      </c>
      <c r="X34" s="7"/>
      <c r="Y34" s="7">
        <v>36021879</v>
      </c>
      <c r="Z34" s="7"/>
      <c r="AA34" s="7">
        <f>+'Stmt net assets'!AC34</f>
        <v>35692586</v>
      </c>
      <c r="AB34" s="7"/>
      <c r="AC34" s="7">
        <f>+Y34+'Stmt of activities-GA rev'!AC34-'Stmt of activities-GAexp'!W34-AA34</f>
        <v>0</v>
      </c>
    </row>
    <row r="35" spans="1:30" ht="12.75" customHeight="1" x14ac:dyDescent="0.2">
      <c r="A35" s="10" t="s">
        <v>48</v>
      </c>
      <c r="C35" s="10" t="s">
        <v>25</v>
      </c>
      <c r="E35" s="7">
        <f>6285180+3780296</f>
        <v>10065476</v>
      </c>
      <c r="F35" s="7"/>
      <c r="G35" s="7">
        <v>314932</v>
      </c>
      <c r="H35" s="7"/>
      <c r="I35" s="7">
        <v>2305024</v>
      </c>
      <c r="J35" s="7"/>
      <c r="K35" s="7">
        <v>1035202</v>
      </c>
      <c r="L35" s="7"/>
      <c r="M35" s="7">
        <v>5176179</v>
      </c>
      <c r="N35" s="7"/>
      <c r="O35" s="7">
        <v>1901555</v>
      </c>
      <c r="P35" s="7"/>
      <c r="Q35" s="7">
        <v>6079533</v>
      </c>
      <c r="R35" s="7"/>
      <c r="S35" s="7">
        <v>0</v>
      </c>
      <c r="T35" s="7"/>
      <c r="U35" s="7">
        <v>98982</v>
      </c>
      <c r="V35" s="7"/>
      <c r="W35" s="7">
        <f t="shared" si="1"/>
        <v>26976883</v>
      </c>
      <c r="X35" s="7"/>
      <c r="Y35" s="7">
        <v>83238333</v>
      </c>
      <c r="Z35" s="7"/>
      <c r="AA35" s="7">
        <f>+'Stmt net assets'!AC35</f>
        <v>83398571</v>
      </c>
      <c r="AB35" s="7"/>
      <c r="AC35" s="7">
        <f>+Y35+'Stmt of activities-GA rev'!AC35-'Stmt of activities-GAexp'!W35-AA35</f>
        <v>0</v>
      </c>
    </row>
    <row r="36" spans="1:30" ht="12.75" customHeight="1" x14ac:dyDescent="0.2">
      <c r="A36" s="10" t="s">
        <v>49</v>
      </c>
      <c r="C36" s="10" t="s">
        <v>25</v>
      </c>
      <c r="E36" s="7">
        <v>8363930</v>
      </c>
      <c r="F36" s="7"/>
      <c r="G36" s="7">
        <v>0</v>
      </c>
      <c r="H36" s="7"/>
      <c r="I36" s="7">
        <v>2207282</v>
      </c>
      <c r="J36" s="7"/>
      <c r="K36" s="7">
        <v>1554439</v>
      </c>
      <c r="L36" s="7"/>
      <c r="M36" s="7">
        <v>963461</v>
      </c>
      <c r="N36" s="7"/>
      <c r="O36" s="7">
        <v>2159415</v>
      </c>
      <c r="P36" s="7"/>
      <c r="Q36" s="7">
        <v>2159779</v>
      </c>
      <c r="R36" s="7"/>
      <c r="S36" s="7">
        <v>0</v>
      </c>
      <c r="T36" s="7"/>
      <c r="U36" s="7">
        <v>385123</v>
      </c>
      <c r="V36" s="7"/>
      <c r="W36" s="7">
        <f t="shared" si="1"/>
        <v>17793429</v>
      </c>
      <c r="X36" s="7"/>
      <c r="Y36" s="7">
        <v>31694585</v>
      </c>
      <c r="Z36" s="7"/>
      <c r="AA36" s="7">
        <f>+'Stmt net assets'!AC36</f>
        <v>35985310</v>
      </c>
      <c r="AB36" s="7"/>
      <c r="AC36" s="7">
        <f>+Y36+'Stmt of activities-GA rev'!AC36-'Stmt of activities-GAexp'!W36-AA36</f>
        <v>0</v>
      </c>
    </row>
    <row r="37" spans="1:30" ht="12.75" customHeight="1" x14ac:dyDescent="0.2">
      <c r="A37" s="10" t="s">
        <v>458</v>
      </c>
      <c r="C37" s="10" t="s">
        <v>64</v>
      </c>
      <c r="E37" s="7">
        <v>2375850</v>
      </c>
      <c r="F37" s="7"/>
      <c r="G37" s="7">
        <v>0</v>
      </c>
      <c r="H37" s="7"/>
      <c r="I37" s="7">
        <v>251057</v>
      </c>
      <c r="J37" s="7"/>
      <c r="K37" s="7">
        <v>0</v>
      </c>
      <c r="L37" s="7"/>
      <c r="M37" s="7">
        <v>1024532</v>
      </c>
      <c r="N37" s="7"/>
      <c r="O37" s="7">
        <v>0</v>
      </c>
      <c r="P37" s="7"/>
      <c r="Q37" s="7">
        <v>1101149</v>
      </c>
      <c r="R37" s="7"/>
      <c r="S37" s="7">
        <v>1480</v>
      </c>
      <c r="T37" s="7"/>
      <c r="U37" s="7">
        <v>40033</v>
      </c>
      <c r="V37" s="7"/>
      <c r="W37" s="7">
        <f t="shared" si="1"/>
        <v>4794101</v>
      </c>
      <c r="X37" s="7"/>
      <c r="Y37" s="7">
        <v>10243835</v>
      </c>
      <c r="Z37" s="7"/>
      <c r="AA37" s="7">
        <f>+'Stmt net assets'!AC37</f>
        <v>10356182</v>
      </c>
      <c r="AB37" s="7"/>
      <c r="AC37" s="7">
        <f>+Y37+'Stmt of activities-GA rev'!AC37-'Stmt of activities-GAexp'!W37-AA37</f>
        <v>0</v>
      </c>
    </row>
    <row r="38" spans="1:30" ht="12.75" customHeight="1" x14ac:dyDescent="0.2">
      <c r="A38" s="10" t="s">
        <v>50</v>
      </c>
      <c r="C38" s="10" t="s">
        <v>51</v>
      </c>
      <c r="E38" s="7">
        <v>10120936</v>
      </c>
      <c r="F38" s="7"/>
      <c r="G38" s="7">
        <v>29559</v>
      </c>
      <c r="H38" s="7"/>
      <c r="I38" s="7">
        <v>1711382</v>
      </c>
      <c r="J38" s="7"/>
      <c r="K38" s="7">
        <v>2162920</v>
      </c>
      <c r="L38" s="7"/>
      <c r="M38" s="7">
        <v>2717459</v>
      </c>
      <c r="N38" s="7"/>
      <c r="O38" s="7">
        <v>0</v>
      </c>
      <c r="P38" s="7"/>
      <c r="Q38" s="7">
        <v>2654847</v>
      </c>
      <c r="R38" s="7"/>
      <c r="S38" s="7">
        <v>0</v>
      </c>
      <c r="T38" s="7"/>
      <c r="U38" s="7">
        <v>113074</v>
      </c>
      <c r="V38" s="7"/>
      <c r="W38" s="7">
        <f t="shared" si="1"/>
        <v>19510177</v>
      </c>
      <c r="X38" s="7"/>
      <c r="Y38" s="7">
        <v>58794690</v>
      </c>
      <c r="Z38" s="7"/>
      <c r="AA38" s="7">
        <f>+'Stmt net assets'!AC38</f>
        <v>64480817</v>
      </c>
      <c r="AB38" s="7"/>
      <c r="AC38" s="7">
        <f>+Y38+'Stmt of activities-GA rev'!AC38-'Stmt of activities-GAexp'!W38-AA38</f>
        <v>0</v>
      </c>
    </row>
    <row r="39" spans="1:30" ht="12.75" customHeight="1" x14ac:dyDescent="0.2">
      <c r="A39" s="10" t="s">
        <v>52</v>
      </c>
      <c r="C39" s="10" t="s">
        <v>53</v>
      </c>
      <c r="E39" s="7">
        <v>2865109</v>
      </c>
      <c r="F39" s="7"/>
      <c r="G39" s="7">
        <v>30880</v>
      </c>
      <c r="H39" s="7"/>
      <c r="I39" s="7">
        <v>1082170</v>
      </c>
      <c r="J39" s="7"/>
      <c r="K39" s="7">
        <v>165754</v>
      </c>
      <c r="L39" s="7"/>
      <c r="M39" s="7">
        <v>1414820</v>
      </c>
      <c r="N39" s="7"/>
      <c r="O39" s="7">
        <v>0</v>
      </c>
      <c r="P39" s="7"/>
      <c r="Q39" s="7">
        <v>3537350</v>
      </c>
      <c r="R39" s="7"/>
      <c r="S39" s="7">
        <v>0</v>
      </c>
      <c r="T39" s="7"/>
      <c r="U39" s="7">
        <v>178910</v>
      </c>
      <c r="V39" s="7"/>
      <c r="W39" s="7">
        <f t="shared" si="1"/>
        <v>9274993</v>
      </c>
      <c r="X39" s="7"/>
      <c r="Y39" s="7">
        <v>38802673</v>
      </c>
      <c r="Z39" s="7"/>
      <c r="AA39" s="7">
        <f>+'Stmt net assets'!AC39</f>
        <v>39119741</v>
      </c>
      <c r="AB39" s="7"/>
      <c r="AC39" s="7">
        <f>+Y39+'Stmt of activities-GA rev'!AC39-'Stmt of activities-GAexp'!W39-AA39</f>
        <v>0</v>
      </c>
    </row>
    <row r="40" spans="1:30" ht="12.75" customHeight="1" x14ac:dyDescent="0.2">
      <c r="A40" s="10" t="s">
        <v>54</v>
      </c>
      <c r="C40" s="10" t="s">
        <v>55</v>
      </c>
      <c r="E40" s="7">
        <f>1818341+1273869+157654</f>
        <v>3249864</v>
      </c>
      <c r="F40" s="7"/>
      <c r="G40" s="7">
        <v>251137</v>
      </c>
      <c r="H40" s="7"/>
      <c r="I40" s="7">
        <v>130333</v>
      </c>
      <c r="J40" s="7"/>
      <c r="K40" s="7">
        <v>658</v>
      </c>
      <c r="L40" s="7"/>
      <c r="M40" s="7">
        <v>1578312</v>
      </c>
      <c r="N40" s="7"/>
      <c r="O40" s="7">
        <v>0</v>
      </c>
      <c r="P40" s="7"/>
      <c r="Q40" s="7">
        <v>1098392</v>
      </c>
      <c r="R40" s="7"/>
      <c r="S40" s="7">
        <v>0</v>
      </c>
      <c r="T40" s="7"/>
      <c r="U40" s="7">
        <v>20175</v>
      </c>
      <c r="V40" s="7"/>
      <c r="W40" s="7">
        <f t="shared" si="1"/>
        <v>6328871</v>
      </c>
      <c r="X40" s="7"/>
      <c r="Y40" s="7">
        <v>19892058</v>
      </c>
      <c r="Z40" s="7"/>
      <c r="AA40" s="7">
        <f>+'Stmt net assets'!AC40</f>
        <v>20691167</v>
      </c>
      <c r="AB40" s="7"/>
      <c r="AC40" s="7">
        <f>+Y40+'Stmt of activities-GA rev'!AC40-'Stmt of activities-GAexp'!W40-AA40</f>
        <v>0</v>
      </c>
    </row>
    <row r="41" spans="1:30" ht="12.75" customHeight="1" x14ac:dyDescent="0.2">
      <c r="A41" s="10" t="s">
        <v>56</v>
      </c>
      <c r="C41" s="10" t="s">
        <v>57</v>
      </c>
      <c r="E41" s="7">
        <v>4671126</v>
      </c>
      <c r="F41" s="7"/>
      <c r="G41" s="7">
        <v>320388</v>
      </c>
      <c r="H41" s="7"/>
      <c r="I41" s="7">
        <v>1117400</v>
      </c>
      <c r="J41" s="7"/>
      <c r="K41" s="7">
        <v>480517</v>
      </c>
      <c r="L41" s="7"/>
      <c r="M41" s="7">
        <v>2602328</v>
      </c>
      <c r="N41" s="7"/>
      <c r="O41" s="7">
        <v>0</v>
      </c>
      <c r="P41" s="7"/>
      <c r="Q41" s="7">
        <v>3146257</v>
      </c>
      <c r="R41" s="7"/>
      <c r="S41" s="7">
        <v>0</v>
      </c>
      <c r="T41" s="7"/>
      <c r="U41" s="7">
        <v>195759</v>
      </c>
      <c r="V41" s="7"/>
      <c r="W41" s="7">
        <f t="shared" si="1"/>
        <v>12533775</v>
      </c>
      <c r="X41" s="7"/>
      <c r="Y41" s="7">
        <v>26804545</v>
      </c>
      <c r="Z41" s="7"/>
      <c r="AA41" s="7">
        <f>+'Stmt net assets'!AC41</f>
        <v>29124205</v>
      </c>
      <c r="AB41" s="7"/>
      <c r="AC41" s="7">
        <f>+Y41+'Stmt of activities-GA rev'!AC41-'Stmt of activities-GAexp'!W41-AA41</f>
        <v>0</v>
      </c>
    </row>
    <row r="42" spans="1:30" ht="12.75" customHeight="1" x14ac:dyDescent="0.2">
      <c r="A42" s="10" t="s">
        <v>509</v>
      </c>
      <c r="C42" s="10" t="s">
        <v>59</v>
      </c>
      <c r="E42" s="7">
        <f>1206769+627188</f>
        <v>1833957</v>
      </c>
      <c r="F42" s="7"/>
      <c r="G42" s="7">
        <v>0</v>
      </c>
      <c r="H42" s="7"/>
      <c r="I42" s="7">
        <v>503451</v>
      </c>
      <c r="J42" s="7"/>
      <c r="K42" s="7">
        <v>474483</v>
      </c>
      <c r="L42" s="7"/>
      <c r="M42" s="7">
        <v>589345</v>
      </c>
      <c r="N42" s="7"/>
      <c r="O42" s="7">
        <v>0</v>
      </c>
      <c r="P42" s="7"/>
      <c r="Q42" s="7">
        <v>1209834</v>
      </c>
      <c r="R42" s="7"/>
      <c r="S42" s="7">
        <v>0</v>
      </c>
      <c r="T42" s="7"/>
      <c r="U42" s="7">
        <v>27727</v>
      </c>
      <c r="V42" s="7"/>
      <c r="W42" s="7">
        <f t="shared" ref="W42" si="3">SUM(E42:U42)</f>
        <v>4638797</v>
      </c>
      <c r="X42" s="7"/>
      <c r="Y42" s="7">
        <v>5530062</v>
      </c>
      <c r="Z42" s="7"/>
      <c r="AA42" s="7">
        <f>+'Stmt net assets'!AC42</f>
        <v>5954784</v>
      </c>
      <c r="AB42" s="7"/>
      <c r="AC42" s="7">
        <f>+Y42+'Stmt of activities-GA rev'!AC42-'Stmt of activities-GAexp'!W42-AA42</f>
        <v>0</v>
      </c>
    </row>
    <row r="43" spans="1:30" ht="12.75" customHeight="1" x14ac:dyDescent="0.2">
      <c r="A43" s="10" t="s">
        <v>470</v>
      </c>
      <c r="C43" s="10" t="s">
        <v>13</v>
      </c>
      <c r="E43" s="7">
        <v>1401939</v>
      </c>
      <c r="F43" s="7"/>
      <c r="G43" s="7">
        <v>0</v>
      </c>
      <c r="H43" s="7"/>
      <c r="I43" s="7">
        <v>140071</v>
      </c>
      <c r="J43" s="7"/>
      <c r="K43" s="7">
        <v>0</v>
      </c>
      <c r="L43" s="7"/>
      <c r="M43" s="7">
        <v>439701</v>
      </c>
      <c r="N43" s="7"/>
      <c r="O43" s="7">
        <v>0</v>
      </c>
      <c r="P43" s="7"/>
      <c r="Q43" s="7">
        <v>690025</v>
      </c>
      <c r="R43" s="7"/>
      <c r="S43" s="7">
        <v>0</v>
      </c>
      <c r="T43" s="7"/>
      <c r="U43" s="7">
        <v>57128</v>
      </c>
      <c r="V43" s="7"/>
      <c r="W43" s="7">
        <f t="shared" si="1"/>
        <v>2728864</v>
      </c>
      <c r="X43" s="7"/>
      <c r="Y43" s="7">
        <v>10645618</v>
      </c>
      <c r="Z43" s="7"/>
      <c r="AA43" s="7">
        <f>+'Stmt net assets'!AC43</f>
        <v>11164012</v>
      </c>
      <c r="AB43" s="7"/>
      <c r="AC43" s="7">
        <f>+Y43+'Stmt of activities-GA rev'!AC43-'Stmt of activities-GAexp'!W43-AA43</f>
        <v>0</v>
      </c>
    </row>
    <row r="44" spans="1:30" ht="12.75" customHeight="1" x14ac:dyDescent="0.2">
      <c r="A44" s="7" t="s">
        <v>493</v>
      </c>
      <c r="B44" s="10"/>
      <c r="C44" s="7" t="s">
        <v>41</v>
      </c>
      <c r="E44" s="7">
        <v>1039037</v>
      </c>
      <c r="F44" s="7"/>
      <c r="G44" s="7">
        <v>37494</v>
      </c>
      <c r="H44" s="7"/>
      <c r="I44" s="7">
        <v>586181</v>
      </c>
      <c r="J44" s="7"/>
      <c r="K44" s="7">
        <v>539657</v>
      </c>
      <c r="L44" s="7"/>
      <c r="M44" s="7">
        <v>958956</v>
      </c>
      <c r="N44" s="7"/>
      <c r="O44" s="7">
        <v>0</v>
      </c>
      <c r="P44" s="7"/>
      <c r="Q44" s="7">
        <v>1878461</v>
      </c>
      <c r="R44" s="7"/>
      <c r="S44" s="7">
        <v>9157</v>
      </c>
      <c r="T44" s="7"/>
      <c r="U44" s="7">
        <v>249128</v>
      </c>
      <c r="V44" s="7"/>
      <c r="W44" s="7">
        <f t="shared" ref="W44" si="4">SUM(E44:U44)</f>
        <v>5298071</v>
      </c>
      <c r="X44" s="7"/>
      <c r="Y44" s="7">
        <v>432068</v>
      </c>
      <c r="Z44" s="7"/>
      <c r="AA44" s="7">
        <f>+'Stmt net assets'!AC44</f>
        <v>4533279</v>
      </c>
      <c r="AB44" s="7"/>
      <c r="AC44" s="7">
        <f>+Y44+'Stmt of activities-GA rev'!AC44-'Stmt of activities-GAexp'!W44-AA44</f>
        <v>0</v>
      </c>
    </row>
    <row r="45" spans="1:30" ht="12.75" customHeight="1" x14ac:dyDescent="0.2">
      <c r="A45" s="10" t="s">
        <v>58</v>
      </c>
      <c r="C45" s="10" t="s">
        <v>59</v>
      </c>
      <c r="E45" s="7">
        <v>2837717</v>
      </c>
      <c r="F45" s="7"/>
      <c r="G45" s="7">
        <v>97882</v>
      </c>
      <c r="H45" s="7"/>
      <c r="I45" s="7">
        <v>98727</v>
      </c>
      <c r="J45" s="7"/>
      <c r="K45" s="7">
        <v>100416</v>
      </c>
      <c r="L45" s="7"/>
      <c r="M45" s="7">
        <v>766629</v>
      </c>
      <c r="N45" s="7"/>
      <c r="O45" s="7">
        <v>0</v>
      </c>
      <c r="P45" s="7"/>
      <c r="Q45" s="7">
        <v>973071</v>
      </c>
      <c r="R45" s="7"/>
      <c r="S45" s="7">
        <v>0</v>
      </c>
      <c r="T45" s="7"/>
      <c r="U45" s="7">
        <v>36966</v>
      </c>
      <c r="V45" s="7"/>
      <c r="W45" s="7">
        <f t="shared" si="1"/>
        <v>4911408</v>
      </c>
      <c r="X45" s="7"/>
      <c r="Y45" s="7">
        <v>16752793</v>
      </c>
      <c r="Z45" s="7"/>
      <c r="AA45" s="7">
        <f>+'Stmt net assets'!AC45</f>
        <v>17002481</v>
      </c>
      <c r="AB45" s="7"/>
      <c r="AC45" s="7">
        <f>+Y45+'Stmt of activities-GA rev'!AC45-'Stmt of activities-GAexp'!W45-AA45</f>
        <v>0</v>
      </c>
    </row>
    <row r="46" spans="1:30" ht="12.75" hidden="1" customHeight="1" x14ac:dyDescent="0.2">
      <c r="A46" s="10" t="s">
        <v>60</v>
      </c>
      <c r="C46" s="10" t="s">
        <v>13</v>
      </c>
      <c r="E46" s="7">
        <v>37355205</v>
      </c>
      <c r="F46" s="7"/>
      <c r="G46" s="7">
        <v>5867708</v>
      </c>
      <c r="H46" s="7"/>
      <c r="I46" s="7">
        <v>2101343</v>
      </c>
      <c r="J46" s="7"/>
      <c r="K46" s="7">
        <v>5080295</v>
      </c>
      <c r="L46" s="7"/>
      <c r="M46" s="7">
        <v>12752256</v>
      </c>
      <c r="N46" s="7"/>
      <c r="O46" s="7">
        <v>0</v>
      </c>
      <c r="P46" s="7"/>
      <c r="Q46" s="7">
        <v>18204815</v>
      </c>
      <c r="R46" s="7"/>
      <c r="S46" s="7">
        <v>0</v>
      </c>
      <c r="T46" s="7"/>
      <c r="U46" s="7">
        <v>573423</v>
      </c>
      <c r="V46" s="7"/>
      <c r="W46" s="7">
        <f t="shared" si="1"/>
        <v>81935045</v>
      </c>
      <c r="X46" s="7"/>
      <c r="Y46" s="7">
        <v>128883922</v>
      </c>
      <c r="Z46" s="7"/>
      <c r="AA46" s="7">
        <f>+'Stmt net assets'!AC46</f>
        <v>128511456</v>
      </c>
      <c r="AB46" s="7"/>
      <c r="AC46" s="7">
        <f>+Y46+'Stmt of activities-GA rev'!AC46-'Stmt of activities-GAexp'!W46-AA46</f>
        <v>0</v>
      </c>
      <c r="AD46" s="7"/>
    </row>
    <row r="47" spans="1:30" ht="12.75" hidden="1" customHeight="1" x14ac:dyDescent="0.2">
      <c r="A47" s="10" t="s">
        <v>479</v>
      </c>
      <c r="C47" s="10" t="s">
        <v>109</v>
      </c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>
        <f t="shared" si="1"/>
        <v>0</v>
      </c>
      <c r="X47" s="7"/>
      <c r="Y47" s="7"/>
      <c r="Z47" s="7"/>
      <c r="AA47" s="7">
        <f>+'Stmt net assets'!AC47</f>
        <v>0</v>
      </c>
      <c r="AB47" s="7"/>
      <c r="AC47" s="7">
        <f>+Y47+'Stmt of activities-GA rev'!AC47-'Stmt of activities-GAexp'!W47-AA47</f>
        <v>0</v>
      </c>
      <c r="AD47" s="7"/>
    </row>
    <row r="48" spans="1:30" ht="12.75" customHeight="1" x14ac:dyDescent="0.2">
      <c r="A48" s="10" t="s">
        <v>61</v>
      </c>
      <c r="C48" s="10" t="s">
        <v>62</v>
      </c>
      <c r="E48" s="7">
        <v>3623129</v>
      </c>
      <c r="F48" s="7"/>
      <c r="G48" s="7">
        <v>79768</v>
      </c>
      <c r="H48" s="7"/>
      <c r="I48" s="7">
        <v>605485</v>
      </c>
      <c r="J48" s="7"/>
      <c r="K48" s="7">
        <v>210756</v>
      </c>
      <c r="L48" s="7"/>
      <c r="M48" s="7">
        <v>1575730</v>
      </c>
      <c r="N48" s="7"/>
      <c r="O48" s="7">
        <v>331022</v>
      </c>
      <c r="P48" s="7"/>
      <c r="Q48" s="7">
        <v>1331811</v>
      </c>
      <c r="R48" s="7"/>
      <c r="S48" s="7">
        <v>234680</v>
      </c>
      <c r="T48" s="7"/>
      <c r="U48" s="7">
        <v>156773</v>
      </c>
      <c r="V48" s="7"/>
      <c r="W48" s="7">
        <f t="shared" si="1"/>
        <v>8149154</v>
      </c>
      <c r="X48" s="7"/>
      <c r="Y48" s="7">
        <v>20479278</v>
      </c>
      <c r="Z48" s="7"/>
      <c r="AA48" s="7">
        <f>+'Stmt net assets'!AC48</f>
        <v>23266783</v>
      </c>
      <c r="AB48" s="7"/>
      <c r="AC48" s="7">
        <f>+Y48+'Stmt of activities-GA rev'!AC48-'Stmt of activities-GAexp'!W48-AA48</f>
        <v>0</v>
      </c>
    </row>
    <row r="49" spans="1:29" ht="12.75" customHeight="1" x14ac:dyDescent="0.2">
      <c r="A49" s="10" t="s">
        <v>63</v>
      </c>
      <c r="C49" s="10" t="s">
        <v>64</v>
      </c>
      <c r="E49" s="7">
        <v>6505994</v>
      </c>
      <c r="F49" s="7"/>
      <c r="G49" s="7">
        <v>0</v>
      </c>
      <c r="H49" s="7"/>
      <c r="I49" s="7">
        <v>291908</v>
      </c>
      <c r="J49" s="7"/>
      <c r="K49" s="7">
        <v>250836</v>
      </c>
      <c r="L49" s="7"/>
      <c r="M49" s="7">
        <v>4190140</v>
      </c>
      <c r="N49" s="7"/>
      <c r="O49" s="7">
        <v>0</v>
      </c>
      <c r="P49" s="7"/>
      <c r="Q49" s="7">
        <v>4974806</v>
      </c>
      <c r="R49" s="7"/>
      <c r="S49" s="7">
        <v>0</v>
      </c>
      <c r="T49" s="7"/>
      <c r="U49" s="7">
        <v>370007</v>
      </c>
      <c r="V49" s="7"/>
      <c r="W49" s="7">
        <f t="shared" si="1"/>
        <v>16583691</v>
      </c>
      <c r="X49" s="7"/>
      <c r="Y49" s="7">
        <v>69396435</v>
      </c>
      <c r="Z49" s="7"/>
      <c r="AA49" s="7">
        <f>+'Stmt net assets'!AC49</f>
        <v>68496803</v>
      </c>
      <c r="AB49" s="7"/>
      <c r="AC49" s="7">
        <f>+Y49+'Stmt of activities-GA rev'!AC49-'Stmt of activities-GAexp'!W49-AA49</f>
        <v>0</v>
      </c>
    </row>
    <row r="50" spans="1:29" ht="12.75" hidden="1" customHeight="1" x14ac:dyDescent="0.2">
      <c r="A50" s="10" t="s">
        <v>65</v>
      </c>
      <c r="C50" s="10" t="s">
        <v>373</v>
      </c>
      <c r="E50" s="7">
        <v>2732300</v>
      </c>
      <c r="F50" s="7"/>
      <c r="G50" s="7">
        <v>86340</v>
      </c>
      <c r="H50" s="7"/>
      <c r="I50" s="7">
        <v>260468</v>
      </c>
      <c r="J50" s="7"/>
      <c r="K50" s="7">
        <v>214571</v>
      </c>
      <c r="L50" s="7"/>
      <c r="M50" s="7">
        <v>2369912</v>
      </c>
      <c r="N50" s="7"/>
      <c r="O50" s="7">
        <v>24</v>
      </c>
      <c r="P50" s="7"/>
      <c r="Q50" s="7">
        <v>3133522</v>
      </c>
      <c r="R50" s="7"/>
      <c r="S50" s="7">
        <v>0</v>
      </c>
      <c r="T50" s="7"/>
      <c r="U50" s="7">
        <v>34328</v>
      </c>
      <c r="V50" s="7"/>
      <c r="W50" s="7">
        <f t="shared" si="1"/>
        <v>8831465</v>
      </c>
      <c r="X50" s="7"/>
      <c r="Y50" s="7">
        <v>41336392</v>
      </c>
      <c r="Z50" s="7"/>
      <c r="AA50" s="7">
        <f>+'Stmt net assets'!AC50</f>
        <v>42017520</v>
      </c>
      <c r="AB50" s="7"/>
      <c r="AC50" s="7">
        <f>+Y50+'Stmt of activities-GA rev'!AC50-'Stmt of activities-GAexp'!W50-AA50</f>
        <v>0</v>
      </c>
    </row>
    <row r="51" spans="1:29" ht="12.75" customHeight="1" x14ac:dyDescent="0.2">
      <c r="A51" s="10" t="s">
        <v>66</v>
      </c>
      <c r="C51" s="10" t="s">
        <v>43</v>
      </c>
      <c r="E51" s="7">
        <v>2094947</v>
      </c>
      <c r="F51" s="7"/>
      <c r="G51" s="7">
        <v>20624</v>
      </c>
      <c r="H51" s="7"/>
      <c r="I51" s="7">
        <v>282755</v>
      </c>
      <c r="J51" s="7"/>
      <c r="K51" s="7">
        <v>118291</v>
      </c>
      <c r="L51" s="7"/>
      <c r="M51" s="7">
        <v>892451</v>
      </c>
      <c r="N51" s="7"/>
      <c r="O51" s="7">
        <v>361177</v>
      </c>
      <c r="P51" s="7"/>
      <c r="Q51" s="7">
        <v>1506163</v>
      </c>
      <c r="R51" s="7"/>
      <c r="S51" s="7">
        <v>0</v>
      </c>
      <c r="T51" s="7"/>
      <c r="U51" s="7">
        <v>43288</v>
      </c>
      <c r="V51" s="7"/>
      <c r="W51" s="7">
        <f t="shared" si="1"/>
        <v>5319696</v>
      </c>
      <c r="X51" s="7"/>
      <c r="Y51" s="7">
        <v>6458581</v>
      </c>
      <c r="Z51" s="7"/>
      <c r="AA51" s="7">
        <f>+'Stmt net assets'!AC51</f>
        <v>6165708</v>
      </c>
      <c r="AB51" s="7"/>
      <c r="AC51" s="7">
        <f>+Y51+'Stmt of activities-GA rev'!AC51-'Stmt of activities-GAexp'!W51-AA51</f>
        <v>0</v>
      </c>
    </row>
    <row r="52" spans="1:29" ht="12.75" hidden="1" customHeight="1" x14ac:dyDescent="0.2">
      <c r="A52" s="10" t="s">
        <v>67</v>
      </c>
      <c r="C52" s="10" t="s">
        <v>68</v>
      </c>
      <c r="E52" s="7">
        <f>5347177+5486905</f>
        <v>10834082</v>
      </c>
      <c r="F52" s="7"/>
      <c r="G52" s="7">
        <v>0</v>
      </c>
      <c r="H52" s="7"/>
      <c r="I52" s="7">
        <v>863046</v>
      </c>
      <c r="J52" s="7"/>
      <c r="K52" s="7">
        <v>1432828</v>
      </c>
      <c r="L52" s="7"/>
      <c r="M52" s="7">
        <v>6504578</v>
      </c>
      <c r="N52" s="7"/>
      <c r="O52" s="7">
        <v>673426</v>
      </c>
      <c r="P52" s="7"/>
      <c r="Q52" s="7">
        <v>5714391</v>
      </c>
      <c r="R52" s="7"/>
      <c r="S52" s="7">
        <v>0</v>
      </c>
      <c r="T52" s="7"/>
      <c r="U52" s="7">
        <v>116032</v>
      </c>
      <c r="V52" s="7"/>
      <c r="W52" s="7">
        <f t="shared" si="1"/>
        <v>26138383</v>
      </c>
      <c r="X52" s="7"/>
      <c r="Y52" s="7">
        <v>42496459</v>
      </c>
      <c r="Z52" s="7"/>
      <c r="AA52" s="7">
        <f>+'Stmt net assets'!AC52</f>
        <v>41120000</v>
      </c>
      <c r="AB52" s="7"/>
      <c r="AC52" s="7">
        <f>+Y52+'Stmt of activities-GA rev'!AC52-'Stmt of activities-GAexp'!W52-AA52</f>
        <v>0</v>
      </c>
    </row>
    <row r="53" spans="1:29" ht="12.75" customHeight="1" x14ac:dyDescent="0.2">
      <c r="A53" s="10" t="s">
        <v>69</v>
      </c>
      <c r="C53" s="10" t="s">
        <v>43</v>
      </c>
      <c r="E53" s="7">
        <v>248347000</v>
      </c>
      <c r="F53" s="7"/>
      <c r="G53" s="7">
        <v>43197000</v>
      </c>
      <c r="H53" s="7"/>
      <c r="I53" s="7">
        <v>44629000</v>
      </c>
      <c r="J53" s="7"/>
      <c r="K53" s="7">
        <v>49744000</v>
      </c>
      <c r="L53" s="7"/>
      <c r="M53" s="7">
        <v>58483000</v>
      </c>
      <c r="N53" s="7"/>
      <c r="O53" s="7">
        <v>47852000</v>
      </c>
      <c r="P53" s="7"/>
      <c r="Q53" s="7">
        <v>111169000</v>
      </c>
      <c r="R53" s="7"/>
      <c r="S53" s="7">
        <v>45047000</v>
      </c>
      <c r="T53" s="7"/>
      <c r="U53" s="7">
        <v>23806000</v>
      </c>
      <c r="V53" s="7"/>
      <c r="W53" s="7">
        <f t="shared" si="1"/>
        <v>672274000</v>
      </c>
      <c r="X53" s="7"/>
      <c r="Y53" s="7">
        <v>853494000</v>
      </c>
      <c r="Z53" s="7"/>
      <c r="AA53" s="7">
        <f>+'Stmt net assets'!AC53</f>
        <v>873695000</v>
      </c>
      <c r="AB53" s="7"/>
      <c r="AC53" s="7">
        <f>+Y53+'Stmt of activities-GA rev'!AC53-'Stmt of activities-GAexp'!W53-AA53</f>
        <v>0</v>
      </c>
    </row>
    <row r="54" spans="1:29" ht="12.75" customHeight="1" x14ac:dyDescent="0.2">
      <c r="A54" s="10" t="s">
        <v>459</v>
      </c>
      <c r="C54" s="10" t="s">
        <v>460</v>
      </c>
      <c r="E54" s="7">
        <f>2579478+1832832+183720</f>
        <v>4596030</v>
      </c>
      <c r="F54" s="7"/>
      <c r="G54" s="7">
        <v>182914</v>
      </c>
      <c r="H54" s="7"/>
      <c r="I54" s="7">
        <f>152550+29660+25341</f>
        <v>207551</v>
      </c>
      <c r="J54" s="7"/>
      <c r="K54" s="7">
        <f>10787+183865</f>
        <v>194652</v>
      </c>
      <c r="L54" s="7"/>
      <c r="M54" s="7">
        <v>2024595</v>
      </c>
      <c r="N54" s="7"/>
      <c r="O54" s="7">
        <v>0</v>
      </c>
      <c r="P54" s="7"/>
      <c r="Q54" s="7">
        <v>2919138</v>
      </c>
      <c r="R54" s="7"/>
      <c r="S54" s="7">
        <v>0</v>
      </c>
      <c r="T54" s="7"/>
      <c r="U54" s="7">
        <v>186414</v>
      </c>
      <c r="V54" s="7"/>
      <c r="W54" s="7">
        <f t="shared" si="1"/>
        <v>10311294</v>
      </c>
      <c r="X54" s="7"/>
      <c r="Y54" s="7">
        <v>25859544</v>
      </c>
      <c r="Z54" s="7"/>
      <c r="AA54" s="7">
        <f>+'Stmt net assets'!AC54</f>
        <v>25931804</v>
      </c>
      <c r="AB54" s="7"/>
      <c r="AC54" s="7">
        <f>+Y54+'Stmt of activities-GA rev'!AC54-'Stmt of activities-GAexp'!W54-AA54</f>
        <v>0</v>
      </c>
    </row>
    <row r="55" spans="1:29" ht="12.75" customHeight="1" x14ac:dyDescent="0.2">
      <c r="A55" s="10" t="s">
        <v>70</v>
      </c>
      <c r="C55" s="10" t="s">
        <v>64</v>
      </c>
      <c r="E55" s="7">
        <v>3490585</v>
      </c>
      <c r="F55" s="7"/>
      <c r="G55" s="7">
        <v>1792</v>
      </c>
      <c r="H55" s="7"/>
      <c r="I55" s="7">
        <v>0</v>
      </c>
      <c r="J55" s="7"/>
      <c r="K55" s="7">
        <v>10138</v>
      </c>
      <c r="L55" s="7"/>
      <c r="M55" s="7">
        <v>1466901</v>
      </c>
      <c r="N55" s="7"/>
      <c r="O55" s="7">
        <v>0</v>
      </c>
      <c r="P55" s="7"/>
      <c r="Q55" s="7">
        <v>2671295</v>
      </c>
      <c r="R55" s="7"/>
      <c r="S55" s="7">
        <v>0</v>
      </c>
      <c r="T55" s="7"/>
      <c r="U55" s="7">
        <v>396629</v>
      </c>
      <c r="V55" s="7"/>
      <c r="W55" s="7">
        <f t="shared" si="1"/>
        <v>8037340</v>
      </c>
      <c r="X55" s="7"/>
      <c r="Y55" s="7">
        <v>14271318</v>
      </c>
      <c r="Z55" s="7"/>
      <c r="AA55" s="7">
        <f>+'Stmt net assets'!AC55</f>
        <v>14792990</v>
      </c>
      <c r="AB55" s="7"/>
      <c r="AC55" s="7">
        <f>+Y55+'Stmt of activities-GA rev'!AC55-'Stmt of activities-GAexp'!W55-AA55</f>
        <v>0</v>
      </c>
    </row>
    <row r="56" spans="1:29" ht="12.75" customHeight="1" x14ac:dyDescent="0.2">
      <c r="A56" s="10" t="s">
        <v>71</v>
      </c>
      <c r="B56" s="10"/>
      <c r="C56" s="10" t="s">
        <v>25</v>
      </c>
      <c r="E56" s="7">
        <v>310745000</v>
      </c>
      <c r="F56" s="7"/>
      <c r="G56" s="7">
        <v>17385000</v>
      </c>
      <c r="H56" s="7"/>
      <c r="I56" s="7">
        <v>0</v>
      </c>
      <c r="J56" s="7"/>
      <c r="K56" s="7">
        <f>70705000+14729000+13845000</f>
        <v>99279000</v>
      </c>
      <c r="L56" s="7"/>
      <c r="M56" s="7">
        <v>0</v>
      </c>
      <c r="N56" s="7"/>
      <c r="O56" s="7">
        <v>128276000</v>
      </c>
      <c r="P56" s="7"/>
      <c r="Q56" s="7">
        <v>106141000</v>
      </c>
      <c r="R56" s="7"/>
      <c r="S56" s="7">
        <v>0</v>
      </c>
      <c r="T56" s="7"/>
      <c r="U56" s="7">
        <v>26153000</v>
      </c>
      <c r="V56" s="7"/>
      <c r="W56" s="7">
        <f t="shared" si="1"/>
        <v>687979000</v>
      </c>
      <c r="X56" s="7"/>
      <c r="Y56" s="7">
        <v>641454000</v>
      </c>
      <c r="Z56" s="7"/>
      <c r="AA56" s="7">
        <f>+'Stmt net assets'!AC56</f>
        <v>682318000</v>
      </c>
      <c r="AB56" s="7"/>
      <c r="AC56" s="7">
        <f>+Y56+'Stmt of activities-GA rev'!AC56-'Stmt of activities-GAexp'!W56-AA56</f>
        <v>0</v>
      </c>
    </row>
    <row r="57" spans="1:29" ht="12.75" customHeight="1" x14ac:dyDescent="0.2">
      <c r="A57" s="10" t="s">
        <v>72</v>
      </c>
      <c r="C57" s="10" t="s">
        <v>25</v>
      </c>
      <c r="E57" s="7">
        <v>21364312</v>
      </c>
      <c r="F57" s="7"/>
      <c r="G57" s="7">
        <v>362027</v>
      </c>
      <c r="H57" s="7"/>
      <c r="I57" s="7">
        <v>3394546</v>
      </c>
      <c r="J57" s="7"/>
      <c r="K57" s="7">
        <v>6339203</v>
      </c>
      <c r="L57" s="7"/>
      <c r="M57" s="7">
        <v>5713581</v>
      </c>
      <c r="N57" s="7"/>
      <c r="O57" s="7">
        <v>2685428</v>
      </c>
      <c r="P57" s="7"/>
      <c r="Q57" s="7">
        <v>15914391</v>
      </c>
      <c r="R57" s="7"/>
      <c r="S57" s="7">
        <v>0</v>
      </c>
      <c r="T57" s="7"/>
      <c r="U57" s="7">
        <v>1054656</v>
      </c>
      <c r="V57" s="7"/>
      <c r="W57" s="7">
        <f t="shared" si="1"/>
        <v>56828144</v>
      </c>
      <c r="X57" s="7"/>
      <c r="Y57" s="7">
        <v>88230627</v>
      </c>
      <c r="Z57" s="7"/>
      <c r="AA57" s="7">
        <f>+'Stmt net assets'!AC57</f>
        <v>91156085</v>
      </c>
      <c r="AB57" s="7"/>
      <c r="AC57" s="7">
        <f>+Y57+'Stmt of activities-GA rev'!AC57-'Stmt of activities-GAexp'!W57-AA57</f>
        <v>0</v>
      </c>
    </row>
    <row r="58" spans="1:29" ht="12.75" customHeight="1" x14ac:dyDescent="0.2">
      <c r="A58" s="10" t="s">
        <v>73</v>
      </c>
      <c r="C58" s="10" t="s">
        <v>74</v>
      </c>
      <c r="E58" s="7">
        <v>2084617</v>
      </c>
      <c r="F58" s="7"/>
      <c r="G58" s="7">
        <v>687891</v>
      </c>
      <c r="H58" s="7"/>
      <c r="I58" s="7">
        <v>197671</v>
      </c>
      <c r="J58" s="7"/>
      <c r="K58" s="7">
        <v>292559</v>
      </c>
      <c r="L58" s="7"/>
      <c r="M58" s="7">
        <v>783452</v>
      </c>
      <c r="N58" s="7"/>
      <c r="O58" s="7">
        <v>0</v>
      </c>
      <c r="P58" s="7"/>
      <c r="Q58" s="7">
        <v>1052800</v>
      </c>
      <c r="R58" s="7"/>
      <c r="S58" s="7">
        <v>0</v>
      </c>
      <c r="T58" s="7"/>
      <c r="U58" s="7">
        <v>167842</v>
      </c>
      <c r="V58" s="7"/>
      <c r="W58" s="7">
        <f t="shared" si="1"/>
        <v>5266832</v>
      </c>
      <c r="X58" s="7"/>
      <c r="Y58" s="7">
        <v>15146445</v>
      </c>
      <c r="Z58" s="7"/>
      <c r="AA58" s="7">
        <f>+'Stmt net assets'!AC58</f>
        <v>17260859</v>
      </c>
      <c r="AB58" s="7"/>
      <c r="AC58" s="7">
        <f>+Y58+'Stmt of activities-GA rev'!AC58-'Stmt of activities-GAexp'!W58-AA58</f>
        <v>0</v>
      </c>
    </row>
    <row r="59" spans="1:29" ht="12.75" hidden="1" customHeight="1" x14ac:dyDescent="0.2">
      <c r="A59" s="10" t="s">
        <v>75</v>
      </c>
      <c r="C59" s="10" t="s">
        <v>41</v>
      </c>
      <c r="E59" s="7">
        <v>525198000</v>
      </c>
      <c r="F59" s="7"/>
      <c r="G59" s="7">
        <v>41785000</v>
      </c>
      <c r="H59" s="7"/>
      <c r="I59" s="7">
        <v>123540000</v>
      </c>
      <c r="J59" s="7"/>
      <c r="K59" s="7">
        <v>99109000</v>
      </c>
      <c r="L59" s="7"/>
      <c r="M59" s="7">
        <v>0</v>
      </c>
      <c r="N59" s="7"/>
      <c r="O59" s="7">
        <v>157133000</v>
      </c>
      <c r="P59" s="7"/>
      <c r="Q59" s="7">
        <v>101167000</v>
      </c>
      <c r="R59" s="7"/>
      <c r="S59" s="7">
        <v>0</v>
      </c>
      <c r="T59" s="7"/>
      <c r="U59" s="7">
        <v>43808000</v>
      </c>
      <c r="V59" s="7"/>
      <c r="W59" s="7">
        <f t="shared" si="1"/>
        <v>1091740000</v>
      </c>
      <c r="X59" s="7"/>
      <c r="Y59" s="7">
        <v>1358534000</v>
      </c>
      <c r="Z59" s="7"/>
      <c r="AA59" s="7">
        <f>+'Stmt net assets'!AC59</f>
        <v>1453935000</v>
      </c>
      <c r="AB59" s="7"/>
      <c r="AC59" s="7">
        <f>+Y59+'Stmt of activities-GA rev'!AC59-'Stmt of activities-GAexp'!W59-AA59</f>
        <v>0</v>
      </c>
    </row>
    <row r="60" spans="1:29" ht="12.75" customHeight="1" x14ac:dyDescent="0.2">
      <c r="A60" s="10" t="s">
        <v>92</v>
      </c>
      <c r="C60" s="10" t="s">
        <v>92</v>
      </c>
      <c r="E60" s="7">
        <v>1547003</v>
      </c>
      <c r="F60" s="7"/>
      <c r="G60" s="7">
        <v>242407</v>
      </c>
      <c r="H60" s="7"/>
      <c r="I60" s="7">
        <v>500226</v>
      </c>
      <c r="J60" s="7"/>
      <c r="K60" s="7">
        <v>0</v>
      </c>
      <c r="L60" s="7"/>
      <c r="M60" s="7">
        <v>642486</v>
      </c>
      <c r="N60" s="7"/>
      <c r="O60" s="7">
        <v>0</v>
      </c>
      <c r="P60" s="7"/>
      <c r="Q60" s="7">
        <v>916678</v>
      </c>
      <c r="R60" s="7"/>
      <c r="S60" s="7">
        <v>0</v>
      </c>
      <c r="T60" s="7"/>
      <c r="U60" s="7">
        <v>0</v>
      </c>
      <c r="V60" s="7"/>
      <c r="W60" s="7">
        <f t="shared" ref="W60" si="5">SUM(E60:U60)</f>
        <v>3848800</v>
      </c>
      <c r="X60" s="7"/>
      <c r="Y60" s="7">
        <v>9379766</v>
      </c>
      <c r="Z60" s="7"/>
      <c r="AA60" s="7">
        <f>+'Stmt net assets'!AC60</f>
        <v>10598915</v>
      </c>
      <c r="AB60" s="7"/>
      <c r="AC60" s="7">
        <f>+Y60+'Stmt of activities-GA rev'!AC60-'Stmt of activities-GAexp'!W60-AA60</f>
        <v>0</v>
      </c>
    </row>
    <row r="61" spans="1:29" ht="12.75" customHeight="1" x14ac:dyDescent="0.2">
      <c r="A61" s="10" t="s">
        <v>76</v>
      </c>
      <c r="C61" s="10" t="s">
        <v>17</v>
      </c>
      <c r="E61" s="7">
        <v>3061292</v>
      </c>
      <c r="F61" s="7"/>
      <c r="G61" s="7">
        <v>190035</v>
      </c>
      <c r="H61" s="7"/>
      <c r="I61" s="7">
        <v>125943</v>
      </c>
      <c r="J61" s="7"/>
      <c r="K61" s="7">
        <v>376556</v>
      </c>
      <c r="L61" s="7"/>
      <c r="M61" s="7">
        <v>1969393</v>
      </c>
      <c r="N61" s="7"/>
      <c r="O61" s="7">
        <v>141999</v>
      </c>
      <c r="P61" s="7"/>
      <c r="Q61" s="7">
        <v>1192152</v>
      </c>
      <c r="R61" s="7"/>
      <c r="S61" s="7">
        <v>0</v>
      </c>
      <c r="T61" s="7"/>
      <c r="U61" s="7">
        <v>72767</v>
      </c>
      <c r="V61" s="7"/>
      <c r="W61" s="7">
        <f t="shared" si="1"/>
        <v>7130137</v>
      </c>
      <c r="X61" s="7"/>
      <c r="Y61" s="7">
        <v>30725256</v>
      </c>
      <c r="Z61" s="7"/>
      <c r="AA61" s="7">
        <f>+'Stmt net assets'!AC61</f>
        <v>30641486</v>
      </c>
      <c r="AB61" s="7"/>
      <c r="AC61" s="7">
        <f>+Y61+'Stmt of activities-GA rev'!AC61-'Stmt of activities-GAexp'!W61-AA61</f>
        <v>0</v>
      </c>
    </row>
    <row r="62" spans="1:29" ht="12.75" customHeight="1" x14ac:dyDescent="0.2">
      <c r="A62" s="10" t="s">
        <v>77</v>
      </c>
      <c r="C62" s="10" t="s">
        <v>78</v>
      </c>
      <c r="E62" s="7">
        <v>2339690</v>
      </c>
      <c r="F62" s="7"/>
      <c r="G62" s="7">
        <v>44</v>
      </c>
      <c r="H62" s="7"/>
      <c r="I62" s="7">
        <v>54466</v>
      </c>
      <c r="J62" s="7"/>
      <c r="K62" s="7">
        <v>118348</v>
      </c>
      <c r="L62" s="7"/>
      <c r="M62" s="7">
        <v>558263</v>
      </c>
      <c r="N62" s="7"/>
      <c r="O62" s="7">
        <v>220581</v>
      </c>
      <c r="P62" s="7"/>
      <c r="Q62" s="7">
        <v>617218</v>
      </c>
      <c r="R62" s="7"/>
      <c r="S62" s="7">
        <v>0</v>
      </c>
      <c r="T62" s="7"/>
      <c r="U62" s="7">
        <v>0</v>
      </c>
      <c r="V62" s="7"/>
      <c r="W62" s="7">
        <f t="shared" si="1"/>
        <v>3908610</v>
      </c>
      <c r="X62" s="7"/>
      <c r="Y62" s="7">
        <v>6324805</v>
      </c>
      <c r="Z62" s="7"/>
      <c r="AA62" s="7">
        <f>+'Stmt net assets'!AC62</f>
        <v>6744154</v>
      </c>
      <c r="AB62" s="7"/>
      <c r="AC62" s="7">
        <f>+Y62+'Stmt of activities-GA rev'!AC62-'Stmt of activities-GAexp'!W62-AA62</f>
        <v>0</v>
      </c>
    </row>
    <row r="63" spans="1:29" ht="12.75" customHeight="1" x14ac:dyDescent="0.2">
      <c r="A63" s="10" t="s">
        <v>79</v>
      </c>
      <c r="C63" s="10" t="s">
        <v>79</v>
      </c>
      <c r="E63" s="7">
        <v>3053427</v>
      </c>
      <c r="F63" s="7"/>
      <c r="G63" s="7">
        <v>1177612</v>
      </c>
      <c r="H63" s="7"/>
      <c r="I63" s="7">
        <v>179047</v>
      </c>
      <c r="J63" s="7"/>
      <c r="K63" s="7">
        <v>15383</v>
      </c>
      <c r="L63" s="7"/>
      <c r="M63" s="7">
        <v>1150179</v>
      </c>
      <c r="N63" s="7"/>
      <c r="O63" s="7">
        <v>0</v>
      </c>
      <c r="P63" s="7"/>
      <c r="Q63" s="7">
        <v>1683860</v>
      </c>
      <c r="R63" s="7"/>
      <c r="S63" s="7">
        <v>164249</v>
      </c>
      <c r="T63" s="7"/>
      <c r="U63" s="7">
        <v>217</v>
      </c>
      <c r="V63" s="7"/>
      <c r="W63" s="7">
        <f t="shared" si="1"/>
        <v>7423974</v>
      </c>
      <c r="X63" s="7"/>
      <c r="Y63" s="7">
        <v>8369716</v>
      </c>
      <c r="Z63" s="7"/>
      <c r="AA63" s="7">
        <f>+'Stmt net assets'!AC63</f>
        <v>8921439</v>
      </c>
      <c r="AB63" s="7"/>
      <c r="AC63" s="7">
        <f>+Y63+'Stmt of activities-GA rev'!AC63-'Stmt of activities-GAexp'!W63-AA63</f>
        <v>0</v>
      </c>
    </row>
    <row r="64" spans="1:29" ht="12.75" hidden="1" customHeight="1" x14ac:dyDescent="0.2">
      <c r="A64" s="10" t="s">
        <v>461</v>
      </c>
      <c r="B64" s="10"/>
      <c r="C64" s="10" t="s">
        <v>55</v>
      </c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>
        <f t="shared" si="1"/>
        <v>0</v>
      </c>
      <c r="X64" s="7"/>
      <c r="Y64" s="7"/>
      <c r="Z64" s="7"/>
      <c r="AA64" s="7">
        <f>+'Stmt net assets'!AC64</f>
        <v>0</v>
      </c>
      <c r="AB64" s="7"/>
      <c r="AC64" s="7">
        <f>+Y64+'Stmt of activities-GA rev'!AC64-'Stmt of activities-GAexp'!W64-AA64</f>
        <v>0</v>
      </c>
    </row>
    <row r="65" spans="1:30" ht="12.75" hidden="1" customHeight="1" x14ac:dyDescent="0.2">
      <c r="A65" s="10" t="s">
        <v>80</v>
      </c>
      <c r="C65" s="10" t="s">
        <v>11</v>
      </c>
      <c r="E65" s="7">
        <v>18943973</v>
      </c>
      <c r="F65" s="7"/>
      <c r="G65" s="7">
        <v>0</v>
      </c>
      <c r="H65" s="7"/>
      <c r="I65" s="7">
        <v>2404181</v>
      </c>
      <c r="J65" s="7"/>
      <c r="K65" s="7">
        <v>2815456</v>
      </c>
      <c r="L65" s="7"/>
      <c r="M65" s="7">
        <v>6666398</v>
      </c>
      <c r="N65" s="7"/>
      <c r="O65" s="7">
        <v>0</v>
      </c>
      <c r="P65" s="7"/>
      <c r="Q65" s="7">
        <v>9011136</v>
      </c>
      <c r="R65" s="7"/>
      <c r="S65" s="7">
        <v>0</v>
      </c>
      <c r="T65" s="7"/>
      <c r="U65" s="7">
        <v>290053</v>
      </c>
      <c r="V65" s="7"/>
      <c r="W65" s="7">
        <f t="shared" si="1"/>
        <v>40131197</v>
      </c>
      <c r="X65" s="7"/>
      <c r="Y65" s="7">
        <v>106169206</v>
      </c>
      <c r="Z65" s="7"/>
      <c r="AA65" s="7">
        <f>+'Stmt net assets'!AC65</f>
        <v>112557461</v>
      </c>
      <c r="AB65" s="7"/>
      <c r="AC65" s="7">
        <f>+Y65+'Stmt of activities-GA rev'!AC65-'Stmt of activities-GAexp'!W65-AA65</f>
        <v>0</v>
      </c>
      <c r="AD65" s="7"/>
    </row>
    <row r="66" spans="1:30" ht="12.75" customHeight="1" x14ac:dyDescent="0.2">
      <c r="A66" s="10" t="s">
        <v>81</v>
      </c>
      <c r="C66" s="10" t="s">
        <v>64</v>
      </c>
      <c r="E66" s="7">
        <v>93120303</v>
      </c>
      <c r="F66" s="7"/>
      <c r="G66" s="7">
        <v>1058361</v>
      </c>
      <c r="H66" s="7"/>
      <c r="I66" s="7">
        <v>0</v>
      </c>
      <c r="J66" s="7"/>
      <c r="K66" s="7">
        <f>31880468+9492689</f>
        <v>41373157</v>
      </c>
      <c r="L66" s="7"/>
      <c r="M66" s="7">
        <v>0</v>
      </c>
      <c r="N66" s="7"/>
      <c r="O66" s="7">
        <v>0</v>
      </c>
      <c r="P66" s="7"/>
      <c r="Q66" s="7">
        <v>15225815</v>
      </c>
      <c r="R66" s="7"/>
      <c r="S66" s="7">
        <f>35672811+3894895+693878</f>
        <v>40261584</v>
      </c>
      <c r="T66" s="7"/>
      <c r="U66" s="7">
        <v>2767292</v>
      </c>
      <c r="V66" s="7"/>
      <c r="W66" s="7">
        <f t="shared" si="1"/>
        <v>193806512</v>
      </c>
      <c r="X66" s="7"/>
      <c r="Y66" s="7">
        <v>451954052</v>
      </c>
      <c r="Z66" s="7"/>
      <c r="AA66" s="7">
        <f>+'Stmt net assets'!AC66</f>
        <v>474326996</v>
      </c>
      <c r="AB66" s="7"/>
      <c r="AC66" s="7">
        <f>+Y66+'Stmt of activities-GA rev'!AC66-'Stmt of activities-GAexp'!W66-AA66</f>
        <v>0</v>
      </c>
    </row>
    <row r="67" spans="1:30" ht="12.75" customHeight="1" x14ac:dyDescent="0.2">
      <c r="A67" s="10" t="s">
        <v>82</v>
      </c>
      <c r="C67" s="10" t="s">
        <v>43</v>
      </c>
      <c r="E67" s="7">
        <v>1137518</v>
      </c>
      <c r="F67" s="7"/>
      <c r="G67" s="7">
        <v>0</v>
      </c>
      <c r="H67" s="7"/>
      <c r="I67" s="7">
        <v>62913</v>
      </c>
      <c r="J67" s="7"/>
      <c r="K67" s="7">
        <v>4055</v>
      </c>
      <c r="L67" s="7"/>
      <c r="M67" s="7">
        <v>0</v>
      </c>
      <c r="N67" s="7"/>
      <c r="O67" s="7">
        <v>481252</v>
      </c>
      <c r="P67" s="7"/>
      <c r="Q67" s="7">
        <v>1040697</v>
      </c>
      <c r="R67" s="7"/>
      <c r="S67" s="7">
        <v>0</v>
      </c>
      <c r="T67" s="7"/>
      <c r="U67" s="7">
        <v>130010</v>
      </c>
      <c r="V67" s="7"/>
      <c r="W67" s="7">
        <f t="shared" si="1"/>
        <v>2856445</v>
      </c>
      <c r="X67" s="7"/>
      <c r="Y67" s="7">
        <v>3571262</v>
      </c>
      <c r="Z67" s="7"/>
      <c r="AA67" s="7">
        <f>+'Stmt net assets'!AC67</f>
        <v>4217532</v>
      </c>
      <c r="AB67" s="7"/>
      <c r="AC67" s="7">
        <f>+Y67+'Stmt of activities-GA rev'!AC67-'Stmt of activities-GAexp'!W67-AA67</f>
        <v>0</v>
      </c>
    </row>
    <row r="68" spans="1:30" s="9" customFormat="1" ht="12.75" customHeight="1" x14ac:dyDescent="0.2">
      <c r="A68" s="9" t="s">
        <v>83</v>
      </c>
      <c r="B68" s="21"/>
      <c r="C68" s="9" t="s">
        <v>83</v>
      </c>
      <c r="E68" s="7">
        <v>5725571</v>
      </c>
      <c r="F68" s="7"/>
      <c r="G68" s="7">
        <v>237991</v>
      </c>
      <c r="H68" s="7"/>
      <c r="I68" s="7">
        <v>820217</v>
      </c>
      <c r="J68" s="7"/>
      <c r="K68" s="7">
        <f>600805+888011</f>
        <v>1488816</v>
      </c>
      <c r="L68" s="7"/>
      <c r="M68" s="7">
        <v>2257425</v>
      </c>
      <c r="N68" s="7"/>
      <c r="O68" s="7">
        <v>0</v>
      </c>
      <c r="P68" s="7"/>
      <c r="Q68" s="7">
        <v>3065260</v>
      </c>
      <c r="R68" s="7"/>
      <c r="S68" s="7">
        <v>0</v>
      </c>
      <c r="T68" s="7"/>
      <c r="U68" s="7">
        <v>124912</v>
      </c>
      <c r="V68" s="7"/>
      <c r="W68" s="7">
        <f>SUM(E68:U68)</f>
        <v>13720192</v>
      </c>
      <c r="X68" s="7"/>
      <c r="Y68" s="7">
        <v>23363953</v>
      </c>
      <c r="Z68" s="7"/>
      <c r="AA68" s="7">
        <f>+'Stmt net assets'!AC68</f>
        <v>22222838</v>
      </c>
      <c r="AC68" s="9">
        <f>+Y68+'Stmt of activities-GA rev'!AC68-'Stmt of activities-GAexp'!W68-AA68</f>
        <v>0</v>
      </c>
    </row>
    <row r="69" spans="1:30" ht="12.75" hidden="1" customHeight="1" x14ac:dyDescent="0.2">
      <c r="A69" s="10" t="s">
        <v>84</v>
      </c>
      <c r="C69" s="10" t="s">
        <v>84</v>
      </c>
      <c r="E69" s="7">
        <f>11745383+3005899</f>
        <v>14751282</v>
      </c>
      <c r="F69" s="7"/>
      <c r="G69" s="7">
        <v>0</v>
      </c>
      <c r="H69" s="7"/>
      <c r="I69" s="7">
        <v>5156440</v>
      </c>
      <c r="J69" s="7"/>
      <c r="K69" s="7">
        <v>705895</v>
      </c>
      <c r="L69" s="7"/>
      <c r="M69" s="7">
        <v>6198603</v>
      </c>
      <c r="N69" s="7"/>
      <c r="O69" s="7">
        <v>0</v>
      </c>
      <c r="P69" s="7"/>
      <c r="Q69" s="7">
        <v>5179186</v>
      </c>
      <c r="R69" s="7"/>
      <c r="S69" s="7">
        <v>1187418</v>
      </c>
      <c r="T69" s="7"/>
      <c r="U69" s="7">
        <v>1369537</v>
      </c>
      <c r="V69" s="7"/>
      <c r="W69" s="7">
        <f>SUM(E69:U69)</f>
        <v>34548361</v>
      </c>
      <c r="X69" s="7"/>
      <c r="Y69" s="7">
        <v>71618106</v>
      </c>
      <c r="Z69" s="7"/>
      <c r="AA69" s="7">
        <f>+'Stmt net assets'!AC69</f>
        <v>71004854</v>
      </c>
      <c r="AB69" s="7"/>
      <c r="AC69" s="7">
        <f>+Y69+'Stmt of activities-GA rev'!AC69-'Stmt of activities-GAexp'!W69-AA69</f>
        <v>0</v>
      </c>
    </row>
    <row r="70" spans="1:30" ht="12.75" customHeight="1" x14ac:dyDescent="0.2">
      <c r="A70" s="9" t="s">
        <v>85</v>
      </c>
      <c r="B70" s="9"/>
      <c r="C70" s="9" t="s">
        <v>86</v>
      </c>
      <c r="D70" s="9"/>
      <c r="E70" s="7">
        <v>2664444</v>
      </c>
      <c r="F70" s="7"/>
      <c r="G70" s="7">
        <v>48106</v>
      </c>
      <c r="H70" s="7"/>
      <c r="I70" s="7">
        <v>539203</v>
      </c>
      <c r="J70" s="7"/>
      <c r="K70" s="7">
        <v>0</v>
      </c>
      <c r="L70" s="7"/>
      <c r="M70" s="7">
        <v>318082</v>
      </c>
      <c r="N70" s="7"/>
      <c r="O70" s="7">
        <v>0</v>
      </c>
      <c r="P70" s="7"/>
      <c r="Q70" s="7">
        <v>409311</v>
      </c>
      <c r="R70" s="7"/>
      <c r="S70" s="7">
        <v>3161</v>
      </c>
      <c r="T70" s="7"/>
      <c r="U70" s="7">
        <v>6986</v>
      </c>
      <c r="V70" s="7"/>
      <c r="W70" s="7">
        <f>SUM(E70:U70)</f>
        <v>3989293</v>
      </c>
      <c r="X70" s="7"/>
      <c r="Y70" s="7">
        <v>4369108</v>
      </c>
      <c r="Z70" s="7"/>
      <c r="AA70" s="7">
        <f>+'Stmt net assets'!AC70</f>
        <v>4264644</v>
      </c>
      <c r="AB70" s="7"/>
      <c r="AC70" s="7">
        <f>+Y70+'Stmt of activities-GA rev'!AC70-'Stmt of activities-GAexp'!W70-AA70</f>
        <v>0</v>
      </c>
    </row>
    <row r="71" spans="1:30" ht="12.75" customHeight="1" x14ac:dyDescent="0.2">
      <c r="A71" s="10" t="s">
        <v>393</v>
      </c>
      <c r="B71" s="42"/>
      <c r="C71" s="10" t="s">
        <v>87</v>
      </c>
      <c r="E71" s="7">
        <v>5094116</v>
      </c>
      <c r="F71" s="7"/>
      <c r="G71" s="7">
        <v>808220</v>
      </c>
      <c r="H71" s="7"/>
      <c r="I71" s="7">
        <v>1134362</v>
      </c>
      <c r="J71" s="7"/>
      <c r="K71" s="7">
        <v>188273</v>
      </c>
      <c r="L71" s="7"/>
      <c r="M71" s="7">
        <v>1815737</v>
      </c>
      <c r="N71" s="7"/>
      <c r="O71" s="7">
        <v>629555</v>
      </c>
      <c r="P71" s="7"/>
      <c r="Q71" s="7">
        <v>1809857</v>
      </c>
      <c r="R71" s="7"/>
      <c r="S71" s="7">
        <v>0</v>
      </c>
      <c r="T71" s="7"/>
      <c r="U71" s="7">
        <v>164403</v>
      </c>
      <c r="V71" s="7"/>
      <c r="W71" s="7">
        <f>SUM(E71:U71)</f>
        <v>11644523</v>
      </c>
      <c r="X71" s="7"/>
      <c r="Y71" s="7">
        <v>19917573</v>
      </c>
      <c r="Z71" s="7"/>
      <c r="AA71" s="7">
        <f>+'Stmt net assets'!AC71</f>
        <v>19772957</v>
      </c>
      <c r="AB71" s="7"/>
      <c r="AC71" s="7">
        <f>+Y71+'Stmt of activities-GA rev'!AC71-'Stmt of activities-GAexp'!W71-AA71</f>
        <v>0</v>
      </c>
    </row>
    <row r="72" spans="1:30" ht="12.75" customHeight="1" x14ac:dyDescent="0.2">
      <c r="A72" s="10" t="s">
        <v>88</v>
      </c>
      <c r="B72" s="42"/>
      <c r="C72" s="10" t="s">
        <v>41</v>
      </c>
      <c r="E72" s="7">
        <v>11422281</v>
      </c>
      <c r="F72" s="7"/>
      <c r="G72" s="7">
        <v>392528</v>
      </c>
      <c r="H72" s="7"/>
      <c r="I72" s="7">
        <v>20328826</v>
      </c>
      <c r="J72" s="7"/>
      <c r="K72" s="7">
        <v>5813759</v>
      </c>
      <c r="L72" s="7"/>
      <c r="M72" s="7">
        <v>12010362</v>
      </c>
      <c r="N72" s="7"/>
      <c r="O72" s="7">
        <v>3524623</v>
      </c>
      <c r="P72" s="7"/>
      <c r="Q72" s="7">
        <v>24396568</v>
      </c>
      <c r="R72" s="7"/>
      <c r="S72" s="7">
        <v>0</v>
      </c>
      <c r="T72" s="7"/>
      <c r="U72" s="7">
        <v>1749887</v>
      </c>
      <c r="V72" s="7"/>
      <c r="W72" s="7">
        <f t="shared" ref="W72" si="6">SUM(E72:U72)</f>
        <v>79638834</v>
      </c>
      <c r="X72" s="7"/>
      <c r="Y72" s="7">
        <v>453557979</v>
      </c>
      <c r="Z72" s="7"/>
      <c r="AA72" s="7">
        <f>+'Stmt net assets'!AC72</f>
        <v>479988835</v>
      </c>
      <c r="AB72" s="7"/>
      <c r="AC72" s="7">
        <f>+Y72+'Stmt of activities-GA rev'!AC72-'Stmt of activities-GAexp'!W72-AA72</f>
        <v>0</v>
      </c>
    </row>
    <row r="73" spans="1:30" ht="12.75" customHeight="1" x14ac:dyDescent="0.2">
      <c r="A73" s="10" t="s">
        <v>482</v>
      </c>
      <c r="B73" s="10"/>
      <c r="C73" s="10" t="s">
        <v>25</v>
      </c>
      <c r="E73" s="7">
        <v>10109964</v>
      </c>
      <c r="F73" s="7"/>
      <c r="G73" s="7">
        <v>0</v>
      </c>
      <c r="H73" s="7"/>
      <c r="I73" s="7">
        <v>702267</v>
      </c>
      <c r="J73" s="7"/>
      <c r="K73" s="7">
        <v>3755247</v>
      </c>
      <c r="L73" s="7"/>
      <c r="M73" s="7">
        <v>1357436</v>
      </c>
      <c r="N73" s="7"/>
      <c r="O73" s="7">
        <v>941135</v>
      </c>
      <c r="P73" s="7"/>
      <c r="Q73" s="7">
        <v>5084961</v>
      </c>
      <c r="R73" s="7"/>
      <c r="S73" s="7">
        <v>0</v>
      </c>
      <c r="T73" s="7"/>
      <c r="U73" s="7">
        <v>19107</v>
      </c>
      <c r="V73" s="7"/>
      <c r="W73" s="7">
        <f t="shared" ref="W73:W86" si="7">SUM(E73:U73)</f>
        <v>21970117</v>
      </c>
      <c r="X73" s="7"/>
      <c r="Y73" s="7">
        <v>23492938</v>
      </c>
      <c r="Z73" s="7"/>
      <c r="AA73" s="7">
        <f>+'Stmt net assets'!AC73</f>
        <v>21920566</v>
      </c>
      <c r="AB73" s="7"/>
      <c r="AC73" s="7">
        <f>+Y73+'Stmt of activities-GA rev'!AC73-'Stmt of activities-GAexp'!W73-AA73</f>
        <v>0</v>
      </c>
    </row>
    <row r="74" spans="1:30" ht="12.75" customHeight="1" x14ac:dyDescent="0.2">
      <c r="A74" s="7" t="s">
        <v>91</v>
      </c>
      <c r="B74" s="10"/>
      <c r="C74" s="7" t="s">
        <v>92</v>
      </c>
      <c r="E74" s="7">
        <v>2980869</v>
      </c>
      <c r="F74" s="7"/>
      <c r="G74" s="7">
        <v>181716</v>
      </c>
      <c r="H74" s="7"/>
      <c r="I74" s="7">
        <v>144687</v>
      </c>
      <c r="J74" s="7"/>
      <c r="K74" s="7">
        <v>605269</v>
      </c>
      <c r="L74" s="7"/>
      <c r="M74" s="7">
        <v>1069453</v>
      </c>
      <c r="N74" s="7"/>
      <c r="O74" s="7">
        <v>0</v>
      </c>
      <c r="P74" s="7"/>
      <c r="Q74" s="7">
        <v>1383056</v>
      </c>
      <c r="R74" s="7"/>
      <c r="S74" s="7">
        <v>0</v>
      </c>
      <c r="T74" s="7"/>
      <c r="U74" s="7">
        <v>123261</v>
      </c>
      <c r="V74" s="7"/>
      <c r="W74" s="7">
        <f t="shared" si="7"/>
        <v>6488311</v>
      </c>
      <c r="X74" s="7"/>
      <c r="Y74" s="7">
        <v>7812913</v>
      </c>
      <c r="Z74" s="7"/>
      <c r="AA74" s="7">
        <f>+'Stmt net assets'!AC74</f>
        <v>11257442</v>
      </c>
      <c r="AB74" s="7"/>
      <c r="AC74" s="7">
        <f>+Y74+'Stmt of activities-GA rev'!AC74-'Stmt of activities-GAexp'!W74-AA74</f>
        <v>0</v>
      </c>
    </row>
    <row r="75" spans="1:30" s="9" customFormat="1" ht="12.75" hidden="1" customHeight="1" x14ac:dyDescent="0.2">
      <c r="A75" s="9" t="s">
        <v>93</v>
      </c>
      <c r="B75" s="21"/>
      <c r="C75" s="9" t="s">
        <v>92</v>
      </c>
      <c r="E75" s="7">
        <v>1106887</v>
      </c>
      <c r="F75" s="7"/>
      <c r="G75" s="7">
        <v>70781</v>
      </c>
      <c r="H75" s="7"/>
      <c r="I75" s="7">
        <v>326145</v>
      </c>
      <c r="J75" s="7"/>
      <c r="K75" s="7">
        <v>162713</v>
      </c>
      <c r="L75" s="7"/>
      <c r="M75" s="7">
        <v>387950</v>
      </c>
      <c r="N75" s="7"/>
      <c r="O75" s="7">
        <v>0</v>
      </c>
      <c r="P75" s="7"/>
      <c r="Q75" s="7">
        <v>573272</v>
      </c>
      <c r="R75" s="7"/>
      <c r="S75" s="7">
        <v>0</v>
      </c>
      <c r="T75" s="7"/>
      <c r="U75" s="7">
        <v>31870</v>
      </c>
      <c r="V75" s="7"/>
      <c r="W75" s="7">
        <f t="shared" si="7"/>
        <v>2659618</v>
      </c>
      <c r="X75" s="7"/>
      <c r="Y75" s="7">
        <v>5319978</v>
      </c>
      <c r="Z75" s="7"/>
      <c r="AA75" s="7">
        <f>+'Stmt net assets'!AC75</f>
        <v>5245390</v>
      </c>
      <c r="AB75" s="7"/>
      <c r="AC75" s="7">
        <f>+Y75+'Stmt of activities-GA rev'!AC75-'Stmt of activities-GAexp'!W75-AA75</f>
        <v>0</v>
      </c>
    </row>
    <row r="76" spans="1:30" ht="12.75" customHeight="1" x14ac:dyDescent="0.2">
      <c r="A76" s="10" t="s">
        <v>89</v>
      </c>
      <c r="C76" s="10" t="s">
        <v>90</v>
      </c>
      <c r="E76" s="7">
        <v>5445966</v>
      </c>
      <c r="F76" s="7"/>
      <c r="G76" s="7">
        <v>168937</v>
      </c>
      <c r="H76" s="7"/>
      <c r="I76" s="7">
        <v>800157</v>
      </c>
      <c r="J76" s="7"/>
      <c r="K76" s="7">
        <v>229724</v>
      </c>
      <c r="L76" s="7"/>
      <c r="M76" s="7">
        <v>2069485</v>
      </c>
      <c r="N76" s="7"/>
      <c r="O76" s="7">
        <v>1285731</v>
      </c>
      <c r="P76" s="7"/>
      <c r="Q76" s="7">
        <v>3700502</v>
      </c>
      <c r="R76" s="7"/>
      <c r="S76" s="7">
        <v>0</v>
      </c>
      <c r="T76" s="7"/>
      <c r="U76" s="7">
        <v>550807</v>
      </c>
      <c r="V76" s="7"/>
      <c r="W76" s="7">
        <f t="shared" si="7"/>
        <v>14251309</v>
      </c>
      <c r="X76" s="7"/>
      <c r="Y76" s="7">
        <v>26354579</v>
      </c>
      <c r="Z76" s="7"/>
      <c r="AA76" s="7">
        <f>+'Stmt net assets'!AC76</f>
        <v>27017485</v>
      </c>
      <c r="AB76" s="7"/>
      <c r="AC76" s="7">
        <f>+Y76+'Stmt of activities-GA rev'!AC76-'Stmt of activities-GAexp'!W76-AA76</f>
        <v>0</v>
      </c>
    </row>
    <row r="77" spans="1:30" ht="12.75" customHeight="1" x14ac:dyDescent="0.2">
      <c r="A77" s="10" t="s">
        <v>94</v>
      </c>
      <c r="C77" s="10" t="s">
        <v>95</v>
      </c>
      <c r="E77" s="7">
        <v>3366944</v>
      </c>
      <c r="F77" s="7"/>
      <c r="G77" s="7">
        <v>177132</v>
      </c>
      <c r="H77" s="7"/>
      <c r="I77" s="7">
        <v>249426</v>
      </c>
      <c r="J77" s="7"/>
      <c r="K77" s="7">
        <v>406486</v>
      </c>
      <c r="L77" s="7"/>
      <c r="M77" s="7">
        <v>1254687</v>
      </c>
      <c r="N77" s="7"/>
      <c r="O77" s="7">
        <v>0</v>
      </c>
      <c r="P77" s="7"/>
      <c r="Q77" s="7">
        <v>2147501</v>
      </c>
      <c r="R77" s="7"/>
      <c r="S77" s="7">
        <v>0</v>
      </c>
      <c r="T77" s="7"/>
      <c r="U77" s="7">
        <v>36422</v>
      </c>
      <c r="V77" s="7"/>
      <c r="W77" s="7">
        <f t="shared" si="7"/>
        <v>7638598</v>
      </c>
      <c r="X77" s="7"/>
      <c r="Y77" s="7">
        <v>13477193</v>
      </c>
      <c r="Z77" s="7"/>
      <c r="AA77" s="7">
        <f>+'Stmt net assets'!AC77</f>
        <v>13404112</v>
      </c>
      <c r="AB77" s="7"/>
      <c r="AC77" s="7">
        <f>+Y77+'Stmt of activities-GA rev'!AC77-'Stmt of activities-GAexp'!W77-AA77</f>
        <v>0</v>
      </c>
    </row>
    <row r="78" spans="1:30" ht="12.75" customHeight="1" x14ac:dyDescent="0.2">
      <c r="A78" s="10" t="s">
        <v>96</v>
      </c>
      <c r="C78" s="10" t="s">
        <v>15</v>
      </c>
      <c r="E78" s="7">
        <v>21038282</v>
      </c>
      <c r="F78" s="7"/>
      <c r="G78" s="7">
        <v>2136818</v>
      </c>
      <c r="H78" s="7"/>
      <c r="I78" s="7">
        <v>1789747</v>
      </c>
      <c r="J78" s="7"/>
      <c r="K78" s="7">
        <v>2266370</v>
      </c>
      <c r="L78" s="7"/>
      <c r="M78" s="7">
        <v>5238609</v>
      </c>
      <c r="N78" s="7"/>
      <c r="O78" s="7">
        <v>0</v>
      </c>
      <c r="P78" s="7"/>
      <c r="Q78" s="7">
        <v>8392523</v>
      </c>
      <c r="R78" s="7"/>
      <c r="S78" s="7">
        <v>0</v>
      </c>
      <c r="T78" s="7"/>
      <c r="U78" s="7">
        <v>1215453</v>
      </c>
      <c r="V78" s="7"/>
      <c r="W78" s="7">
        <f t="shared" si="7"/>
        <v>42077802</v>
      </c>
      <c r="X78" s="7"/>
      <c r="Y78" s="7">
        <v>68845967</v>
      </c>
      <c r="Z78" s="7"/>
      <c r="AA78" s="7">
        <f>+'Stmt net assets'!AC78</f>
        <v>71867689</v>
      </c>
      <c r="AB78" s="7"/>
      <c r="AC78" s="7">
        <f>+Y78+'Stmt of activities-GA rev'!AC78-'Stmt of activities-GAexp'!W78-AA78</f>
        <v>0</v>
      </c>
    </row>
    <row r="79" spans="1:30" ht="12.75" customHeight="1" x14ac:dyDescent="0.2">
      <c r="A79" s="10" t="s">
        <v>97</v>
      </c>
      <c r="C79" s="10" t="s">
        <v>64</v>
      </c>
      <c r="E79" s="7">
        <v>5296595</v>
      </c>
      <c r="F79" s="7"/>
      <c r="G79" s="7">
        <v>5738</v>
      </c>
      <c r="H79" s="7"/>
      <c r="I79" s="7">
        <v>516368</v>
      </c>
      <c r="J79" s="7"/>
      <c r="K79" s="7">
        <v>465318</v>
      </c>
      <c r="L79" s="7"/>
      <c r="M79" s="7">
        <v>3220743</v>
      </c>
      <c r="N79" s="7"/>
      <c r="O79" s="7">
        <v>0</v>
      </c>
      <c r="P79" s="7"/>
      <c r="Q79" s="7">
        <v>1820417</v>
      </c>
      <c r="R79" s="7"/>
      <c r="S79" s="7">
        <v>0</v>
      </c>
      <c r="T79" s="7"/>
      <c r="U79" s="7">
        <v>0</v>
      </c>
      <c r="V79" s="7"/>
      <c r="W79" s="7">
        <f t="shared" si="7"/>
        <v>11325179</v>
      </c>
      <c r="X79" s="7"/>
      <c r="Y79" s="7">
        <v>52361077</v>
      </c>
      <c r="Z79" s="7"/>
      <c r="AA79" s="7">
        <f>+'Stmt net assets'!AC79</f>
        <v>52987841</v>
      </c>
      <c r="AB79" s="7"/>
      <c r="AC79" s="7">
        <f>+Y79+'Stmt of activities-GA rev'!AC79-'Stmt of activities-GAexp'!W79-AA79</f>
        <v>0</v>
      </c>
    </row>
    <row r="80" spans="1:30" ht="12.75" customHeight="1" x14ac:dyDescent="0.2">
      <c r="A80" s="10" t="s">
        <v>98</v>
      </c>
      <c r="C80" s="10" t="s">
        <v>25</v>
      </c>
      <c r="E80" s="7">
        <v>20602865</v>
      </c>
      <c r="F80" s="7"/>
      <c r="G80" s="7">
        <v>275393</v>
      </c>
      <c r="H80" s="7"/>
      <c r="I80" s="7">
        <v>1709689</v>
      </c>
      <c r="J80" s="7"/>
      <c r="K80" s="7">
        <v>2991518</v>
      </c>
      <c r="L80" s="7"/>
      <c r="M80" s="7">
        <v>9489789</v>
      </c>
      <c r="N80" s="7"/>
      <c r="O80" s="7">
        <v>2063996</v>
      </c>
      <c r="P80" s="7"/>
      <c r="Q80" s="7">
        <v>11852103</v>
      </c>
      <c r="R80" s="7"/>
      <c r="S80" s="7">
        <v>0</v>
      </c>
      <c r="T80" s="7"/>
      <c r="U80" s="7">
        <v>1145537</v>
      </c>
      <c r="V80" s="7"/>
      <c r="W80" s="7">
        <f t="shared" si="7"/>
        <v>50130890</v>
      </c>
      <c r="X80" s="7"/>
      <c r="Y80" s="7">
        <v>57909468</v>
      </c>
      <c r="Z80" s="7"/>
      <c r="AA80" s="7">
        <f>+'Stmt net assets'!AC80</f>
        <v>53681857</v>
      </c>
      <c r="AB80" s="7"/>
      <c r="AC80" s="7">
        <f>+Y80+'Stmt of activities-GA rev'!AC80-'Stmt of activities-GAexp'!W80-AA80</f>
        <v>0</v>
      </c>
    </row>
    <row r="81" spans="1:29" ht="12.75" customHeight="1" x14ac:dyDescent="0.2">
      <c r="A81" s="10" t="s">
        <v>99</v>
      </c>
      <c r="C81" s="10" t="s">
        <v>28</v>
      </c>
      <c r="E81" s="7">
        <v>12978270</v>
      </c>
      <c r="F81" s="7"/>
      <c r="G81" s="7">
        <v>96413</v>
      </c>
      <c r="H81" s="7"/>
      <c r="I81" s="7">
        <v>332663</v>
      </c>
      <c r="J81" s="7"/>
      <c r="K81" s="7">
        <v>1374945</v>
      </c>
      <c r="L81" s="7"/>
      <c r="M81" s="7">
        <v>3421331</v>
      </c>
      <c r="N81" s="7"/>
      <c r="O81" s="7">
        <v>0</v>
      </c>
      <c r="P81" s="7"/>
      <c r="Q81" s="7">
        <v>8905813</v>
      </c>
      <c r="R81" s="7"/>
      <c r="S81" s="7">
        <v>223589</v>
      </c>
      <c r="T81" s="7"/>
      <c r="U81" s="7">
        <v>346865</v>
      </c>
      <c r="V81" s="7"/>
      <c r="W81" s="7">
        <f t="shared" si="7"/>
        <v>27679889</v>
      </c>
      <c r="X81" s="7"/>
      <c r="Y81" s="7">
        <v>80096784</v>
      </c>
      <c r="Z81" s="7"/>
      <c r="AA81" s="7">
        <f>+'Stmt net assets'!AC81</f>
        <v>84779467</v>
      </c>
      <c r="AB81" s="7"/>
      <c r="AC81" s="7">
        <f>+Y81+'Stmt of activities-GA rev'!AC81-'Stmt of activities-GAexp'!W81-AA81</f>
        <v>0</v>
      </c>
    </row>
    <row r="82" spans="1:29" ht="12.75" customHeight="1" x14ac:dyDescent="0.2">
      <c r="A82" s="10" t="s">
        <v>100</v>
      </c>
      <c r="C82" s="10" t="s">
        <v>101</v>
      </c>
      <c r="E82" s="7">
        <v>15221095</v>
      </c>
      <c r="F82" s="7"/>
      <c r="G82" s="7">
        <v>21784</v>
      </c>
      <c r="H82" s="7"/>
      <c r="I82" s="7">
        <v>2331119</v>
      </c>
      <c r="J82" s="7"/>
      <c r="K82" s="7">
        <v>1326060</v>
      </c>
      <c r="L82" s="7"/>
      <c r="M82" s="7">
        <v>13741426</v>
      </c>
      <c r="N82" s="7"/>
      <c r="O82" s="7">
        <v>412238</v>
      </c>
      <c r="P82" s="7"/>
      <c r="Q82" s="7">
        <v>7598788</v>
      </c>
      <c r="R82" s="7"/>
      <c r="S82" s="7">
        <v>0</v>
      </c>
      <c r="T82" s="7"/>
      <c r="U82" s="7">
        <v>808963</v>
      </c>
      <c r="V82" s="7"/>
      <c r="W82" s="7">
        <f t="shared" si="7"/>
        <v>41461473</v>
      </c>
      <c r="X82" s="7"/>
      <c r="Y82" s="7">
        <v>92653408</v>
      </c>
      <c r="Z82" s="7"/>
      <c r="AA82" s="7">
        <f>+'Stmt net assets'!AC82</f>
        <v>94061306</v>
      </c>
      <c r="AB82" s="7"/>
      <c r="AC82" s="7">
        <f>+Y82+'Stmt of activities-GA rev'!AC82-'Stmt of activities-GAexp'!W82-AA82</f>
        <v>0</v>
      </c>
    </row>
    <row r="83" spans="1:29" ht="12.75" customHeight="1" x14ac:dyDescent="0.2">
      <c r="A83" s="10" t="s">
        <v>102</v>
      </c>
      <c r="C83" s="10" t="s">
        <v>11</v>
      </c>
      <c r="E83" s="7">
        <v>6370474</v>
      </c>
      <c r="F83" s="7"/>
      <c r="G83" s="7">
        <v>118910</v>
      </c>
      <c r="H83" s="7"/>
      <c r="I83" s="7">
        <v>455823</v>
      </c>
      <c r="J83" s="7"/>
      <c r="K83" s="7">
        <f>361857+10000</f>
        <v>371857</v>
      </c>
      <c r="L83" s="7"/>
      <c r="M83" s="7">
        <v>4115746</v>
      </c>
      <c r="N83" s="7"/>
      <c r="O83" s="7">
        <v>948396</v>
      </c>
      <c r="P83" s="7"/>
      <c r="Q83" s="7">
        <v>3744352</v>
      </c>
      <c r="R83" s="7"/>
      <c r="S83" s="7">
        <v>0</v>
      </c>
      <c r="T83" s="7"/>
      <c r="U83" s="7">
        <v>243267</v>
      </c>
      <c r="V83" s="7"/>
      <c r="W83" s="7">
        <f t="shared" si="7"/>
        <v>16368825</v>
      </c>
      <c r="X83" s="7"/>
      <c r="Y83" s="7">
        <v>73453604</v>
      </c>
      <c r="Z83" s="7"/>
      <c r="AA83" s="7">
        <f>+'Stmt net assets'!AC83</f>
        <v>74663154</v>
      </c>
      <c r="AB83" s="7"/>
      <c r="AC83" s="7">
        <f>+Y83+'Stmt of activities-GA rev'!AC83-'Stmt of activities-GAexp'!W83-AA83</f>
        <v>0</v>
      </c>
    </row>
    <row r="84" spans="1:29" ht="12.75" customHeight="1" x14ac:dyDescent="0.2">
      <c r="A84" s="10" t="s">
        <v>103</v>
      </c>
      <c r="C84" s="10" t="s">
        <v>25</v>
      </c>
      <c r="E84" s="7">
        <v>6622704</v>
      </c>
      <c r="F84" s="7"/>
      <c r="G84" s="7">
        <v>1501</v>
      </c>
      <c r="H84" s="7"/>
      <c r="I84" s="7">
        <v>3653909</v>
      </c>
      <c r="J84" s="7"/>
      <c r="K84" s="7">
        <v>330849</v>
      </c>
      <c r="L84" s="7"/>
      <c r="M84" s="7">
        <v>2356643</v>
      </c>
      <c r="N84" s="7"/>
      <c r="O84" s="7">
        <v>1137831</v>
      </c>
      <c r="P84" s="7"/>
      <c r="Q84" s="7">
        <v>2682040</v>
      </c>
      <c r="R84" s="7"/>
      <c r="S84" s="7">
        <v>0</v>
      </c>
      <c r="T84" s="7"/>
      <c r="U84" s="7">
        <v>1263516</v>
      </c>
      <c r="V84" s="7"/>
      <c r="W84" s="7">
        <f t="shared" si="7"/>
        <v>18048993</v>
      </c>
      <c r="X84" s="7"/>
      <c r="Y84" s="7">
        <v>31041622</v>
      </c>
      <c r="Z84" s="7"/>
      <c r="AA84" s="7">
        <f>+'Stmt net assets'!AC84</f>
        <v>31240810</v>
      </c>
      <c r="AB84" s="7"/>
      <c r="AC84" s="7">
        <f>+Y84+'Stmt of activities-GA rev'!AC84-'Stmt of activities-GAexp'!W84-AA84</f>
        <v>0</v>
      </c>
    </row>
    <row r="85" spans="1:29" ht="12.75" customHeight="1" x14ac:dyDescent="0.2">
      <c r="A85" s="10" t="s">
        <v>104</v>
      </c>
      <c r="C85" s="10" t="s">
        <v>105</v>
      </c>
      <c r="E85" s="7">
        <v>15560367</v>
      </c>
      <c r="F85" s="7"/>
      <c r="G85" s="7">
        <v>1978226</v>
      </c>
      <c r="H85" s="7"/>
      <c r="I85" s="7">
        <v>1229723</v>
      </c>
      <c r="J85" s="7"/>
      <c r="K85" s="7">
        <v>0</v>
      </c>
      <c r="L85" s="7"/>
      <c r="M85" s="7">
        <v>5095585</v>
      </c>
      <c r="N85" s="7"/>
      <c r="O85" s="7">
        <v>0</v>
      </c>
      <c r="P85" s="7"/>
      <c r="Q85" s="7">
        <v>9257857</v>
      </c>
      <c r="R85" s="7"/>
      <c r="S85" s="7">
        <v>0</v>
      </c>
      <c r="T85" s="7"/>
      <c r="U85" s="7">
        <v>421280</v>
      </c>
      <c r="V85" s="7"/>
      <c r="W85" s="7">
        <f t="shared" si="7"/>
        <v>33543038</v>
      </c>
      <c r="X85" s="7"/>
      <c r="Y85" s="7">
        <v>91008774</v>
      </c>
      <c r="Z85" s="7"/>
      <c r="AA85" s="7">
        <f>+'Stmt net assets'!AC85</f>
        <v>94386309</v>
      </c>
      <c r="AB85" s="7"/>
      <c r="AC85" s="7">
        <f>+Y85+'Stmt of activities-GA rev'!AC85-'Stmt of activities-GAexp'!W85-AA85</f>
        <v>0</v>
      </c>
    </row>
    <row r="86" spans="1:29" ht="12.75" customHeight="1" x14ac:dyDescent="0.2">
      <c r="A86" s="10" t="s">
        <v>106</v>
      </c>
      <c r="C86" s="10" t="s">
        <v>43</v>
      </c>
      <c r="E86" s="7">
        <v>9280271</v>
      </c>
      <c r="F86" s="7"/>
      <c r="G86" s="7">
        <v>20710</v>
      </c>
      <c r="H86" s="7"/>
      <c r="I86" s="7">
        <v>288403</v>
      </c>
      <c r="J86" s="7"/>
      <c r="K86" s="7">
        <v>1988253</v>
      </c>
      <c r="L86" s="7"/>
      <c r="M86" s="7">
        <v>2928457</v>
      </c>
      <c r="N86" s="7"/>
      <c r="O86" s="7">
        <v>0</v>
      </c>
      <c r="P86" s="7"/>
      <c r="Q86" s="7">
        <v>3317496</v>
      </c>
      <c r="R86" s="7"/>
      <c r="S86" s="7">
        <v>0</v>
      </c>
      <c r="T86" s="7"/>
      <c r="U86" s="7">
        <v>167374</v>
      </c>
      <c r="V86" s="7"/>
      <c r="W86" s="7">
        <f t="shared" si="7"/>
        <v>17990964</v>
      </c>
      <c r="X86" s="7"/>
      <c r="Y86" s="7">
        <v>50848666</v>
      </c>
      <c r="Z86" s="7"/>
      <c r="AA86" s="7">
        <f>+'Stmt net assets'!AC86</f>
        <v>52174295</v>
      </c>
      <c r="AB86" s="7"/>
      <c r="AC86" s="7">
        <f>+Y86+'Stmt of activities-GA rev'!AC86-'Stmt of activities-GAexp'!W86-AA86</f>
        <v>0</v>
      </c>
    </row>
    <row r="87" spans="1:29" ht="12.75" customHeight="1" x14ac:dyDescent="0.2"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11" t="s">
        <v>478</v>
      </c>
      <c r="AB87" s="7"/>
      <c r="AC87" s="7"/>
    </row>
    <row r="88" spans="1:29" ht="12.75" customHeight="1" x14ac:dyDescent="0.2">
      <c r="A88" s="74" t="s">
        <v>383</v>
      </c>
    </row>
    <row r="89" spans="1:29" ht="12.75" customHeight="1" x14ac:dyDescent="0.2">
      <c r="A89" s="74" t="s">
        <v>505</v>
      </c>
    </row>
    <row r="90" spans="1:29" ht="12.75" customHeight="1" x14ac:dyDescent="0.2">
      <c r="A90" s="74" t="s">
        <v>287</v>
      </c>
    </row>
    <row r="91" spans="1:29" ht="12.75" customHeight="1" x14ac:dyDescent="0.2">
      <c r="A91" s="74" t="s">
        <v>478</v>
      </c>
    </row>
    <row r="92" spans="1:29" ht="12.75" customHeight="1" x14ac:dyDescent="0.2">
      <c r="A92" s="74"/>
      <c r="E92" s="95" t="s">
        <v>418</v>
      </c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81"/>
      <c r="R92" s="81"/>
      <c r="S92" s="81"/>
      <c r="T92" s="81"/>
      <c r="U92" s="81"/>
      <c r="V92" s="82"/>
      <c r="W92" s="82"/>
    </row>
    <row r="93" spans="1:29" ht="12.75" customHeight="1" x14ac:dyDescent="0.2">
      <c r="E93" s="43" t="s">
        <v>394</v>
      </c>
      <c r="V93" s="4"/>
      <c r="Y93" s="43" t="s">
        <v>512</v>
      </c>
      <c r="Z93" s="43"/>
      <c r="AA93" s="43" t="s">
        <v>424</v>
      </c>
    </row>
    <row r="94" spans="1:29" ht="12.75" customHeight="1" x14ac:dyDescent="0.2">
      <c r="A94" s="13"/>
      <c r="C94" s="13"/>
      <c r="E94" s="43" t="s">
        <v>396</v>
      </c>
      <c r="F94" s="43"/>
      <c r="G94" s="43" t="s">
        <v>303</v>
      </c>
      <c r="H94" s="43"/>
      <c r="I94" s="43" t="s">
        <v>304</v>
      </c>
      <c r="J94" s="43"/>
      <c r="K94" s="43" t="s">
        <v>331</v>
      </c>
      <c r="L94" s="43"/>
      <c r="M94" s="43"/>
      <c r="N94" s="43"/>
      <c r="O94" s="43" t="s">
        <v>305</v>
      </c>
      <c r="P94" s="43"/>
      <c r="Q94" s="43" t="s">
        <v>294</v>
      </c>
      <c r="R94" s="43"/>
      <c r="S94" s="43"/>
      <c r="T94" s="43"/>
      <c r="U94" s="43" t="s">
        <v>306</v>
      </c>
      <c r="V94" s="43"/>
      <c r="W94" s="43" t="s">
        <v>5</v>
      </c>
      <c r="X94" s="43"/>
      <c r="Y94" s="43" t="s">
        <v>449</v>
      </c>
      <c r="Z94" s="43"/>
      <c r="AA94" s="43" t="s">
        <v>514</v>
      </c>
      <c r="AC94" s="43" t="s">
        <v>425</v>
      </c>
    </row>
    <row r="95" spans="1:29" ht="12.75" customHeight="1" x14ac:dyDescent="0.2">
      <c r="A95" s="46" t="s">
        <v>6</v>
      </c>
      <c r="C95" s="46" t="s">
        <v>7</v>
      </c>
      <c r="E95" s="89" t="s">
        <v>395</v>
      </c>
      <c r="F95" s="2"/>
      <c r="G95" s="89" t="s">
        <v>307</v>
      </c>
      <c r="H95" s="2"/>
      <c r="I95" s="89" t="s">
        <v>308</v>
      </c>
      <c r="J95" s="2"/>
      <c r="K95" s="89" t="s">
        <v>309</v>
      </c>
      <c r="L95" s="2"/>
      <c r="M95" s="89" t="s">
        <v>310</v>
      </c>
      <c r="N95" s="2"/>
      <c r="O95" s="89" t="s">
        <v>311</v>
      </c>
      <c r="P95" s="2"/>
      <c r="Q95" s="89" t="s">
        <v>312</v>
      </c>
      <c r="R95" s="2"/>
      <c r="S95" s="89" t="s">
        <v>292</v>
      </c>
      <c r="T95" s="2"/>
      <c r="U95" s="89" t="s">
        <v>338</v>
      </c>
      <c r="V95" s="2"/>
      <c r="W95" s="89" t="s">
        <v>372</v>
      </c>
      <c r="X95" s="2"/>
      <c r="Y95" s="89" t="s">
        <v>450</v>
      </c>
      <c r="Z95" s="43"/>
      <c r="AA95" s="89" t="s">
        <v>456</v>
      </c>
      <c r="AC95" s="48" t="s">
        <v>426</v>
      </c>
    </row>
    <row r="96" spans="1:29" ht="12.75" customHeight="1" x14ac:dyDescent="0.2">
      <c r="A96" s="3"/>
      <c r="C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30" s="7" customFormat="1" ht="12.75" customHeight="1" x14ac:dyDescent="0.2">
      <c r="A97" s="7" t="s">
        <v>107</v>
      </c>
      <c r="B97" s="20"/>
      <c r="C97" s="7" t="s">
        <v>108</v>
      </c>
      <c r="E97" s="9">
        <v>5439899</v>
      </c>
      <c r="F97" s="9"/>
      <c r="G97" s="9">
        <v>338534</v>
      </c>
      <c r="H97" s="9"/>
      <c r="I97" s="9">
        <v>156264</v>
      </c>
      <c r="J97" s="9"/>
      <c r="K97" s="9">
        <v>697743</v>
      </c>
      <c r="L97" s="9"/>
      <c r="M97" s="9">
        <v>1088982</v>
      </c>
      <c r="N97" s="9"/>
      <c r="O97" s="9">
        <v>0</v>
      </c>
      <c r="P97" s="9"/>
      <c r="Q97" s="9">
        <v>1539289</v>
      </c>
      <c r="R97" s="9"/>
      <c r="S97" s="9">
        <v>5670</v>
      </c>
      <c r="T97" s="9"/>
      <c r="U97" s="9">
        <v>11895</v>
      </c>
      <c r="V97" s="9"/>
      <c r="W97" s="9">
        <f t="shared" ref="W97:W133" si="8">SUM(E97:U97)</f>
        <v>9278276</v>
      </c>
      <c r="X97" s="9"/>
      <c r="Y97" s="9">
        <v>14143586</v>
      </c>
      <c r="Z97" s="9"/>
      <c r="AA97" s="9">
        <f>+'Stmt net assets'!AC97</f>
        <v>14487921</v>
      </c>
      <c r="AC97" s="7">
        <f>+Y97+'Stmt of activities-GA rev'!AC97-'Stmt of activities-GAexp'!W97-AA97</f>
        <v>0</v>
      </c>
    </row>
    <row r="98" spans="1:30" ht="12.75" customHeight="1" x14ac:dyDescent="0.2">
      <c r="A98" s="10" t="s">
        <v>41</v>
      </c>
      <c r="C98" s="10" t="s">
        <v>109</v>
      </c>
      <c r="E98" s="7">
        <f>3635726+1736803+288079</f>
        <v>5660608</v>
      </c>
      <c r="F98" s="7"/>
      <c r="G98" s="7">
        <v>8567</v>
      </c>
      <c r="H98" s="7"/>
      <c r="I98" s="7">
        <v>326993</v>
      </c>
      <c r="J98" s="7"/>
      <c r="K98" s="7">
        <v>44414</v>
      </c>
      <c r="L98" s="7"/>
      <c r="M98" s="7">
        <v>2225466</v>
      </c>
      <c r="N98" s="7"/>
      <c r="O98" s="7">
        <v>101875</v>
      </c>
      <c r="P98" s="7"/>
      <c r="Q98" s="7">
        <v>2726527</v>
      </c>
      <c r="R98" s="7"/>
      <c r="S98" s="7">
        <v>0</v>
      </c>
      <c r="T98" s="7"/>
      <c r="U98" s="7">
        <v>332436</v>
      </c>
      <c r="V98" s="7"/>
      <c r="W98" s="7">
        <f t="shared" si="8"/>
        <v>11426886</v>
      </c>
      <c r="X98" s="7"/>
      <c r="Y98" s="7">
        <v>50132776</v>
      </c>
      <c r="Z98" s="7"/>
      <c r="AA98" s="7">
        <f>+'Stmt net assets'!AC98</f>
        <v>52812127</v>
      </c>
      <c r="AB98" s="7"/>
      <c r="AC98" s="7">
        <f>+Y98+'Stmt of activities-GA rev'!AC98-'Stmt of activities-GAexp'!W98-AA98</f>
        <v>0</v>
      </c>
    </row>
    <row r="99" spans="1:30" ht="12.75" customHeight="1" x14ac:dyDescent="0.2">
      <c r="A99" s="10" t="s">
        <v>110</v>
      </c>
      <c r="C99" s="10" t="s">
        <v>74</v>
      </c>
      <c r="E99" s="7">
        <v>6419803</v>
      </c>
      <c r="F99" s="7"/>
      <c r="G99" s="7">
        <v>3845</v>
      </c>
      <c r="H99" s="7"/>
      <c r="I99" s="7">
        <v>1961433</v>
      </c>
      <c r="J99" s="7"/>
      <c r="K99" s="7">
        <f>486881+155412</f>
        <v>642293</v>
      </c>
      <c r="L99" s="7"/>
      <c r="M99" s="7">
        <v>1522610</v>
      </c>
      <c r="N99" s="7"/>
      <c r="O99" s="7">
        <v>0</v>
      </c>
      <c r="P99" s="7"/>
      <c r="Q99" s="7">
        <v>2401425</v>
      </c>
      <c r="R99" s="7"/>
      <c r="S99" s="7">
        <v>39979</v>
      </c>
      <c r="T99" s="7"/>
      <c r="U99" s="7">
        <v>106939</v>
      </c>
      <c r="V99" s="7"/>
      <c r="W99" s="7">
        <f t="shared" si="8"/>
        <v>13098327</v>
      </c>
      <c r="X99" s="7"/>
      <c r="Y99" s="7">
        <v>31725623</v>
      </c>
      <c r="Z99" s="7"/>
      <c r="AA99" s="7">
        <f>+'Stmt net assets'!AC99</f>
        <v>31089307</v>
      </c>
      <c r="AB99" s="7"/>
      <c r="AC99" s="7">
        <f>+Y99+'Stmt of activities-GA rev'!AC99-'Stmt of activities-GAexp'!W99-AA99</f>
        <v>0</v>
      </c>
    </row>
    <row r="100" spans="1:30" ht="12.75" hidden="1" customHeight="1" x14ac:dyDescent="0.2">
      <c r="A100" s="10" t="s">
        <v>111</v>
      </c>
      <c r="C100" s="10" t="s">
        <v>41</v>
      </c>
      <c r="E100" s="7">
        <v>8557265</v>
      </c>
      <c r="F100" s="7"/>
      <c r="G100" s="7">
        <v>215060</v>
      </c>
      <c r="H100" s="7"/>
      <c r="I100" s="7">
        <v>2648289</v>
      </c>
      <c r="J100" s="7"/>
      <c r="K100" s="7">
        <v>5769537</v>
      </c>
      <c r="L100" s="7"/>
      <c r="M100" s="7">
        <v>2540710</v>
      </c>
      <c r="N100" s="7"/>
      <c r="O100" s="7">
        <v>2378727</v>
      </c>
      <c r="P100" s="7"/>
      <c r="Q100" s="7">
        <v>4545575</v>
      </c>
      <c r="R100" s="7"/>
      <c r="S100" s="7">
        <v>0</v>
      </c>
      <c r="T100" s="7"/>
      <c r="U100" s="7">
        <v>875324</v>
      </c>
      <c r="V100" s="7"/>
      <c r="W100" s="7">
        <f t="shared" si="8"/>
        <v>27530487</v>
      </c>
      <c r="X100" s="7"/>
      <c r="Y100" s="7">
        <v>99696118</v>
      </c>
      <c r="Z100" s="7"/>
      <c r="AA100" s="7">
        <f>+'Stmt net assets'!AC100</f>
        <v>102693067</v>
      </c>
      <c r="AB100" s="7"/>
      <c r="AC100" s="7">
        <f>+Y100+'Stmt of activities-GA rev'!AC100-'Stmt of activities-GAexp'!W100-AA100</f>
        <v>0</v>
      </c>
    </row>
    <row r="101" spans="1:30" ht="12.75" customHeight="1" x14ac:dyDescent="0.2">
      <c r="A101" s="10" t="s">
        <v>483</v>
      </c>
      <c r="C101" s="10" t="s">
        <v>55</v>
      </c>
      <c r="E101" s="7">
        <f>1833718+1939221</f>
        <v>3772939</v>
      </c>
      <c r="F101" s="7"/>
      <c r="G101" s="7">
        <v>483271</v>
      </c>
      <c r="H101" s="7"/>
      <c r="I101" s="7">
        <v>227646</v>
      </c>
      <c r="J101" s="7"/>
      <c r="K101" s="7">
        <v>157830</v>
      </c>
      <c r="L101" s="7"/>
      <c r="M101" s="7">
        <v>1753591</v>
      </c>
      <c r="N101" s="7"/>
      <c r="O101" s="7">
        <v>0</v>
      </c>
      <c r="P101" s="7"/>
      <c r="Q101" s="7">
        <v>1274710</v>
      </c>
      <c r="R101" s="7"/>
      <c r="S101" s="7">
        <v>0</v>
      </c>
      <c r="T101" s="7"/>
      <c r="U101" s="7">
        <v>97312</v>
      </c>
      <c r="V101" s="7"/>
      <c r="W101" s="7">
        <f t="shared" si="8"/>
        <v>7767299</v>
      </c>
      <c r="X101" s="7"/>
      <c r="Y101" s="7">
        <v>21916854</v>
      </c>
      <c r="Z101" s="7"/>
      <c r="AA101" s="7">
        <f>+'Stmt net assets'!AC101</f>
        <v>22814691</v>
      </c>
      <c r="AB101" s="7"/>
      <c r="AC101" s="7">
        <f>+Y101+'Stmt of activities-GA rev'!AC101-'Stmt of activities-GAexp'!W101-AA101</f>
        <v>0</v>
      </c>
    </row>
    <row r="102" spans="1:30" ht="12.75" customHeight="1" x14ac:dyDescent="0.2">
      <c r="A102" s="10" t="s">
        <v>112</v>
      </c>
      <c r="C102" s="10" t="s">
        <v>25</v>
      </c>
      <c r="E102" s="7">
        <v>12497157</v>
      </c>
      <c r="F102" s="7"/>
      <c r="G102" s="7">
        <v>248973</v>
      </c>
      <c r="H102" s="7"/>
      <c r="I102" s="7">
        <v>785816</v>
      </c>
      <c r="J102" s="7"/>
      <c r="K102" s="7">
        <v>478890</v>
      </c>
      <c r="L102" s="7"/>
      <c r="M102" s="7">
        <v>2749615</v>
      </c>
      <c r="N102" s="7"/>
      <c r="O102" s="7">
        <v>2485275</v>
      </c>
      <c r="P102" s="7"/>
      <c r="Q102" s="7">
        <v>8158184</v>
      </c>
      <c r="R102" s="7"/>
      <c r="S102" s="7">
        <v>0</v>
      </c>
      <c r="T102" s="7"/>
      <c r="U102" s="7">
        <v>1910692</v>
      </c>
      <c r="V102" s="7"/>
      <c r="W102" s="7">
        <f t="shared" si="8"/>
        <v>29314602</v>
      </c>
      <c r="X102" s="7"/>
      <c r="Y102" s="7">
        <v>6876846</v>
      </c>
      <c r="Z102" s="7"/>
      <c r="AA102" s="7">
        <f>+'Stmt net assets'!AC102</f>
        <v>11478890</v>
      </c>
      <c r="AB102" s="7"/>
      <c r="AC102" s="7">
        <f>+Y102+'Stmt of activities-GA rev'!AC102-'Stmt of activities-GAexp'!W102-AA102</f>
        <v>0</v>
      </c>
    </row>
    <row r="103" spans="1:30" ht="12.75" customHeight="1" x14ac:dyDescent="0.2">
      <c r="A103" s="10" t="s">
        <v>113</v>
      </c>
      <c r="C103" s="10" t="s">
        <v>17</v>
      </c>
      <c r="E103" s="7">
        <v>2469822</v>
      </c>
      <c r="F103" s="7"/>
      <c r="G103" s="7">
        <v>0</v>
      </c>
      <c r="H103" s="7"/>
      <c r="I103" s="7">
        <v>261591</v>
      </c>
      <c r="J103" s="7"/>
      <c r="K103" s="7">
        <v>552193</v>
      </c>
      <c r="L103" s="7"/>
      <c r="M103" s="7">
        <v>986095</v>
      </c>
      <c r="N103" s="7"/>
      <c r="O103" s="7">
        <v>0</v>
      </c>
      <c r="P103" s="7"/>
      <c r="Q103" s="7">
        <v>1009328</v>
      </c>
      <c r="R103" s="7"/>
      <c r="S103" s="7">
        <v>0</v>
      </c>
      <c r="T103" s="7"/>
      <c r="U103" s="7">
        <v>135863</v>
      </c>
      <c r="V103" s="7"/>
      <c r="W103" s="7">
        <f t="shared" si="8"/>
        <v>5414892</v>
      </c>
      <c r="X103" s="7"/>
      <c r="Y103" s="7">
        <v>18142884</v>
      </c>
      <c r="Z103" s="7"/>
      <c r="AA103" s="7">
        <f>+'Stmt net assets'!AC103</f>
        <v>17893659</v>
      </c>
      <c r="AB103" s="7"/>
      <c r="AC103" s="7">
        <f>+Y103+'Stmt of activities-GA rev'!AC103-'Stmt of activities-GAexp'!W103-AA103</f>
        <v>0</v>
      </c>
    </row>
    <row r="104" spans="1:30" ht="12.75" customHeight="1" x14ac:dyDescent="0.2">
      <c r="A104" s="10" t="s">
        <v>114</v>
      </c>
      <c r="C104" s="10" t="s">
        <v>78</v>
      </c>
      <c r="E104" s="7">
        <v>3278111</v>
      </c>
      <c r="F104" s="7"/>
      <c r="G104" s="7">
        <v>237543</v>
      </c>
      <c r="H104" s="7"/>
      <c r="I104" s="7">
        <v>279942</v>
      </c>
      <c r="J104" s="7"/>
      <c r="K104" s="7">
        <v>840656</v>
      </c>
      <c r="L104" s="7"/>
      <c r="M104" s="7">
        <v>2085509</v>
      </c>
      <c r="N104" s="7"/>
      <c r="O104" s="7">
        <v>1174537</v>
      </c>
      <c r="P104" s="7"/>
      <c r="Q104" s="7">
        <v>2076173</v>
      </c>
      <c r="R104" s="7"/>
      <c r="S104" s="7">
        <v>0</v>
      </c>
      <c r="T104" s="7"/>
      <c r="U104" s="7">
        <v>113324</v>
      </c>
      <c r="V104" s="7"/>
      <c r="W104" s="7">
        <f t="shared" si="8"/>
        <v>10085795</v>
      </c>
      <c r="X104" s="7"/>
      <c r="Y104" s="7">
        <v>27407613</v>
      </c>
      <c r="Z104" s="7"/>
      <c r="AA104" s="7">
        <f>+'Stmt net assets'!AC104</f>
        <v>27125327</v>
      </c>
      <c r="AB104" s="7"/>
      <c r="AC104" s="7">
        <f>+Y104+'Stmt of activities-GA rev'!AC104-'Stmt of activities-GAexp'!W104-AA104</f>
        <v>0</v>
      </c>
    </row>
    <row r="105" spans="1:30" ht="12.75" customHeight="1" x14ac:dyDescent="0.2">
      <c r="A105" s="10" t="s">
        <v>115</v>
      </c>
      <c r="C105" s="10" t="s">
        <v>41</v>
      </c>
      <c r="E105" s="7">
        <v>4817775</v>
      </c>
      <c r="F105" s="7"/>
      <c r="G105" s="7">
        <v>42352</v>
      </c>
      <c r="H105" s="7"/>
      <c r="I105" s="7">
        <v>951611</v>
      </c>
      <c r="J105" s="7"/>
      <c r="K105" s="7">
        <v>1213559</v>
      </c>
      <c r="L105" s="7"/>
      <c r="M105" s="7">
        <v>1087234</v>
      </c>
      <c r="N105" s="7"/>
      <c r="O105" s="7">
        <v>769457</v>
      </c>
      <c r="P105" s="7"/>
      <c r="Q105" s="7">
        <v>2457407</v>
      </c>
      <c r="R105" s="7"/>
      <c r="S105" s="7">
        <v>65700</v>
      </c>
      <c r="T105" s="7"/>
      <c r="U105" s="7">
        <v>16930</v>
      </c>
      <c r="V105" s="7"/>
      <c r="W105" s="7">
        <f t="shared" si="8"/>
        <v>11422025</v>
      </c>
      <c r="X105" s="7"/>
      <c r="Y105" s="7">
        <v>19274991</v>
      </c>
      <c r="Z105" s="7"/>
      <c r="AA105" s="7">
        <f>+'Stmt net assets'!AC105</f>
        <v>22037695</v>
      </c>
      <c r="AB105" s="7"/>
      <c r="AC105" s="7">
        <f>+Y105+'Stmt of activities-GA rev'!AC105-'Stmt of activities-GAexp'!W105-AA105</f>
        <v>0</v>
      </c>
    </row>
    <row r="106" spans="1:30" ht="12.75" customHeight="1" x14ac:dyDescent="0.2">
      <c r="A106" s="10" t="s">
        <v>116</v>
      </c>
      <c r="C106" s="10" t="s">
        <v>11</v>
      </c>
      <c r="E106" s="7">
        <v>8387897</v>
      </c>
      <c r="F106" s="7"/>
      <c r="G106" s="7">
        <v>277901</v>
      </c>
      <c r="H106" s="7"/>
      <c r="I106" s="7">
        <v>979196</v>
      </c>
      <c r="J106" s="7"/>
      <c r="K106" s="7">
        <v>1097711</v>
      </c>
      <c r="L106" s="7"/>
      <c r="M106" s="7">
        <v>6584632</v>
      </c>
      <c r="N106" s="7"/>
      <c r="O106" s="7">
        <v>0</v>
      </c>
      <c r="P106" s="7"/>
      <c r="Q106" s="7">
        <v>6976654</v>
      </c>
      <c r="R106" s="7"/>
      <c r="S106" s="7">
        <v>0</v>
      </c>
      <c r="T106" s="7"/>
      <c r="U106" s="7">
        <v>2022297</v>
      </c>
      <c r="V106" s="7"/>
      <c r="W106" s="7">
        <f t="shared" si="8"/>
        <v>26326288</v>
      </c>
      <c r="X106" s="7"/>
      <c r="Y106" s="7">
        <v>97246031</v>
      </c>
      <c r="Z106" s="7"/>
      <c r="AA106" s="7">
        <f>+'Stmt net assets'!AC106</f>
        <v>100316230</v>
      </c>
      <c r="AB106" s="7"/>
      <c r="AC106" s="7">
        <f>+Y106+'Stmt of activities-GA rev'!AC106-'Stmt of activities-GAexp'!W106-AA106</f>
        <v>0</v>
      </c>
      <c r="AD106" s="7"/>
    </row>
    <row r="107" spans="1:30" ht="12.75" customHeight="1" x14ac:dyDescent="0.2">
      <c r="A107" s="10" t="s">
        <v>118</v>
      </c>
      <c r="C107" s="10" t="s">
        <v>119</v>
      </c>
      <c r="E107" s="7">
        <v>4448252</v>
      </c>
      <c r="F107" s="7"/>
      <c r="G107" s="7">
        <v>939</v>
      </c>
      <c r="H107" s="7"/>
      <c r="I107" s="7">
        <v>612717</v>
      </c>
      <c r="J107" s="7"/>
      <c r="K107" s="7">
        <v>250000</v>
      </c>
      <c r="L107" s="7"/>
      <c r="M107" s="7">
        <v>2535898</v>
      </c>
      <c r="N107" s="7"/>
      <c r="O107" s="7">
        <v>168764</v>
      </c>
      <c r="P107" s="7"/>
      <c r="Q107" s="7">
        <v>2524324</v>
      </c>
      <c r="R107" s="7"/>
      <c r="S107" s="7">
        <v>0</v>
      </c>
      <c r="T107" s="7"/>
      <c r="U107" s="7">
        <v>113103</v>
      </c>
      <c r="V107" s="7"/>
      <c r="W107" s="7">
        <f t="shared" si="8"/>
        <v>10653997</v>
      </c>
      <c r="X107" s="7"/>
      <c r="Y107" s="7">
        <v>19027601</v>
      </c>
      <c r="Z107" s="7"/>
      <c r="AA107" s="7">
        <f>+'Stmt net assets'!AC107</f>
        <v>19171197</v>
      </c>
      <c r="AB107" s="7"/>
      <c r="AC107" s="7">
        <f>+Y107+'Stmt of activities-GA rev'!AC107-'Stmt of activities-GAexp'!W107-AA107</f>
        <v>0</v>
      </c>
    </row>
    <row r="108" spans="1:30" ht="12.75" customHeight="1" x14ac:dyDescent="0.2">
      <c r="A108" s="10" t="s">
        <v>120</v>
      </c>
      <c r="C108" s="10" t="s">
        <v>41</v>
      </c>
      <c r="E108" s="7">
        <v>10358551</v>
      </c>
      <c r="F108" s="7"/>
      <c r="G108" s="7">
        <v>298971</v>
      </c>
      <c r="H108" s="7"/>
      <c r="I108" s="7">
        <v>2252647</v>
      </c>
      <c r="J108" s="7"/>
      <c r="K108" s="7">
        <v>1407341</v>
      </c>
      <c r="L108" s="7"/>
      <c r="M108" s="7">
        <v>10296802</v>
      </c>
      <c r="N108" s="7"/>
      <c r="O108" s="7">
        <v>0</v>
      </c>
      <c r="P108" s="7"/>
      <c r="Q108" s="7">
        <f>10960934+4339240</f>
        <v>15300174</v>
      </c>
      <c r="R108" s="7"/>
      <c r="S108" s="7">
        <v>0</v>
      </c>
      <c r="T108" s="7"/>
      <c r="U108" s="7">
        <v>1958510</v>
      </c>
      <c r="V108" s="7"/>
      <c r="W108" s="7">
        <f t="shared" si="8"/>
        <v>41872996</v>
      </c>
      <c r="X108" s="7"/>
      <c r="Y108" s="7">
        <v>210803906</v>
      </c>
      <c r="Z108" s="7"/>
      <c r="AA108" s="7">
        <f>+'Stmt net assets'!AC108</f>
        <v>209768184</v>
      </c>
      <c r="AB108" s="7"/>
      <c r="AC108" s="7">
        <f>+Y108+'Stmt of activities-GA rev'!AC108-'Stmt of activities-GAexp'!W108-AA108</f>
        <v>0</v>
      </c>
    </row>
    <row r="109" spans="1:30" ht="12.75" customHeight="1" x14ac:dyDescent="0.2">
      <c r="A109" s="6" t="s">
        <v>494</v>
      </c>
      <c r="C109" s="6" t="s">
        <v>41</v>
      </c>
      <c r="E109" s="7">
        <v>1677311</v>
      </c>
      <c r="F109" s="7"/>
      <c r="G109" s="7">
        <v>45015</v>
      </c>
      <c r="H109" s="7"/>
      <c r="I109" s="7">
        <v>3773213</v>
      </c>
      <c r="J109" s="7"/>
      <c r="K109" s="7">
        <f>382777+110175</f>
        <v>492952</v>
      </c>
      <c r="L109" s="7"/>
      <c r="M109" s="7">
        <v>2881671</v>
      </c>
      <c r="N109" s="7"/>
      <c r="O109" s="7">
        <v>0</v>
      </c>
      <c r="P109" s="7"/>
      <c r="Q109" s="7">
        <v>5474235</v>
      </c>
      <c r="R109" s="7"/>
      <c r="S109" s="7">
        <v>286931</v>
      </c>
      <c r="T109" s="7"/>
      <c r="U109" s="7">
        <v>323853</v>
      </c>
      <c r="V109" s="7"/>
      <c r="W109" s="7">
        <f t="shared" si="8"/>
        <v>14955181</v>
      </c>
      <c r="X109" s="7"/>
      <c r="Y109" s="7">
        <v>38461658</v>
      </c>
      <c r="Z109" s="7"/>
      <c r="AA109" s="7">
        <f>+'Stmt net assets'!AC109</f>
        <v>36962184</v>
      </c>
      <c r="AB109" s="7"/>
      <c r="AC109" s="7">
        <f>+Y109+'Stmt of activities-GA rev'!AC109-'Stmt of activities-GAexp'!W109-AA109</f>
        <v>0</v>
      </c>
    </row>
    <row r="110" spans="1:30" ht="12.75" customHeight="1" x14ac:dyDescent="0.2">
      <c r="A110" s="10" t="s">
        <v>43</v>
      </c>
      <c r="C110" s="10" t="s">
        <v>101</v>
      </c>
      <c r="E110" s="7">
        <v>31282855</v>
      </c>
      <c r="F110" s="7"/>
      <c r="G110" s="7">
        <v>1061241</v>
      </c>
      <c r="H110" s="7"/>
      <c r="I110" s="7">
        <v>2247173</v>
      </c>
      <c r="J110" s="7"/>
      <c r="K110" s="7">
        <v>3397734</v>
      </c>
      <c r="L110" s="7"/>
      <c r="M110" s="7">
        <v>6157603</v>
      </c>
      <c r="N110" s="7"/>
      <c r="O110" s="7">
        <v>5809490</v>
      </c>
      <c r="P110" s="7"/>
      <c r="Q110" s="7">
        <v>7057730</v>
      </c>
      <c r="R110" s="7"/>
      <c r="S110" s="7">
        <v>0</v>
      </c>
      <c r="T110" s="7"/>
      <c r="U110" s="7">
        <v>1439838</v>
      </c>
      <c r="V110" s="7"/>
      <c r="W110" s="7">
        <f t="shared" si="8"/>
        <v>58453664</v>
      </c>
      <c r="X110" s="7"/>
      <c r="Y110" s="7">
        <v>84461090</v>
      </c>
      <c r="Z110" s="7"/>
      <c r="AA110" s="7">
        <f>+'Stmt net assets'!AC110</f>
        <v>83159429</v>
      </c>
      <c r="AB110" s="7"/>
      <c r="AC110" s="7">
        <f>+Y110+'Stmt of activities-GA rev'!AC110-'Stmt of activities-GAexp'!W110-AA110</f>
        <v>0</v>
      </c>
    </row>
    <row r="111" spans="1:30" ht="12.75" customHeight="1" x14ac:dyDescent="0.2">
      <c r="A111" s="10" t="s">
        <v>121</v>
      </c>
      <c r="C111" s="10" t="s">
        <v>43</v>
      </c>
      <c r="E111" s="7">
        <v>6261278</v>
      </c>
      <c r="F111" s="7"/>
      <c r="G111" s="7">
        <v>316702</v>
      </c>
      <c r="H111" s="7"/>
      <c r="I111" s="7">
        <v>266164</v>
      </c>
      <c r="J111" s="7"/>
      <c r="K111" s="7">
        <v>104288</v>
      </c>
      <c r="L111" s="7"/>
      <c r="M111" s="7">
        <v>919283</v>
      </c>
      <c r="N111" s="7"/>
      <c r="O111" s="7">
        <v>0</v>
      </c>
      <c r="P111" s="7"/>
      <c r="Q111" s="7">
        <v>1138495</v>
      </c>
      <c r="R111" s="7"/>
      <c r="S111" s="7">
        <v>0</v>
      </c>
      <c r="T111" s="7"/>
      <c r="U111" s="7">
        <v>242803</v>
      </c>
      <c r="V111" s="7"/>
      <c r="W111" s="7">
        <f t="shared" si="8"/>
        <v>9249013</v>
      </c>
      <c r="X111" s="7"/>
      <c r="Y111" s="7">
        <v>11259821</v>
      </c>
      <c r="Z111" s="7"/>
      <c r="AA111" s="7">
        <f>+'Stmt net assets'!AC111</f>
        <v>12298176</v>
      </c>
      <c r="AB111" s="7"/>
      <c r="AC111" s="7">
        <f>+Y111+'Stmt of activities-GA rev'!AC111-'Stmt of activities-GAexp'!W111-AA111</f>
        <v>0</v>
      </c>
    </row>
    <row r="112" spans="1:30" ht="12.75" customHeight="1" x14ac:dyDescent="0.2">
      <c r="A112" s="10" t="s">
        <v>122</v>
      </c>
      <c r="C112" s="10" t="s">
        <v>123</v>
      </c>
      <c r="E112" s="7">
        <v>5152842</v>
      </c>
      <c r="F112" s="7"/>
      <c r="G112" s="7">
        <v>56500</v>
      </c>
      <c r="H112" s="7"/>
      <c r="I112" s="7">
        <v>1345282</v>
      </c>
      <c r="J112" s="7"/>
      <c r="K112" s="7">
        <v>279054</v>
      </c>
      <c r="L112" s="7"/>
      <c r="M112" s="7">
        <v>2359144</v>
      </c>
      <c r="N112" s="7"/>
      <c r="O112" s="7">
        <v>0</v>
      </c>
      <c r="P112" s="7"/>
      <c r="Q112" s="7">
        <v>1345507</v>
      </c>
      <c r="R112" s="7"/>
      <c r="S112" s="7">
        <v>0</v>
      </c>
      <c r="T112" s="7"/>
      <c r="U112" s="7">
        <v>86813</v>
      </c>
      <c r="V112" s="7"/>
      <c r="W112" s="7">
        <f t="shared" si="8"/>
        <v>10625142</v>
      </c>
      <c r="X112" s="7"/>
      <c r="Y112" s="7">
        <v>36055179</v>
      </c>
      <c r="Z112" s="7"/>
      <c r="AA112" s="7">
        <f>+'Stmt net assets'!AC112</f>
        <v>38041645</v>
      </c>
      <c r="AB112" s="7"/>
      <c r="AC112" s="7">
        <f>+Y112+'Stmt of activities-GA rev'!AC112-'Stmt of activities-GAexp'!W112-AA112</f>
        <v>0</v>
      </c>
    </row>
    <row r="113" spans="1:29" ht="12.75" customHeight="1" x14ac:dyDescent="0.2">
      <c r="A113" s="10" t="s">
        <v>124</v>
      </c>
      <c r="C113" s="10" t="s">
        <v>25</v>
      </c>
      <c r="E113" s="7">
        <v>6575326</v>
      </c>
      <c r="F113" s="7"/>
      <c r="G113" s="7">
        <v>39167</v>
      </c>
      <c r="H113" s="7"/>
      <c r="I113" s="7">
        <v>1076712</v>
      </c>
      <c r="J113" s="7"/>
      <c r="K113" s="7">
        <v>135801</v>
      </c>
      <c r="L113" s="7"/>
      <c r="M113" s="7">
        <v>1659658</v>
      </c>
      <c r="N113" s="7"/>
      <c r="O113" s="7">
        <v>2729846</v>
      </c>
      <c r="P113" s="7"/>
      <c r="Q113" s="7">
        <v>2642581</v>
      </c>
      <c r="R113" s="7"/>
      <c r="S113" s="7">
        <v>0</v>
      </c>
      <c r="T113" s="7"/>
      <c r="U113" s="7">
        <v>385097</v>
      </c>
      <c r="V113" s="7"/>
      <c r="W113" s="7">
        <f t="shared" si="8"/>
        <v>15244188</v>
      </c>
      <c r="X113" s="7"/>
      <c r="Y113" s="7">
        <v>48694765</v>
      </c>
      <c r="Z113" s="7"/>
      <c r="AA113" s="7">
        <f>+'Stmt net assets'!AC113</f>
        <v>49790014</v>
      </c>
      <c r="AB113" s="7"/>
      <c r="AC113" s="7">
        <f>+Y113+'Stmt of activities-GA rev'!AC113-'Stmt of activities-GAexp'!W113-AA113</f>
        <v>0</v>
      </c>
    </row>
    <row r="114" spans="1:29" ht="12.75" hidden="1" customHeight="1" x14ac:dyDescent="0.2">
      <c r="A114" s="10" t="s">
        <v>125</v>
      </c>
      <c r="C114" s="10" t="s">
        <v>41</v>
      </c>
      <c r="E114" s="7">
        <v>8440519</v>
      </c>
      <c r="F114" s="7"/>
      <c r="G114" s="7">
        <v>165311</v>
      </c>
      <c r="H114" s="7"/>
      <c r="I114" s="7">
        <v>3272969</v>
      </c>
      <c r="J114" s="7"/>
      <c r="K114" s="7">
        <v>2621951</v>
      </c>
      <c r="L114" s="7"/>
      <c r="M114" s="7">
        <v>7940453</v>
      </c>
      <c r="N114" s="7"/>
      <c r="O114" s="7">
        <v>6604081</v>
      </c>
      <c r="P114" s="7"/>
      <c r="Q114" s="7">
        <v>5889987</v>
      </c>
      <c r="R114" s="7"/>
      <c r="S114" s="7">
        <v>0</v>
      </c>
      <c r="T114" s="7"/>
      <c r="U114" s="7">
        <v>2639621</v>
      </c>
      <c r="V114" s="7"/>
      <c r="W114" s="7">
        <f t="shared" si="8"/>
        <v>37574892</v>
      </c>
      <c r="X114" s="7"/>
      <c r="Y114" s="7">
        <v>210890329</v>
      </c>
      <c r="Z114" s="7"/>
      <c r="AA114" s="7">
        <f>+'Stmt net assets'!AC114</f>
        <v>211140913</v>
      </c>
      <c r="AB114" s="7"/>
      <c r="AC114" s="7">
        <f>+Y114+'Stmt of activities-GA rev'!AC114-'Stmt of activities-GAexp'!W114-AA114</f>
        <v>0</v>
      </c>
    </row>
    <row r="115" spans="1:29" ht="12.75" customHeight="1" x14ac:dyDescent="0.2">
      <c r="A115" s="10" t="s">
        <v>126</v>
      </c>
      <c r="C115" s="10" t="s">
        <v>117</v>
      </c>
      <c r="E115" s="7">
        <v>3274641</v>
      </c>
      <c r="F115" s="7"/>
      <c r="G115" s="7">
        <v>12553</v>
      </c>
      <c r="H115" s="7"/>
      <c r="I115" s="7">
        <v>111391</v>
      </c>
      <c r="J115" s="7"/>
      <c r="K115" s="7">
        <v>329314</v>
      </c>
      <c r="L115" s="7"/>
      <c r="M115" s="7">
        <v>700253</v>
      </c>
      <c r="N115" s="7"/>
      <c r="O115" s="7">
        <v>0</v>
      </c>
      <c r="P115" s="7"/>
      <c r="Q115" s="7">
        <f>1009462+414390</f>
        <v>1423852</v>
      </c>
      <c r="R115" s="7"/>
      <c r="S115" s="7">
        <v>0</v>
      </c>
      <c r="T115" s="7"/>
      <c r="U115" s="7">
        <v>142221</v>
      </c>
      <c r="V115" s="7"/>
      <c r="W115" s="7">
        <f t="shared" si="8"/>
        <v>5994225</v>
      </c>
      <c r="X115" s="7"/>
      <c r="Y115" s="7">
        <v>12724993</v>
      </c>
      <c r="Z115" s="7"/>
      <c r="AA115" s="7">
        <f>+'Stmt net assets'!AC115</f>
        <v>12517248</v>
      </c>
      <c r="AB115" s="7"/>
      <c r="AC115" s="7">
        <f>+Y115+'Stmt of activities-GA rev'!AC115-'Stmt of activities-GAexp'!W115-AA115</f>
        <v>0</v>
      </c>
    </row>
    <row r="116" spans="1:29" ht="12.75" customHeight="1" x14ac:dyDescent="0.2">
      <c r="A116" s="10" t="s">
        <v>127</v>
      </c>
      <c r="C116" s="10" t="s">
        <v>78</v>
      </c>
      <c r="E116" s="7">
        <v>1614259</v>
      </c>
      <c r="F116" s="7"/>
      <c r="G116" s="7">
        <v>18344</v>
      </c>
      <c r="H116" s="7"/>
      <c r="I116" s="7">
        <v>21578</v>
      </c>
      <c r="J116" s="7"/>
      <c r="K116" s="7">
        <v>410</v>
      </c>
      <c r="L116" s="7"/>
      <c r="M116" s="7">
        <v>962701</v>
      </c>
      <c r="N116" s="7"/>
      <c r="O116" s="7">
        <v>0</v>
      </c>
      <c r="P116" s="7"/>
      <c r="Q116" s="7">
        <v>239329</v>
      </c>
      <c r="R116" s="7"/>
      <c r="S116" s="7">
        <v>76677</v>
      </c>
      <c r="T116" s="7"/>
      <c r="U116" s="7">
        <v>90055</v>
      </c>
      <c r="V116" s="7"/>
      <c r="W116" s="7">
        <f t="shared" si="8"/>
        <v>3023353</v>
      </c>
      <c r="X116" s="7"/>
      <c r="Y116" s="7">
        <v>2962901</v>
      </c>
      <c r="Z116" s="7"/>
      <c r="AA116" s="7">
        <f>+'Stmt net assets'!AC116</f>
        <v>3032171</v>
      </c>
      <c r="AB116" s="7"/>
      <c r="AC116" s="7">
        <f>+Y116+'Stmt of activities-GA rev'!AC116-'Stmt of activities-GAexp'!W116-AA116</f>
        <v>0</v>
      </c>
    </row>
    <row r="117" spans="1:29" ht="12.75" customHeight="1" x14ac:dyDescent="0.2">
      <c r="A117" s="10" t="s">
        <v>128</v>
      </c>
      <c r="C117" s="10" t="s">
        <v>64</v>
      </c>
      <c r="E117" s="7">
        <f>8471690+7345036+484726</f>
        <v>16301452</v>
      </c>
      <c r="F117" s="7"/>
      <c r="G117" s="7">
        <v>0</v>
      </c>
      <c r="H117" s="7"/>
      <c r="I117" s="7">
        <v>951015</v>
      </c>
      <c r="J117" s="7"/>
      <c r="K117" s="7">
        <v>961657</v>
      </c>
      <c r="L117" s="7"/>
      <c r="M117" s="7">
        <v>6651490</v>
      </c>
      <c r="N117" s="7"/>
      <c r="O117" s="7">
        <v>0</v>
      </c>
      <c r="P117" s="7"/>
      <c r="Q117" s="7">
        <v>2941232</v>
      </c>
      <c r="R117" s="7"/>
      <c r="S117" s="7">
        <v>0</v>
      </c>
      <c r="T117" s="7"/>
      <c r="U117" s="7">
        <v>1262926</v>
      </c>
      <c r="V117" s="7"/>
      <c r="W117" s="7">
        <f t="shared" si="8"/>
        <v>29069772</v>
      </c>
      <c r="X117" s="7"/>
      <c r="Y117" s="7">
        <v>109488657</v>
      </c>
      <c r="Z117" s="7"/>
      <c r="AA117" s="7">
        <f>+'Stmt net assets'!AC117</f>
        <v>106817209</v>
      </c>
      <c r="AB117" s="7"/>
      <c r="AC117" s="7">
        <f>+Y117+'Stmt of activities-GA rev'!AC117-'Stmt of activities-GAexp'!W117-AA117</f>
        <v>0</v>
      </c>
    </row>
    <row r="118" spans="1:29" ht="12.75" customHeight="1" x14ac:dyDescent="0.2">
      <c r="A118" s="10" t="s">
        <v>129</v>
      </c>
      <c r="C118" s="10" t="s">
        <v>11</v>
      </c>
      <c r="E118" s="7">
        <v>7023900</v>
      </c>
      <c r="F118" s="7"/>
      <c r="G118" s="7">
        <v>1070730</v>
      </c>
      <c r="H118" s="7"/>
      <c r="I118" s="7">
        <v>1316246</v>
      </c>
      <c r="J118" s="7"/>
      <c r="K118" s="7">
        <v>1558321</v>
      </c>
      <c r="L118" s="7"/>
      <c r="M118" s="7">
        <v>6386598</v>
      </c>
      <c r="N118" s="7"/>
      <c r="O118" s="7">
        <v>0</v>
      </c>
      <c r="P118" s="7"/>
      <c r="Q118" s="7">
        <v>7091681</v>
      </c>
      <c r="R118" s="7"/>
      <c r="S118" s="7">
        <v>0</v>
      </c>
      <c r="T118" s="7"/>
      <c r="U118" s="7">
        <v>1324037</v>
      </c>
      <c r="V118" s="7"/>
      <c r="W118" s="7">
        <f t="shared" si="8"/>
        <v>25771513</v>
      </c>
      <c r="X118" s="7"/>
      <c r="Y118" s="7">
        <v>102881353</v>
      </c>
      <c r="Z118" s="7"/>
      <c r="AA118" s="7">
        <f>+'Stmt net assets'!AC118</f>
        <v>108389910</v>
      </c>
      <c r="AB118" s="7"/>
      <c r="AC118" s="7">
        <f>+Y118+'Stmt of activities-GA rev'!AC118-'Stmt of activities-GAexp'!W118-AA118</f>
        <v>0</v>
      </c>
    </row>
    <row r="119" spans="1:29" ht="12.75" customHeight="1" x14ac:dyDescent="0.2">
      <c r="A119" s="10" t="s">
        <v>36</v>
      </c>
      <c r="C119" s="10" t="s">
        <v>130</v>
      </c>
      <c r="E119" s="7">
        <f>1521699+1491528</f>
        <v>3013227</v>
      </c>
      <c r="F119" s="7"/>
      <c r="G119" s="7">
        <v>0</v>
      </c>
      <c r="H119" s="7"/>
      <c r="I119" s="7">
        <v>526324</v>
      </c>
      <c r="J119" s="7"/>
      <c r="K119" s="7">
        <v>366442</v>
      </c>
      <c r="L119" s="7"/>
      <c r="M119" s="7">
        <v>862659</v>
      </c>
      <c r="N119" s="7"/>
      <c r="O119" s="7">
        <v>540313</v>
      </c>
      <c r="P119" s="7"/>
      <c r="Q119" s="7">
        <v>1677044</v>
      </c>
      <c r="R119" s="7"/>
      <c r="S119" s="7">
        <v>0</v>
      </c>
      <c r="T119" s="7"/>
      <c r="U119" s="7">
        <v>77038</v>
      </c>
      <c r="V119" s="7"/>
      <c r="W119" s="7">
        <f t="shared" si="8"/>
        <v>7063047</v>
      </c>
      <c r="X119" s="7"/>
      <c r="Y119" s="7">
        <v>12285475</v>
      </c>
      <c r="Z119" s="7"/>
      <c r="AA119" s="7">
        <f>+'Stmt net assets'!AC119</f>
        <v>13055983</v>
      </c>
      <c r="AB119" s="7"/>
      <c r="AC119" s="7">
        <f>+Y119+'Stmt of activities-GA rev'!AC119-'Stmt of activities-GAexp'!W119-AA119</f>
        <v>0</v>
      </c>
    </row>
    <row r="120" spans="1:29" ht="12.75" customHeight="1" x14ac:dyDescent="0.2">
      <c r="A120" s="10" t="s">
        <v>131</v>
      </c>
      <c r="C120" s="10" t="s">
        <v>25</v>
      </c>
      <c r="E120" s="7">
        <v>8588485</v>
      </c>
      <c r="F120" s="7"/>
      <c r="G120" s="7">
        <v>96354</v>
      </c>
      <c r="H120" s="7"/>
      <c r="I120" s="7">
        <v>3454996</v>
      </c>
      <c r="J120" s="7"/>
      <c r="K120" s="7">
        <v>2492457</v>
      </c>
      <c r="L120" s="7"/>
      <c r="M120" s="7">
        <v>3830915</v>
      </c>
      <c r="N120" s="7"/>
      <c r="O120" s="7">
        <v>579485</v>
      </c>
      <c r="P120" s="7"/>
      <c r="Q120" s="7">
        <v>8505708</v>
      </c>
      <c r="R120" s="7"/>
      <c r="S120" s="7">
        <v>0</v>
      </c>
      <c r="T120" s="7"/>
      <c r="U120" s="7">
        <v>1098008</v>
      </c>
      <c r="V120" s="7"/>
      <c r="W120" s="7">
        <f t="shared" si="8"/>
        <v>28646408</v>
      </c>
      <c r="X120" s="7"/>
      <c r="Y120" s="7">
        <v>82551191</v>
      </c>
      <c r="Z120" s="7"/>
      <c r="AA120" s="7">
        <f>+'Stmt net assets'!AC120</f>
        <v>86516731</v>
      </c>
      <c r="AB120" s="7"/>
      <c r="AC120" s="7">
        <f>+Y120+'Stmt of activities-GA rev'!AC120-'Stmt of activities-GAexp'!W120-AA120</f>
        <v>0</v>
      </c>
    </row>
    <row r="121" spans="1:29" ht="12.75" hidden="1" customHeight="1" x14ac:dyDescent="0.2">
      <c r="A121" s="10" t="s">
        <v>476</v>
      </c>
      <c r="C121" s="10" t="s">
        <v>43</v>
      </c>
      <c r="E121" s="7">
        <v>4555392</v>
      </c>
      <c r="F121" s="7"/>
      <c r="G121" s="7">
        <v>120904</v>
      </c>
      <c r="H121" s="7"/>
      <c r="I121" s="7">
        <v>1171339</v>
      </c>
      <c r="J121" s="7"/>
      <c r="K121" s="7">
        <v>1486817</v>
      </c>
      <c r="L121" s="7"/>
      <c r="M121" s="7">
        <v>2015426</v>
      </c>
      <c r="N121" s="7"/>
      <c r="O121" s="7">
        <v>0</v>
      </c>
      <c r="P121" s="7"/>
      <c r="Q121" s="7">
        <v>1820748</v>
      </c>
      <c r="R121" s="7"/>
      <c r="S121" s="7">
        <v>0</v>
      </c>
      <c r="T121" s="7"/>
      <c r="U121" s="7">
        <v>98077</v>
      </c>
      <c r="V121" s="7"/>
      <c r="W121" s="7">
        <f t="shared" si="8"/>
        <v>11268703</v>
      </c>
      <c r="X121" s="7"/>
      <c r="Y121" s="7">
        <v>113776858</v>
      </c>
      <c r="Z121" s="7"/>
      <c r="AA121" s="7">
        <f>+'Stmt net assets'!AC121</f>
        <v>117575248</v>
      </c>
      <c r="AB121" s="7"/>
      <c r="AC121" s="7">
        <f>+Y121+'Stmt of activities-GA rev'!AC121-'Stmt of activities-GAexp'!W121-AA121</f>
        <v>0</v>
      </c>
    </row>
    <row r="122" spans="1:29" ht="12.75" customHeight="1" x14ac:dyDescent="0.2">
      <c r="A122" s="6" t="s">
        <v>132</v>
      </c>
      <c r="B122" s="18"/>
      <c r="C122" s="6" t="s">
        <v>133</v>
      </c>
      <c r="E122" s="7">
        <v>3079130</v>
      </c>
      <c r="F122" s="7"/>
      <c r="G122" s="7">
        <v>224630</v>
      </c>
      <c r="H122" s="7"/>
      <c r="I122" s="7">
        <v>88761</v>
      </c>
      <c r="J122" s="7"/>
      <c r="K122" s="7">
        <v>1984667</v>
      </c>
      <c r="L122" s="7"/>
      <c r="M122" s="7">
        <v>478541</v>
      </c>
      <c r="N122" s="7"/>
      <c r="O122" s="7">
        <v>0</v>
      </c>
      <c r="P122" s="7"/>
      <c r="Q122" s="7">
        <v>1825501</v>
      </c>
      <c r="R122" s="7"/>
      <c r="S122" s="7">
        <v>0</v>
      </c>
      <c r="T122" s="7"/>
      <c r="U122" s="7">
        <v>109349</v>
      </c>
      <c r="V122" s="7"/>
      <c r="W122" s="7">
        <f t="shared" si="8"/>
        <v>7790579</v>
      </c>
      <c r="X122" s="7"/>
      <c r="Y122" s="7">
        <v>26322218</v>
      </c>
      <c r="Z122" s="7"/>
      <c r="AA122" s="7">
        <f>+'Stmt net assets'!AC122</f>
        <v>24897694</v>
      </c>
      <c r="AB122" s="7"/>
      <c r="AC122" s="7">
        <f>+Y122+'Stmt of activities-GA rev'!AC122-'Stmt of activities-GAexp'!W122-AA122</f>
        <v>0</v>
      </c>
    </row>
    <row r="123" spans="1:29" ht="12.75" customHeight="1" x14ac:dyDescent="0.2">
      <c r="A123" s="10" t="s">
        <v>134</v>
      </c>
      <c r="C123" s="10" t="s">
        <v>134</v>
      </c>
      <c r="E123" s="7">
        <v>2046336</v>
      </c>
      <c r="F123" s="7"/>
      <c r="G123" s="7">
        <v>335652</v>
      </c>
      <c r="H123" s="7"/>
      <c r="I123" s="7">
        <v>168672</v>
      </c>
      <c r="J123" s="7"/>
      <c r="K123" s="7">
        <v>385060</v>
      </c>
      <c r="L123" s="7"/>
      <c r="M123" s="7">
        <v>731081</v>
      </c>
      <c r="N123" s="7"/>
      <c r="O123" s="7">
        <v>0</v>
      </c>
      <c r="P123" s="7"/>
      <c r="Q123" s="7">
        <v>1339179</v>
      </c>
      <c r="R123" s="7"/>
      <c r="S123" s="7">
        <v>0</v>
      </c>
      <c r="T123" s="7"/>
      <c r="U123" s="7">
        <v>8674</v>
      </c>
      <c r="V123" s="7"/>
      <c r="W123" s="7">
        <f t="shared" si="8"/>
        <v>5014654</v>
      </c>
      <c r="X123" s="7"/>
      <c r="Y123" s="7">
        <v>13050715</v>
      </c>
      <c r="Z123" s="7"/>
      <c r="AA123" s="7">
        <f>+'Stmt net assets'!AC123</f>
        <v>13510133</v>
      </c>
      <c r="AB123" s="7"/>
      <c r="AC123" s="7">
        <f>+Y123+'Stmt of activities-GA rev'!AC123-'Stmt of activities-GAexp'!W123-AA123</f>
        <v>0</v>
      </c>
    </row>
    <row r="124" spans="1:29" ht="12.75" customHeight="1" x14ac:dyDescent="0.2">
      <c r="A124" s="10" t="s">
        <v>135</v>
      </c>
      <c r="C124" s="10" t="s">
        <v>20</v>
      </c>
      <c r="E124" s="7">
        <v>11279058</v>
      </c>
      <c r="F124" s="7"/>
      <c r="G124" s="7">
        <v>678085</v>
      </c>
      <c r="H124" s="7"/>
      <c r="I124" s="7">
        <v>1682142</v>
      </c>
      <c r="J124" s="7"/>
      <c r="K124" s="7">
        <v>3269260</v>
      </c>
      <c r="L124" s="7"/>
      <c r="M124" s="7">
        <v>3408722</v>
      </c>
      <c r="N124" s="7"/>
      <c r="O124" s="7">
        <v>0</v>
      </c>
      <c r="P124" s="7"/>
      <c r="Q124" s="7">
        <v>2986079</v>
      </c>
      <c r="R124" s="7"/>
      <c r="S124" s="7">
        <v>0</v>
      </c>
      <c r="T124" s="7"/>
      <c r="U124" s="7">
        <v>189023</v>
      </c>
      <c r="V124" s="7"/>
      <c r="W124" s="7">
        <f t="shared" si="8"/>
        <v>23492369</v>
      </c>
      <c r="X124" s="7"/>
      <c r="Y124" s="7">
        <v>62038732</v>
      </c>
      <c r="Z124" s="7"/>
      <c r="AA124" s="7">
        <f>+'Stmt net assets'!AC124</f>
        <v>64186366</v>
      </c>
      <c r="AB124" s="7"/>
      <c r="AC124" s="7">
        <f>+Y124+'Stmt of activities-GA rev'!AC124-'Stmt of activities-GAexp'!W124-AA124</f>
        <v>0</v>
      </c>
    </row>
    <row r="125" spans="1:29" ht="12.75" hidden="1" customHeight="1" x14ac:dyDescent="0.2">
      <c r="A125" s="10" t="s">
        <v>136</v>
      </c>
      <c r="C125" s="10" t="s">
        <v>137</v>
      </c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>
        <f t="shared" si="8"/>
        <v>0</v>
      </c>
      <c r="X125" s="7"/>
      <c r="Y125" s="7"/>
      <c r="Z125" s="7"/>
      <c r="AA125" s="7">
        <f>+'Stmt net assets'!AC125</f>
        <v>0</v>
      </c>
      <c r="AB125" s="7"/>
      <c r="AC125" s="7">
        <f>+Y125+'Stmt of activities-GA rev'!AC125-'Stmt of activities-GAexp'!W125-AA125</f>
        <v>0</v>
      </c>
    </row>
    <row r="126" spans="1:29" ht="12.75" customHeight="1" x14ac:dyDescent="0.2">
      <c r="A126" s="10" t="s">
        <v>138</v>
      </c>
      <c r="C126" s="10" t="s">
        <v>64</v>
      </c>
      <c r="E126" s="7">
        <f>14631811+10903086</f>
        <v>25534897</v>
      </c>
      <c r="F126" s="7"/>
      <c r="G126" s="7">
        <v>0</v>
      </c>
      <c r="H126" s="7"/>
      <c r="I126" s="7">
        <v>14030681</v>
      </c>
      <c r="J126" s="7"/>
      <c r="K126" s="7">
        <v>0</v>
      </c>
      <c r="L126" s="7"/>
      <c r="M126" s="7">
        <v>14186561</v>
      </c>
      <c r="N126" s="7"/>
      <c r="O126" s="7">
        <v>0</v>
      </c>
      <c r="P126" s="7"/>
      <c r="Q126" s="7">
        <v>14533955</v>
      </c>
      <c r="R126" s="7"/>
      <c r="S126" s="7">
        <v>0</v>
      </c>
      <c r="T126" s="7"/>
      <c r="U126" s="7">
        <v>585092</v>
      </c>
      <c r="V126" s="7"/>
      <c r="W126" s="7">
        <f t="shared" si="8"/>
        <v>68871186</v>
      </c>
      <c r="X126" s="7"/>
      <c r="Y126" s="7">
        <v>198722811</v>
      </c>
      <c r="Z126" s="7"/>
      <c r="AA126" s="7">
        <f>+'Stmt net assets'!AC126</f>
        <v>207530942</v>
      </c>
      <c r="AB126" s="7"/>
      <c r="AC126" s="7">
        <f>+Y126+'Stmt of activities-GA rev'!AC126-'Stmt of activities-GAexp'!W126-AA126</f>
        <v>0</v>
      </c>
    </row>
    <row r="127" spans="1:29" ht="12.75" customHeight="1" x14ac:dyDescent="0.2">
      <c r="A127" s="10" t="s">
        <v>472</v>
      </c>
      <c r="C127" s="10" t="s">
        <v>90</v>
      </c>
      <c r="E127" s="7">
        <v>2560042</v>
      </c>
      <c r="F127" s="7"/>
      <c r="G127" s="7">
        <v>73037</v>
      </c>
      <c r="H127" s="7"/>
      <c r="I127" s="7">
        <v>369146</v>
      </c>
      <c r="J127" s="7"/>
      <c r="K127" s="7">
        <v>101227</v>
      </c>
      <c r="L127" s="7"/>
      <c r="M127" s="7">
        <v>2224027</v>
      </c>
      <c r="N127" s="7"/>
      <c r="O127" s="7">
        <v>0</v>
      </c>
      <c r="P127" s="7"/>
      <c r="Q127" s="7">
        <v>1971293</v>
      </c>
      <c r="R127" s="7"/>
      <c r="S127" s="7">
        <v>0</v>
      </c>
      <c r="T127" s="7"/>
      <c r="U127" s="7">
        <v>188327</v>
      </c>
      <c r="V127" s="7"/>
      <c r="W127" s="7">
        <f t="shared" si="8"/>
        <v>7487099</v>
      </c>
      <c r="X127" s="7"/>
      <c r="Y127" s="7">
        <v>16423721</v>
      </c>
      <c r="Z127" s="7"/>
      <c r="AA127" s="7">
        <f>+'Stmt net assets'!AC127</f>
        <v>15758551</v>
      </c>
      <c r="AB127" s="7"/>
      <c r="AC127" s="7">
        <f>+Y127+'Stmt of activities-GA rev'!AC127-'Stmt of activities-GAexp'!W127-AA127</f>
        <v>0</v>
      </c>
    </row>
    <row r="128" spans="1:29" ht="12.75" customHeight="1" x14ac:dyDescent="0.2">
      <c r="A128" s="10" t="s">
        <v>139</v>
      </c>
      <c r="C128" s="10" t="s">
        <v>25</v>
      </c>
      <c r="E128" s="7">
        <f>11844579+9936091</f>
        <v>21780670</v>
      </c>
      <c r="F128" s="7"/>
      <c r="G128" s="7">
        <v>1940130</v>
      </c>
      <c r="H128" s="7"/>
      <c r="I128" s="7">
        <v>1786849</v>
      </c>
      <c r="J128" s="7"/>
      <c r="K128" s="7">
        <v>4773590</v>
      </c>
      <c r="L128" s="7"/>
      <c r="M128" s="7">
        <v>2536751</v>
      </c>
      <c r="N128" s="7"/>
      <c r="O128" s="7">
        <v>3274630</v>
      </c>
      <c r="P128" s="7"/>
      <c r="Q128" s="7">
        <v>9204662</v>
      </c>
      <c r="R128" s="7"/>
      <c r="S128" s="7">
        <v>0</v>
      </c>
      <c r="T128" s="7"/>
      <c r="U128" s="7">
        <v>1632156</v>
      </c>
      <c r="V128" s="7"/>
      <c r="W128" s="7">
        <f t="shared" si="8"/>
        <v>46929438</v>
      </c>
      <c r="X128" s="7"/>
      <c r="Y128" s="7">
        <v>51876054</v>
      </c>
      <c r="Z128" s="7"/>
      <c r="AA128" s="7">
        <f>+'Stmt net assets'!AC128</f>
        <v>58604857</v>
      </c>
      <c r="AB128" s="7"/>
      <c r="AC128" s="7">
        <f>+Y128+'Stmt of activities-GA rev'!AC128-'Stmt of activities-GAexp'!W128-AA128</f>
        <v>0</v>
      </c>
    </row>
    <row r="129" spans="1:30" ht="12.75" customHeight="1" x14ac:dyDescent="0.2">
      <c r="A129" s="10" t="s">
        <v>140</v>
      </c>
      <c r="C129" s="10" t="s">
        <v>100</v>
      </c>
      <c r="E129" s="7">
        <v>15424941</v>
      </c>
      <c r="F129" s="7"/>
      <c r="G129" s="7">
        <v>744949</v>
      </c>
      <c r="H129" s="7"/>
      <c r="I129" s="7">
        <v>1893828</v>
      </c>
      <c r="J129" s="7"/>
      <c r="K129" s="7">
        <v>825620</v>
      </c>
      <c r="L129" s="7"/>
      <c r="M129" s="7">
        <v>6385975</v>
      </c>
      <c r="N129" s="7"/>
      <c r="O129" s="7">
        <v>0</v>
      </c>
      <c r="P129" s="7"/>
      <c r="Q129" s="7">
        <v>9512336</v>
      </c>
      <c r="R129" s="7"/>
      <c r="S129" s="7">
        <v>0</v>
      </c>
      <c r="T129" s="7"/>
      <c r="U129" s="7">
        <v>329507</v>
      </c>
      <c r="V129" s="7"/>
      <c r="W129" s="7">
        <f t="shared" si="8"/>
        <v>35117156</v>
      </c>
      <c r="X129" s="7"/>
      <c r="Y129" s="7">
        <v>40367305</v>
      </c>
      <c r="Z129" s="7"/>
      <c r="AA129" s="7">
        <f>+'Stmt net assets'!AC129</f>
        <v>44012009</v>
      </c>
      <c r="AB129" s="7"/>
      <c r="AC129" s="7">
        <f>+Y129+'Stmt of activities-GA rev'!AC129-'Stmt of activities-GAexp'!W129-AA129</f>
        <v>0</v>
      </c>
    </row>
    <row r="130" spans="1:30" ht="12.75" customHeight="1" x14ac:dyDescent="0.2">
      <c r="A130" s="10" t="s">
        <v>141</v>
      </c>
      <c r="C130" s="10" t="s">
        <v>109</v>
      </c>
      <c r="E130" s="7">
        <f>4414356+3308046</f>
        <v>7722402</v>
      </c>
      <c r="F130" s="7"/>
      <c r="G130" s="7">
        <v>221850</v>
      </c>
      <c r="H130" s="7"/>
      <c r="I130" s="7">
        <v>778510</v>
      </c>
      <c r="J130" s="7"/>
      <c r="K130" s="7">
        <v>1080804</v>
      </c>
      <c r="L130" s="7"/>
      <c r="M130" s="7">
        <v>4207949</v>
      </c>
      <c r="N130" s="7"/>
      <c r="O130" s="7">
        <v>0</v>
      </c>
      <c r="P130" s="7"/>
      <c r="Q130" s="7">
        <v>3591911</v>
      </c>
      <c r="R130" s="7"/>
      <c r="S130" s="7">
        <v>345607</v>
      </c>
      <c r="T130" s="7"/>
      <c r="U130" s="7">
        <v>338645</v>
      </c>
      <c r="V130" s="7"/>
      <c r="W130" s="7">
        <f t="shared" si="8"/>
        <v>18287678</v>
      </c>
      <c r="X130" s="7"/>
      <c r="Y130" s="7">
        <v>60301511</v>
      </c>
      <c r="Z130" s="7"/>
      <c r="AA130" s="7">
        <f>+'Stmt net assets'!AC130</f>
        <v>61337907</v>
      </c>
      <c r="AB130" s="7"/>
      <c r="AC130" s="7">
        <f>+Y130+'Stmt of activities-GA rev'!AC130-'Stmt of activities-GAexp'!W130-AA130</f>
        <v>0</v>
      </c>
    </row>
    <row r="131" spans="1:30" ht="12.75" customHeight="1" x14ac:dyDescent="0.2">
      <c r="A131" s="10" t="s">
        <v>142</v>
      </c>
      <c r="C131" s="10" t="s">
        <v>86</v>
      </c>
      <c r="E131" s="7">
        <v>15639553</v>
      </c>
      <c r="F131" s="7"/>
      <c r="G131" s="7">
        <v>0</v>
      </c>
      <c r="H131" s="7"/>
      <c r="I131" s="7">
        <v>1054416</v>
      </c>
      <c r="J131" s="7"/>
      <c r="K131" s="7">
        <v>3482018</v>
      </c>
      <c r="L131" s="7"/>
      <c r="M131" s="7">
        <v>5821889</v>
      </c>
      <c r="N131" s="7"/>
      <c r="O131" s="7">
        <v>0</v>
      </c>
      <c r="P131" s="7"/>
      <c r="Q131" s="7">
        <v>8088003</v>
      </c>
      <c r="R131" s="7"/>
      <c r="S131" s="7">
        <v>0</v>
      </c>
      <c r="T131" s="7"/>
      <c r="U131" s="7">
        <v>134208</v>
      </c>
      <c r="V131" s="7"/>
      <c r="W131" s="7">
        <f t="shared" si="8"/>
        <v>34220087</v>
      </c>
      <c r="X131" s="7"/>
      <c r="Y131" s="7">
        <v>71401301</v>
      </c>
      <c r="Z131" s="7"/>
      <c r="AA131" s="7">
        <f>+'Stmt net assets'!AC131</f>
        <v>72909081</v>
      </c>
      <c r="AB131" s="7"/>
      <c r="AC131" s="7">
        <f>+Y131+'Stmt of activities-GA rev'!AC131-'Stmt of activities-GAexp'!W131-AA131</f>
        <v>0</v>
      </c>
    </row>
    <row r="132" spans="1:30" ht="12.75" customHeight="1" x14ac:dyDescent="0.2">
      <c r="A132" s="10" t="s">
        <v>34</v>
      </c>
      <c r="C132" s="10" t="s">
        <v>143</v>
      </c>
      <c r="E132" s="7">
        <f>1844233+919023</f>
        <v>2763256</v>
      </c>
      <c r="F132" s="7"/>
      <c r="G132" s="7">
        <v>343801</v>
      </c>
      <c r="H132" s="7"/>
      <c r="I132" s="7">
        <v>150504</v>
      </c>
      <c r="J132" s="7"/>
      <c r="K132" s="7">
        <v>207348</v>
      </c>
      <c r="L132" s="7"/>
      <c r="M132" s="7">
        <v>719327</v>
      </c>
      <c r="N132" s="7"/>
      <c r="O132" s="7">
        <v>1889</v>
      </c>
      <c r="P132" s="7"/>
      <c r="Q132" s="7">
        <v>907197</v>
      </c>
      <c r="R132" s="7"/>
      <c r="S132" s="7">
        <v>0</v>
      </c>
      <c r="T132" s="7"/>
      <c r="U132" s="7">
        <v>15549</v>
      </c>
      <c r="V132" s="7"/>
      <c r="W132" s="7">
        <f t="shared" si="8"/>
        <v>5108871</v>
      </c>
      <c r="X132" s="7"/>
      <c r="Y132" s="7">
        <v>9723190</v>
      </c>
      <c r="Z132" s="7"/>
      <c r="AA132" s="7">
        <f>+'Stmt net assets'!AC132</f>
        <v>9672797</v>
      </c>
      <c r="AB132" s="7"/>
      <c r="AC132" s="7">
        <f>+Y132+'Stmt of activities-GA rev'!AC132-'Stmt of activities-GAexp'!W132-AA132</f>
        <v>0</v>
      </c>
    </row>
    <row r="133" spans="1:30" ht="12.75" customHeight="1" x14ac:dyDescent="0.2">
      <c r="A133" s="10" t="s">
        <v>144</v>
      </c>
      <c r="C133" s="10" t="s">
        <v>145</v>
      </c>
      <c r="E133" s="7">
        <v>3329646</v>
      </c>
      <c r="F133" s="7"/>
      <c r="G133" s="7">
        <v>0</v>
      </c>
      <c r="H133" s="7"/>
      <c r="I133" s="7">
        <v>241634</v>
      </c>
      <c r="J133" s="7"/>
      <c r="K133" s="7">
        <v>334425</v>
      </c>
      <c r="L133" s="7"/>
      <c r="M133" s="7">
        <v>1372891</v>
      </c>
      <c r="N133" s="7"/>
      <c r="O133" s="7">
        <v>0</v>
      </c>
      <c r="P133" s="7"/>
      <c r="Q133" s="7">
        <v>1492075</v>
      </c>
      <c r="R133" s="7"/>
      <c r="S133" s="7">
        <v>0</v>
      </c>
      <c r="T133" s="7"/>
      <c r="U133" s="7">
        <v>136175</v>
      </c>
      <c r="V133" s="7"/>
      <c r="W133" s="7">
        <f t="shared" si="8"/>
        <v>6906846</v>
      </c>
      <c r="X133" s="7"/>
      <c r="Y133" s="7">
        <v>16319518</v>
      </c>
      <c r="Z133" s="7"/>
      <c r="AA133" s="7">
        <f>+'Stmt net assets'!AC133</f>
        <v>16274048</v>
      </c>
      <c r="AB133" s="7"/>
      <c r="AC133" s="7">
        <f>+Y133+'Stmt of activities-GA rev'!AC133-'Stmt of activities-GAexp'!W133-AA133</f>
        <v>0</v>
      </c>
    </row>
    <row r="134" spans="1:30" s="9" customFormat="1" ht="12.75" customHeight="1" x14ac:dyDescent="0.2">
      <c r="A134" s="9" t="s">
        <v>15</v>
      </c>
      <c r="B134" s="21"/>
      <c r="C134" s="9" t="s">
        <v>15</v>
      </c>
      <c r="E134" s="7">
        <v>22652131</v>
      </c>
      <c r="F134" s="7"/>
      <c r="G134" s="7">
        <v>2258791</v>
      </c>
      <c r="H134" s="7"/>
      <c r="I134" s="7">
        <v>667278</v>
      </c>
      <c r="J134" s="7"/>
      <c r="K134" s="7">
        <f>380767+3889164</f>
        <v>4269931</v>
      </c>
      <c r="L134" s="7"/>
      <c r="M134" s="7">
        <v>9407039</v>
      </c>
      <c r="N134" s="7"/>
      <c r="O134" s="7">
        <v>0</v>
      </c>
      <c r="P134" s="7"/>
      <c r="Q134" s="7">
        <v>10393507</v>
      </c>
      <c r="R134" s="7"/>
      <c r="S134" s="7">
        <v>0</v>
      </c>
      <c r="T134" s="7"/>
      <c r="U134" s="7">
        <v>2500208</v>
      </c>
      <c r="V134" s="7"/>
      <c r="W134" s="7">
        <f t="shared" ref="W134:W145" si="9">SUM(E134:U134)</f>
        <v>52148885</v>
      </c>
      <c r="X134" s="7"/>
      <c r="Y134" s="7">
        <v>88266468</v>
      </c>
      <c r="Z134" s="7"/>
      <c r="AA134" s="7">
        <f>+'Stmt net assets'!AC134</f>
        <v>78086697</v>
      </c>
      <c r="AC134" s="9">
        <f>+Y134+'Stmt of activities-GA rev'!AC134-'Stmt of activities-GAexp'!W134-AA134</f>
        <v>0</v>
      </c>
    </row>
    <row r="135" spans="1:30" ht="12.75" customHeight="1" x14ac:dyDescent="0.2">
      <c r="A135" s="10" t="s">
        <v>146</v>
      </c>
      <c r="C135" s="10" t="s">
        <v>13</v>
      </c>
      <c r="E135" s="7">
        <v>2008185</v>
      </c>
      <c r="F135" s="7"/>
      <c r="G135" s="7">
        <v>65093</v>
      </c>
      <c r="H135" s="7"/>
      <c r="I135" s="7">
        <v>234722</v>
      </c>
      <c r="J135" s="7"/>
      <c r="K135" s="7">
        <v>169936</v>
      </c>
      <c r="L135" s="7"/>
      <c r="M135" s="7">
        <v>519001</v>
      </c>
      <c r="N135" s="7"/>
      <c r="O135" s="7">
        <v>0</v>
      </c>
      <c r="P135" s="7"/>
      <c r="Q135" s="7">
        <v>1041834</v>
      </c>
      <c r="R135" s="7"/>
      <c r="S135" s="7">
        <v>0</v>
      </c>
      <c r="T135" s="7"/>
      <c r="U135" s="7">
        <v>16096</v>
      </c>
      <c r="V135" s="7"/>
      <c r="W135" s="7">
        <f t="shared" si="9"/>
        <v>4054867</v>
      </c>
      <c r="X135" s="7"/>
      <c r="Y135" s="7">
        <v>7220144</v>
      </c>
      <c r="Z135" s="7"/>
      <c r="AA135" s="7">
        <f>+'Stmt net assets'!AC135</f>
        <v>9134698</v>
      </c>
      <c r="AB135" s="7"/>
      <c r="AC135" s="7">
        <f>+Y135+'Stmt of activities-GA rev'!AC135-'Stmt of activities-GAexp'!W135-AA135</f>
        <v>0</v>
      </c>
    </row>
    <row r="136" spans="1:30" ht="12.75" customHeight="1" x14ac:dyDescent="0.2">
      <c r="A136" s="10" t="s">
        <v>147</v>
      </c>
      <c r="C136" s="10" t="s">
        <v>43</v>
      </c>
      <c r="E136" s="7">
        <v>4837756</v>
      </c>
      <c r="F136" s="7"/>
      <c r="G136" s="7">
        <v>0</v>
      </c>
      <c r="H136" s="7"/>
      <c r="I136" s="7">
        <v>523757</v>
      </c>
      <c r="J136" s="7"/>
      <c r="K136" s="7">
        <v>172262</v>
      </c>
      <c r="L136" s="7"/>
      <c r="M136" s="7">
        <v>905724</v>
      </c>
      <c r="N136" s="7"/>
      <c r="O136" s="7">
        <v>0</v>
      </c>
      <c r="P136" s="7"/>
      <c r="Q136" s="7">
        <v>1954219</v>
      </c>
      <c r="R136" s="7"/>
      <c r="S136" s="7">
        <v>0</v>
      </c>
      <c r="T136" s="7"/>
      <c r="U136" s="7">
        <v>391273</v>
      </c>
      <c r="V136" s="7"/>
      <c r="W136" s="7">
        <f t="shared" si="9"/>
        <v>8784991</v>
      </c>
      <c r="X136" s="7"/>
      <c r="Y136" s="7">
        <v>19372345</v>
      </c>
      <c r="Z136" s="7"/>
      <c r="AA136" s="7">
        <f>+'Stmt net assets'!AC136</f>
        <v>19701668</v>
      </c>
      <c r="AB136" s="7"/>
      <c r="AC136" s="7">
        <f>+Y136+'Stmt of activities-GA rev'!AC136-'Stmt of activities-GAexp'!W136-AA136</f>
        <v>0</v>
      </c>
    </row>
    <row r="137" spans="1:30" ht="12.75" customHeight="1" x14ac:dyDescent="0.2">
      <c r="A137" s="10" t="s">
        <v>148</v>
      </c>
      <c r="C137" s="10" t="s">
        <v>25</v>
      </c>
      <c r="E137" s="7">
        <v>7769933</v>
      </c>
      <c r="F137" s="7"/>
      <c r="G137" s="7">
        <v>53764</v>
      </c>
      <c r="H137" s="7"/>
      <c r="I137" s="7">
        <v>1543350</v>
      </c>
      <c r="J137" s="7"/>
      <c r="K137" s="7">
        <v>709496</v>
      </c>
      <c r="L137" s="7"/>
      <c r="M137" s="7">
        <v>1409816</v>
      </c>
      <c r="N137" s="7"/>
      <c r="O137" s="7">
        <v>3775943</v>
      </c>
      <c r="P137" s="7"/>
      <c r="Q137" s="7">
        <v>3958427</v>
      </c>
      <c r="R137" s="7"/>
      <c r="S137" s="7">
        <v>0</v>
      </c>
      <c r="T137" s="7"/>
      <c r="U137" s="7">
        <v>67985</v>
      </c>
      <c r="V137" s="7"/>
      <c r="W137" s="7">
        <f t="shared" si="9"/>
        <v>19288714</v>
      </c>
      <c r="X137" s="7"/>
      <c r="Y137" s="7">
        <v>90905852</v>
      </c>
      <c r="Z137" s="7"/>
      <c r="AA137" s="7">
        <f>+'Stmt net assets'!AC137</f>
        <v>92937548</v>
      </c>
      <c r="AB137" s="7"/>
      <c r="AC137" s="7">
        <f>+Y137+'Stmt of activities-GA rev'!AC137-'Stmt of activities-GAexp'!W137-AA137</f>
        <v>0</v>
      </c>
    </row>
    <row r="138" spans="1:30" ht="12.75" customHeight="1" x14ac:dyDescent="0.2">
      <c r="A138" s="10" t="s">
        <v>149</v>
      </c>
      <c r="C138" s="10" t="s">
        <v>11</v>
      </c>
      <c r="E138" s="7">
        <v>5471959</v>
      </c>
      <c r="F138" s="7"/>
      <c r="G138" s="7">
        <v>203547</v>
      </c>
      <c r="H138" s="7"/>
      <c r="I138" s="7">
        <v>1701371</v>
      </c>
      <c r="J138" s="7"/>
      <c r="K138" s="7">
        <v>512225</v>
      </c>
      <c r="L138" s="7"/>
      <c r="M138" s="7">
        <v>2889717</v>
      </c>
      <c r="N138" s="7"/>
      <c r="O138" s="7">
        <v>666972</v>
      </c>
      <c r="P138" s="7"/>
      <c r="Q138" s="7">
        <v>2071271</v>
      </c>
      <c r="R138" s="7"/>
      <c r="S138" s="7">
        <v>0</v>
      </c>
      <c r="T138" s="7"/>
      <c r="U138" s="7">
        <v>334028</v>
      </c>
      <c r="V138" s="7"/>
      <c r="W138" s="7">
        <f t="shared" si="9"/>
        <v>13851090</v>
      </c>
      <c r="X138" s="7"/>
      <c r="Y138" s="7">
        <v>41775060</v>
      </c>
      <c r="Z138" s="7"/>
      <c r="AA138" s="7">
        <f>+'Stmt net assets'!AC138</f>
        <v>50752004</v>
      </c>
      <c r="AB138" s="7"/>
      <c r="AC138" s="7">
        <f>+Y138+'Stmt of activities-GA rev'!AC138-'Stmt of activities-GAexp'!W138-AA138</f>
        <v>0</v>
      </c>
    </row>
    <row r="139" spans="1:30" ht="12.75" customHeight="1" x14ac:dyDescent="0.2">
      <c r="A139" s="10" t="s">
        <v>475</v>
      </c>
      <c r="C139" s="10" t="s">
        <v>43</v>
      </c>
      <c r="E139" s="7">
        <v>3199422</v>
      </c>
      <c r="F139" s="7"/>
      <c r="G139" s="7">
        <v>0</v>
      </c>
      <c r="H139" s="7"/>
      <c r="I139" s="7">
        <v>179751</v>
      </c>
      <c r="J139" s="7"/>
      <c r="K139" s="7">
        <v>110175</v>
      </c>
      <c r="L139" s="7"/>
      <c r="M139" s="7">
        <v>1227664</v>
      </c>
      <c r="N139" s="7"/>
      <c r="O139" s="7">
        <v>445654</v>
      </c>
      <c r="P139" s="7"/>
      <c r="Q139" s="7">
        <v>976031</v>
      </c>
      <c r="R139" s="7"/>
      <c r="S139" s="7">
        <v>0</v>
      </c>
      <c r="T139" s="7"/>
      <c r="U139" s="7">
        <v>15833</v>
      </c>
      <c r="V139" s="7"/>
      <c r="W139" s="7">
        <f t="shared" si="9"/>
        <v>6154530</v>
      </c>
      <c r="X139" s="7"/>
      <c r="Y139" s="7">
        <v>10646482</v>
      </c>
      <c r="Z139" s="7"/>
      <c r="AA139" s="7">
        <f>+'Stmt net assets'!AC139</f>
        <v>10972880</v>
      </c>
      <c r="AB139" s="7"/>
      <c r="AC139" s="7">
        <f>+Y139+'Stmt of activities-GA rev'!AC139-'Stmt of activities-GAexp'!W139-AA139</f>
        <v>0</v>
      </c>
      <c r="AD139" s="7"/>
    </row>
    <row r="140" spans="1:30" ht="12.75" customHeight="1" x14ac:dyDescent="0.2">
      <c r="A140" s="10" t="s">
        <v>150</v>
      </c>
      <c r="C140" s="10" t="s">
        <v>151</v>
      </c>
      <c r="E140" s="7">
        <v>20598937</v>
      </c>
      <c r="F140" s="7"/>
      <c r="G140" s="7">
        <v>2850</v>
      </c>
      <c r="H140" s="7"/>
      <c r="I140" s="7">
        <v>270695</v>
      </c>
      <c r="J140" s="7"/>
      <c r="K140" s="7">
        <v>2453148</v>
      </c>
      <c r="L140" s="7"/>
      <c r="M140" s="7">
        <v>808768</v>
      </c>
      <c r="N140" s="7"/>
      <c r="O140" s="7">
        <v>0</v>
      </c>
      <c r="P140" s="7"/>
      <c r="Q140" s="7">
        <v>15367200</v>
      </c>
      <c r="R140" s="7"/>
      <c r="S140" s="7">
        <v>0</v>
      </c>
      <c r="T140" s="7"/>
      <c r="U140" s="7">
        <v>255383</v>
      </c>
      <c r="V140" s="7"/>
      <c r="W140" s="7">
        <f t="shared" si="9"/>
        <v>39756981</v>
      </c>
      <c r="X140" s="7"/>
      <c r="Y140" s="7">
        <v>72765829</v>
      </c>
      <c r="Z140" s="7"/>
      <c r="AA140" s="7">
        <f>+'Stmt net assets'!AC140</f>
        <v>75514837</v>
      </c>
      <c r="AB140" s="7"/>
      <c r="AC140" s="7">
        <f>+Y140+'Stmt of activities-GA rev'!AC140-'Stmt of activities-GAexp'!W140-AA140</f>
        <v>0</v>
      </c>
    </row>
    <row r="141" spans="1:30" ht="12.75" customHeight="1" x14ac:dyDescent="0.2">
      <c r="A141" s="10" t="s">
        <v>152</v>
      </c>
      <c r="C141" s="10" t="s">
        <v>25</v>
      </c>
      <c r="E141" s="7">
        <v>9828283</v>
      </c>
      <c r="F141" s="7"/>
      <c r="G141" s="7">
        <v>88850</v>
      </c>
      <c r="H141" s="7"/>
      <c r="I141" s="7">
        <v>857237</v>
      </c>
      <c r="J141" s="7"/>
      <c r="K141" s="7">
        <v>687475</v>
      </c>
      <c r="L141" s="7"/>
      <c r="M141" s="7">
        <v>1965006</v>
      </c>
      <c r="N141" s="7"/>
      <c r="O141" s="7">
        <v>916648</v>
      </c>
      <c r="P141" s="7"/>
      <c r="Q141" s="7">
        <v>5452571</v>
      </c>
      <c r="R141" s="7"/>
      <c r="S141" s="7">
        <v>0</v>
      </c>
      <c r="T141" s="7"/>
      <c r="U141" s="7">
        <v>689293</v>
      </c>
      <c r="V141" s="7"/>
      <c r="W141" s="7">
        <f t="shared" si="9"/>
        <v>20485363</v>
      </c>
      <c r="X141" s="7"/>
      <c r="Y141" s="7">
        <v>38078407</v>
      </c>
      <c r="Z141" s="7"/>
      <c r="AA141" s="7">
        <f>+'Stmt net assets'!AC141</f>
        <v>37981710</v>
      </c>
      <c r="AB141" s="7"/>
      <c r="AC141" s="7">
        <f>+Y141+'Stmt of activities-GA rev'!AC141-'Stmt of activities-GAexp'!W141-AA141</f>
        <v>0</v>
      </c>
    </row>
    <row r="142" spans="1:30" ht="12.75" customHeight="1" x14ac:dyDescent="0.2">
      <c r="A142" s="10" t="s">
        <v>153</v>
      </c>
      <c r="C142" s="10" t="s">
        <v>38</v>
      </c>
      <c r="E142" s="7">
        <f>3345126+3490053</f>
        <v>6835179</v>
      </c>
      <c r="F142" s="7"/>
      <c r="G142" s="7">
        <v>859329</v>
      </c>
      <c r="H142" s="7"/>
      <c r="I142" s="7">
        <v>617402</v>
      </c>
      <c r="J142" s="7"/>
      <c r="K142" s="7">
        <f>433311+1935768</f>
        <v>2369079</v>
      </c>
      <c r="L142" s="7"/>
      <c r="M142" s="7">
        <f>3642831+1844</f>
        <v>3644675</v>
      </c>
      <c r="N142" s="7"/>
      <c r="O142" s="7">
        <v>0</v>
      </c>
      <c r="P142" s="7"/>
      <c r="Q142" s="7">
        <f>4132724+1075728</f>
        <v>5208452</v>
      </c>
      <c r="R142" s="7"/>
      <c r="S142" s="7">
        <v>0</v>
      </c>
      <c r="T142" s="7"/>
      <c r="U142" s="7">
        <v>86772</v>
      </c>
      <c r="V142" s="7"/>
      <c r="W142" s="7">
        <f t="shared" si="9"/>
        <v>19620888</v>
      </c>
      <c r="X142" s="7"/>
      <c r="Y142" s="7">
        <v>29522264</v>
      </c>
      <c r="Z142" s="7"/>
      <c r="AA142" s="7">
        <f>+'Stmt net assets'!AC142</f>
        <v>30089607</v>
      </c>
      <c r="AB142" s="7"/>
      <c r="AC142" s="7">
        <f>+Y142+'Stmt of activities-GA rev'!AC142-'Stmt of activities-GAexp'!W142-AA142</f>
        <v>0</v>
      </c>
    </row>
    <row r="143" spans="1:30" ht="12.75" customHeight="1" x14ac:dyDescent="0.2">
      <c r="A143" s="10" t="s">
        <v>154</v>
      </c>
      <c r="C143" s="10" t="s">
        <v>154</v>
      </c>
      <c r="E143" s="7">
        <f>5757434+4843734+297776</f>
        <v>10898944</v>
      </c>
      <c r="F143" s="7"/>
      <c r="G143" s="7">
        <v>447973</v>
      </c>
      <c r="H143" s="7"/>
      <c r="I143" s="7">
        <v>920509</v>
      </c>
      <c r="J143" s="7"/>
      <c r="K143" s="7">
        <v>1401447</v>
      </c>
      <c r="L143" s="7"/>
      <c r="M143" s="7">
        <f>1071114+5767795</f>
        <v>6838909</v>
      </c>
      <c r="N143" s="7"/>
      <c r="O143" s="7">
        <v>0</v>
      </c>
      <c r="P143" s="7"/>
      <c r="Q143" s="7">
        <f>1042867+4455649</f>
        <v>5498516</v>
      </c>
      <c r="R143" s="7"/>
      <c r="S143" s="7">
        <v>0</v>
      </c>
      <c r="T143" s="7"/>
      <c r="U143" s="7">
        <v>175311</v>
      </c>
      <c r="V143" s="7"/>
      <c r="W143" s="7">
        <f t="shared" si="9"/>
        <v>26181609</v>
      </c>
      <c r="X143" s="7"/>
      <c r="Y143" s="7">
        <v>70696155</v>
      </c>
      <c r="Z143" s="7"/>
      <c r="AA143" s="7">
        <f>+'Stmt net assets'!AC143</f>
        <v>66380337</v>
      </c>
      <c r="AB143" s="7"/>
      <c r="AC143" s="7">
        <f>+Y143+'Stmt of activities-GA rev'!AC143-'Stmt of activities-GAexp'!W143-AA143</f>
        <v>0</v>
      </c>
    </row>
    <row r="144" spans="1:30" ht="12.75" customHeight="1" x14ac:dyDescent="0.2">
      <c r="A144" s="10" t="s">
        <v>155</v>
      </c>
      <c r="C144" s="10" t="s">
        <v>31</v>
      </c>
      <c r="E144" s="7">
        <v>3396313</v>
      </c>
      <c r="F144" s="7"/>
      <c r="G144" s="7">
        <v>80688</v>
      </c>
      <c r="H144" s="7"/>
      <c r="I144" s="7">
        <v>110195</v>
      </c>
      <c r="J144" s="7"/>
      <c r="K144" s="7">
        <v>267786</v>
      </c>
      <c r="L144" s="7"/>
      <c r="M144" s="7">
        <v>653284</v>
      </c>
      <c r="N144" s="7"/>
      <c r="O144" s="7">
        <v>0</v>
      </c>
      <c r="P144" s="7"/>
      <c r="Q144" s="7">
        <f>706220</f>
        <v>706220</v>
      </c>
      <c r="R144" s="7"/>
      <c r="S144" s="7">
        <v>17341</v>
      </c>
      <c r="T144" s="7"/>
      <c r="U144" s="7">
        <v>12618</v>
      </c>
      <c r="V144" s="7"/>
      <c r="W144" s="7">
        <f t="shared" si="9"/>
        <v>5244445</v>
      </c>
      <c r="X144" s="7"/>
      <c r="Y144" s="7">
        <v>6346908</v>
      </c>
      <c r="Z144" s="7"/>
      <c r="AA144" s="7">
        <f>+'Stmt net assets'!AC144</f>
        <v>6369326</v>
      </c>
      <c r="AB144" s="7"/>
      <c r="AC144" s="7">
        <f>+Y144+'Stmt of activities-GA rev'!AC144-'Stmt of activities-GAexp'!W144-AA144</f>
        <v>0</v>
      </c>
    </row>
    <row r="145" spans="1:29" ht="12.75" customHeight="1" x14ac:dyDescent="0.2">
      <c r="A145" s="10" t="s">
        <v>156</v>
      </c>
      <c r="C145" s="10" t="s">
        <v>157</v>
      </c>
      <c r="E145" s="7">
        <f>4134266+4177276+1754587</f>
        <v>10066129</v>
      </c>
      <c r="F145" s="7"/>
      <c r="G145" s="7">
        <v>345051</v>
      </c>
      <c r="H145" s="7"/>
      <c r="I145" s="7">
        <v>322349</v>
      </c>
      <c r="J145" s="7"/>
      <c r="K145" s="7">
        <v>1507872</v>
      </c>
      <c r="L145" s="7"/>
      <c r="M145" s="7">
        <v>2477865</v>
      </c>
      <c r="N145" s="7"/>
      <c r="O145" s="7">
        <v>0</v>
      </c>
      <c r="P145" s="7"/>
      <c r="Q145" s="7">
        <v>3339059</v>
      </c>
      <c r="R145" s="7"/>
      <c r="S145" s="7">
        <v>0</v>
      </c>
      <c r="T145" s="7"/>
      <c r="U145" s="7">
        <v>1218719</v>
      </c>
      <c r="V145" s="7"/>
      <c r="W145" s="7">
        <f t="shared" si="9"/>
        <v>19277044</v>
      </c>
      <c r="X145" s="7"/>
      <c r="Y145" s="7">
        <v>37415863</v>
      </c>
      <c r="Z145" s="7"/>
      <c r="AA145" s="7">
        <f>+'Stmt net assets'!AC145</f>
        <v>41514754</v>
      </c>
      <c r="AB145" s="7"/>
      <c r="AC145" s="7">
        <f>+Y145+'Stmt of activities-GA rev'!AC145-'Stmt of activities-GAexp'!W145-AA145</f>
        <v>0</v>
      </c>
    </row>
    <row r="146" spans="1:29" s="9" customFormat="1" ht="12.75" customHeight="1" x14ac:dyDescent="0.2">
      <c r="A146" s="9" t="s">
        <v>158</v>
      </c>
      <c r="B146" s="21"/>
      <c r="C146" s="9" t="s">
        <v>109</v>
      </c>
      <c r="E146" s="7">
        <v>12023613</v>
      </c>
      <c r="F146" s="7"/>
      <c r="G146" s="7">
        <v>0</v>
      </c>
      <c r="H146" s="7"/>
      <c r="I146" s="7">
        <v>2314310</v>
      </c>
      <c r="J146" s="7"/>
      <c r="K146" s="7">
        <v>2676490</v>
      </c>
      <c r="L146" s="7"/>
      <c r="M146" s="7">
        <v>6231801</v>
      </c>
      <c r="N146" s="7"/>
      <c r="O146" s="7">
        <v>277539</v>
      </c>
      <c r="P146" s="7"/>
      <c r="Q146" s="7">
        <v>8831767</v>
      </c>
      <c r="R146" s="7"/>
      <c r="S146" s="7">
        <v>0</v>
      </c>
      <c r="T146" s="7"/>
      <c r="U146" s="7">
        <v>1826561</v>
      </c>
      <c r="V146" s="7"/>
      <c r="W146" s="7">
        <f t="shared" ref="W146" si="10">SUM(E146:U146)</f>
        <v>34182081</v>
      </c>
      <c r="X146" s="7"/>
      <c r="Y146" s="7">
        <v>172762972</v>
      </c>
      <c r="Z146" s="7"/>
      <c r="AA146" s="7">
        <f>+'Stmt net assets'!AC146</f>
        <v>184366548</v>
      </c>
      <c r="AB146" s="7"/>
      <c r="AC146" s="7">
        <f>+Y146+'Stmt of activities-GA rev'!AC146-'Stmt of activities-GAexp'!W146-AA146</f>
        <v>0</v>
      </c>
    </row>
    <row r="147" spans="1:29" ht="12.75" customHeight="1" x14ac:dyDescent="0.2">
      <c r="A147" s="10" t="s">
        <v>159</v>
      </c>
      <c r="C147" s="10" t="s">
        <v>13</v>
      </c>
      <c r="E147" s="7">
        <v>9645227</v>
      </c>
      <c r="F147" s="7"/>
      <c r="G147" s="7">
        <v>602716</v>
      </c>
      <c r="H147" s="7"/>
      <c r="I147" s="7">
        <v>3716141</v>
      </c>
      <c r="J147" s="7"/>
      <c r="K147" s="7">
        <f>759723+30872</f>
        <v>790595</v>
      </c>
      <c r="L147" s="7"/>
      <c r="M147" s="7">
        <v>3431332</v>
      </c>
      <c r="N147" s="7"/>
      <c r="O147" s="7">
        <v>4060</v>
      </c>
      <c r="P147" s="7"/>
      <c r="Q147" s="7">
        <v>6882943</v>
      </c>
      <c r="R147" s="7"/>
      <c r="S147" s="7">
        <v>0</v>
      </c>
      <c r="T147" s="7"/>
      <c r="U147" s="7">
        <v>1120833</v>
      </c>
      <c r="V147" s="7"/>
      <c r="W147" s="7">
        <f t="shared" ref="W147:W167" si="11">SUM(E147:U147)</f>
        <v>26193847</v>
      </c>
      <c r="X147" s="7"/>
      <c r="Y147" s="7">
        <v>17506740</v>
      </c>
      <c r="Z147" s="7"/>
      <c r="AA147" s="7">
        <f>+'Stmt net assets'!AC147</f>
        <v>19894295</v>
      </c>
      <c r="AB147" s="7"/>
      <c r="AC147" s="7">
        <f>+Y147+'Stmt of activities-GA rev'!AC147-'Stmt of activities-GAexp'!W147-AA147</f>
        <v>0</v>
      </c>
    </row>
    <row r="148" spans="1:29" ht="12.75" customHeight="1" x14ac:dyDescent="0.2">
      <c r="A148" s="10" t="s">
        <v>160</v>
      </c>
      <c r="C148" s="10" t="s">
        <v>161</v>
      </c>
      <c r="E148" s="7">
        <v>10746324</v>
      </c>
      <c r="F148" s="7"/>
      <c r="G148" s="7">
        <v>172089</v>
      </c>
      <c r="H148" s="7"/>
      <c r="I148" s="7">
        <v>2251416</v>
      </c>
      <c r="J148" s="7"/>
      <c r="K148" s="7">
        <v>1804261</v>
      </c>
      <c r="L148" s="7"/>
      <c r="M148" s="7">
        <v>2488429</v>
      </c>
      <c r="N148" s="7"/>
      <c r="O148" s="7">
        <v>1396847</v>
      </c>
      <c r="P148" s="7"/>
      <c r="Q148" s="7">
        <v>5770286</v>
      </c>
      <c r="R148" s="7"/>
      <c r="S148" s="7">
        <v>0</v>
      </c>
      <c r="T148" s="7"/>
      <c r="U148" s="7">
        <v>940646</v>
      </c>
      <c r="V148" s="7"/>
      <c r="W148" s="7">
        <f t="shared" si="11"/>
        <v>25570298</v>
      </c>
      <c r="X148" s="7"/>
      <c r="Y148" s="7">
        <v>84417825</v>
      </c>
      <c r="Z148" s="7"/>
      <c r="AA148" s="7">
        <f>+'Stmt net assets'!AC148</f>
        <v>84616722</v>
      </c>
      <c r="AB148" s="7"/>
      <c r="AC148" s="7">
        <f>+Y148+'Stmt of activities-GA rev'!AC148-'Stmt of activities-GAexp'!W148-AA148</f>
        <v>0</v>
      </c>
    </row>
    <row r="149" spans="1:29" ht="12.75" customHeight="1" x14ac:dyDescent="0.2">
      <c r="A149" s="10" t="s">
        <v>162</v>
      </c>
      <c r="C149" s="10" t="s">
        <v>25</v>
      </c>
      <c r="E149" s="7">
        <v>11513233</v>
      </c>
      <c r="F149" s="7"/>
      <c r="G149" s="7">
        <v>336586</v>
      </c>
      <c r="H149" s="7"/>
      <c r="I149" s="7">
        <v>1665724</v>
      </c>
      <c r="J149" s="7"/>
      <c r="K149" s="7">
        <v>917816</v>
      </c>
      <c r="L149" s="7"/>
      <c r="M149" s="7">
        <v>5031787</v>
      </c>
      <c r="N149" s="7"/>
      <c r="O149" s="7">
        <v>1063187</v>
      </c>
      <c r="P149" s="7"/>
      <c r="Q149" s="7">
        <v>3146980</v>
      </c>
      <c r="R149" s="7"/>
      <c r="S149" s="7">
        <v>0</v>
      </c>
      <c r="T149" s="7"/>
      <c r="U149" s="7">
        <v>27163</v>
      </c>
      <c r="V149" s="7"/>
      <c r="W149" s="7">
        <f t="shared" si="11"/>
        <v>23702476</v>
      </c>
      <c r="X149" s="7"/>
      <c r="Y149" s="7">
        <v>46368443</v>
      </c>
      <c r="Z149" s="7"/>
      <c r="AA149" s="7">
        <f>+'Stmt net assets'!AC149</f>
        <v>56140808</v>
      </c>
      <c r="AB149" s="7"/>
      <c r="AC149" s="7">
        <f>+Y149+'Stmt of activities-GA rev'!AC149-'Stmt of activities-GAexp'!W149-AA149</f>
        <v>0</v>
      </c>
    </row>
    <row r="150" spans="1:29" ht="12.75" customHeight="1" x14ac:dyDescent="0.2">
      <c r="A150" s="10" t="s">
        <v>51</v>
      </c>
      <c r="C150" s="10" t="s">
        <v>51</v>
      </c>
      <c r="E150" s="7">
        <v>7291839</v>
      </c>
      <c r="F150" s="7"/>
      <c r="G150" s="7">
        <v>196660</v>
      </c>
      <c r="H150" s="7"/>
      <c r="I150" s="7">
        <v>951747</v>
      </c>
      <c r="J150" s="7"/>
      <c r="K150" s="7">
        <v>831549</v>
      </c>
      <c r="L150" s="7"/>
      <c r="M150" s="7">
        <v>2739376</v>
      </c>
      <c r="N150" s="7"/>
      <c r="O150" s="7">
        <v>66833</v>
      </c>
      <c r="P150" s="7"/>
      <c r="Q150" s="7">
        <v>7533534</v>
      </c>
      <c r="R150" s="7"/>
      <c r="S150" s="7">
        <v>0</v>
      </c>
      <c r="T150" s="7"/>
      <c r="U150" s="7">
        <v>677322</v>
      </c>
      <c r="V150" s="7"/>
      <c r="W150" s="7">
        <f t="shared" si="11"/>
        <v>20288860</v>
      </c>
      <c r="X150" s="7"/>
      <c r="Y150" s="7">
        <v>84347439</v>
      </c>
      <c r="Z150" s="7"/>
      <c r="AA150" s="7">
        <f>+'Stmt net assets'!AC150</f>
        <v>87884959</v>
      </c>
      <c r="AB150" s="7"/>
      <c r="AC150" s="7">
        <f>+Y150+'Stmt of activities-GA rev'!AC150-'Stmt of activities-GAexp'!W150-AA150</f>
        <v>0</v>
      </c>
    </row>
    <row r="151" spans="1:29" ht="12.75" customHeight="1" x14ac:dyDescent="0.2">
      <c r="A151" s="10" t="s">
        <v>163</v>
      </c>
      <c r="C151" s="10" t="s">
        <v>90</v>
      </c>
      <c r="E151" s="7">
        <f>13646699+13068938</f>
        <v>26715637</v>
      </c>
      <c r="F151" s="7"/>
      <c r="G151" s="7">
        <v>0</v>
      </c>
      <c r="H151" s="7"/>
      <c r="I151" s="7">
        <v>8504180</v>
      </c>
      <c r="J151" s="7"/>
      <c r="K151" s="7">
        <f>2688382+1680518</f>
        <v>4368900</v>
      </c>
      <c r="L151" s="7"/>
      <c r="M151" s="7">
        <v>15442708</v>
      </c>
      <c r="N151" s="7"/>
      <c r="O151" s="7">
        <v>0</v>
      </c>
      <c r="P151" s="7"/>
      <c r="Q151" s="7">
        <v>7270605</v>
      </c>
      <c r="R151" s="7"/>
      <c r="S151" s="7">
        <v>0</v>
      </c>
      <c r="T151" s="7"/>
      <c r="U151" s="7">
        <v>1562337</v>
      </c>
      <c r="V151" s="7"/>
      <c r="W151" s="7">
        <f t="shared" si="11"/>
        <v>63864367</v>
      </c>
      <c r="X151" s="7"/>
      <c r="Y151" s="7">
        <v>186027704</v>
      </c>
      <c r="Z151" s="7"/>
      <c r="AA151" s="7">
        <f>+'Stmt net assets'!AC151</f>
        <v>187871319</v>
      </c>
      <c r="AB151" s="7"/>
      <c r="AC151" s="7">
        <f>+Y151+'Stmt of activities-GA rev'!AC151-'Stmt of activities-GAexp'!W151-AA151</f>
        <v>0</v>
      </c>
    </row>
    <row r="152" spans="1:29" ht="12.75" customHeight="1" x14ac:dyDescent="0.2">
      <c r="A152" s="10" t="s">
        <v>164</v>
      </c>
      <c r="C152" s="10" t="s">
        <v>90</v>
      </c>
      <c r="E152" s="7">
        <v>2405465</v>
      </c>
      <c r="F152" s="7"/>
      <c r="G152" s="7">
        <v>57773</v>
      </c>
      <c r="H152" s="7"/>
      <c r="I152" s="7">
        <v>58342</v>
      </c>
      <c r="J152" s="7"/>
      <c r="K152" s="7">
        <v>0</v>
      </c>
      <c r="L152" s="7"/>
      <c r="M152" s="7">
        <v>558263</v>
      </c>
      <c r="N152" s="7"/>
      <c r="O152" s="7">
        <v>383714</v>
      </c>
      <c r="P152" s="7"/>
      <c r="Q152" s="7">
        <v>691807</v>
      </c>
      <c r="R152" s="7"/>
      <c r="S152" s="7">
        <v>334</v>
      </c>
      <c r="T152" s="7"/>
      <c r="U152" s="7">
        <v>31324</v>
      </c>
      <c r="V152" s="7"/>
      <c r="W152" s="7">
        <f t="shared" si="11"/>
        <v>4187022</v>
      </c>
      <c r="X152" s="7"/>
      <c r="Y152" s="7">
        <v>6473466</v>
      </c>
      <c r="Z152" s="7"/>
      <c r="AA152" s="7">
        <f>+'Stmt net assets'!AC152</f>
        <v>6484121</v>
      </c>
      <c r="AB152" s="7"/>
      <c r="AC152" s="7">
        <f>+Y152+'Stmt of activities-GA rev'!AC152-'Stmt of activities-GAexp'!W152-AA152</f>
        <v>0</v>
      </c>
    </row>
    <row r="153" spans="1:29" ht="12.75" customHeight="1" x14ac:dyDescent="0.2">
      <c r="A153" s="10" t="s">
        <v>165</v>
      </c>
      <c r="C153" s="10" t="s">
        <v>64</v>
      </c>
      <c r="E153" s="7">
        <v>9109364</v>
      </c>
      <c r="F153" s="7"/>
      <c r="G153" s="7">
        <v>9325</v>
      </c>
      <c r="H153" s="7"/>
      <c r="I153" s="7">
        <v>2464942</v>
      </c>
      <c r="J153" s="7"/>
      <c r="K153" s="7">
        <v>1117200</v>
      </c>
      <c r="L153" s="7"/>
      <c r="M153" s="7">
        <v>1569191</v>
      </c>
      <c r="N153" s="7"/>
      <c r="O153" s="7">
        <v>1292645</v>
      </c>
      <c r="P153" s="7"/>
      <c r="Q153" s="7">
        <v>5247946</v>
      </c>
      <c r="R153" s="7"/>
      <c r="S153" s="7">
        <v>0</v>
      </c>
      <c r="T153" s="7"/>
      <c r="U153" s="7">
        <v>352659</v>
      </c>
      <c r="V153" s="7"/>
      <c r="W153" s="7">
        <f t="shared" si="11"/>
        <v>21163272</v>
      </c>
      <c r="X153" s="7"/>
      <c r="Y153" s="7">
        <v>50354381</v>
      </c>
      <c r="Z153" s="7"/>
      <c r="AA153" s="7">
        <f>+'Stmt net assets'!AC153</f>
        <v>55642227</v>
      </c>
      <c r="AB153" s="7"/>
      <c r="AC153" s="7">
        <f>+Y153+'Stmt of activities-GA rev'!AC153-'Stmt of activities-GAexp'!W153-AA153</f>
        <v>0</v>
      </c>
    </row>
    <row r="154" spans="1:29" ht="12.75" customHeight="1" x14ac:dyDescent="0.2">
      <c r="A154" s="7" t="s">
        <v>166</v>
      </c>
      <c r="C154" s="7" t="s">
        <v>25</v>
      </c>
      <c r="E154" s="7">
        <f>4981352+3923428+61957</f>
        <v>8966737</v>
      </c>
      <c r="F154" s="7"/>
      <c r="G154" s="7">
        <v>307505</v>
      </c>
      <c r="H154" s="7"/>
      <c r="I154" s="7">
        <v>3193469</v>
      </c>
      <c r="J154" s="7"/>
      <c r="K154" s="7">
        <f>555959+326237</f>
        <v>882196</v>
      </c>
      <c r="L154" s="7"/>
      <c r="M154" s="7">
        <v>2664848</v>
      </c>
      <c r="N154" s="7"/>
      <c r="O154" s="7">
        <v>1075455</v>
      </c>
      <c r="P154" s="7"/>
      <c r="Q154" s="7">
        <v>7297006</v>
      </c>
      <c r="R154" s="7"/>
      <c r="S154" s="7">
        <v>0</v>
      </c>
      <c r="T154" s="7"/>
      <c r="U154" s="7">
        <v>511361</v>
      </c>
      <c r="V154" s="7"/>
      <c r="W154" s="7">
        <f t="shared" si="11"/>
        <v>24898577</v>
      </c>
      <c r="X154" s="7"/>
      <c r="Y154" s="7">
        <v>56814522</v>
      </c>
      <c r="Z154" s="7"/>
      <c r="AA154" s="7">
        <f>+'Stmt net assets'!AC154</f>
        <v>58814724</v>
      </c>
      <c r="AB154" s="7"/>
      <c r="AC154" s="7">
        <f>+Y154+'Stmt of activities-GA rev'!AC154-'Stmt of activities-GAexp'!W154-AA154</f>
        <v>0</v>
      </c>
    </row>
    <row r="155" spans="1:29" ht="12.75" customHeight="1" x14ac:dyDescent="0.2">
      <c r="A155" s="10" t="s">
        <v>167</v>
      </c>
      <c r="C155" s="10" t="s">
        <v>101</v>
      </c>
      <c r="E155" s="7">
        <v>24464644</v>
      </c>
      <c r="F155" s="7"/>
      <c r="G155" s="7">
        <v>983425</v>
      </c>
      <c r="H155" s="7"/>
      <c r="I155" s="7">
        <v>1210030</v>
      </c>
      <c r="J155" s="7"/>
      <c r="K155" s="7">
        <v>14555192</v>
      </c>
      <c r="L155" s="7"/>
      <c r="M155" s="7">
        <v>9557510</v>
      </c>
      <c r="N155" s="7"/>
      <c r="O155" s="7">
        <v>0</v>
      </c>
      <c r="P155" s="7"/>
      <c r="Q155" s="7">
        <v>6172670</v>
      </c>
      <c r="R155" s="7"/>
      <c r="S155" s="7">
        <v>0</v>
      </c>
      <c r="T155" s="7"/>
      <c r="U155" s="7">
        <v>1401817</v>
      </c>
      <c r="V155" s="7"/>
      <c r="W155" s="7">
        <f t="shared" si="11"/>
        <v>58345288</v>
      </c>
      <c r="X155" s="7"/>
      <c r="Y155" s="7">
        <v>97602786</v>
      </c>
      <c r="Z155" s="7"/>
      <c r="AA155" s="7">
        <f>+'Stmt net assets'!AC155</f>
        <v>95856733</v>
      </c>
      <c r="AB155" s="7"/>
      <c r="AC155" s="7">
        <f>+Y155+'Stmt of activities-GA rev'!AC155-'Stmt of activities-GAexp'!W155-AA155</f>
        <v>0</v>
      </c>
    </row>
    <row r="156" spans="1:29" ht="12.75" customHeight="1" x14ac:dyDescent="0.2">
      <c r="A156" s="10" t="s">
        <v>168</v>
      </c>
      <c r="C156" s="10" t="s">
        <v>169</v>
      </c>
      <c r="E156" s="7">
        <v>4077591</v>
      </c>
      <c r="F156" s="7"/>
      <c r="G156" s="7">
        <v>499093</v>
      </c>
      <c r="H156" s="7"/>
      <c r="I156" s="7">
        <v>177317</v>
      </c>
      <c r="J156" s="7"/>
      <c r="K156" s="7">
        <v>0</v>
      </c>
      <c r="L156" s="7"/>
      <c r="M156" s="7">
        <v>790104</v>
      </c>
      <c r="N156" s="7"/>
      <c r="O156" s="7">
        <v>0</v>
      </c>
      <c r="P156" s="7"/>
      <c r="Q156" s="7">
        <v>1229676</v>
      </c>
      <c r="R156" s="7"/>
      <c r="S156" s="7">
        <v>30740</v>
      </c>
      <c r="T156" s="7"/>
      <c r="U156" s="7">
        <v>115215</v>
      </c>
      <c r="V156" s="7"/>
      <c r="W156" s="7">
        <f t="shared" si="11"/>
        <v>6919736</v>
      </c>
      <c r="X156" s="7"/>
      <c r="Y156" s="7">
        <v>10340028</v>
      </c>
      <c r="Z156" s="7"/>
      <c r="AA156" s="7">
        <f>+'Stmt net assets'!AC156</f>
        <v>10434799</v>
      </c>
      <c r="AB156" s="7"/>
      <c r="AC156" s="7">
        <f>+Y156+'Stmt of activities-GA rev'!AC156-'Stmt of activities-GAexp'!W156-AA156</f>
        <v>0</v>
      </c>
    </row>
    <row r="157" spans="1:29" ht="12.75" customHeight="1" x14ac:dyDescent="0.2">
      <c r="A157" s="10" t="s">
        <v>170</v>
      </c>
      <c r="C157" s="10" t="s">
        <v>101</v>
      </c>
      <c r="E157" s="7">
        <v>7081355</v>
      </c>
      <c r="F157" s="7"/>
      <c r="G157" s="7">
        <v>0</v>
      </c>
      <c r="H157" s="7"/>
      <c r="I157" s="7">
        <v>230553</v>
      </c>
      <c r="J157" s="7"/>
      <c r="K157" s="7">
        <v>0</v>
      </c>
      <c r="L157" s="7"/>
      <c r="M157" s="7">
        <v>3093607</v>
      </c>
      <c r="N157" s="7"/>
      <c r="O157" s="7">
        <v>0</v>
      </c>
      <c r="P157" s="7"/>
      <c r="Q157" s="7">
        <v>4794068</v>
      </c>
      <c r="R157" s="7"/>
      <c r="S157" s="7">
        <v>0</v>
      </c>
      <c r="T157" s="7"/>
      <c r="U157" s="7">
        <v>505726</v>
      </c>
      <c r="V157" s="7"/>
      <c r="W157" s="7">
        <f t="shared" si="11"/>
        <v>15705309</v>
      </c>
      <c r="X157" s="7"/>
      <c r="Y157" s="7">
        <v>54621667</v>
      </c>
      <c r="Z157" s="7"/>
      <c r="AA157" s="7">
        <f>+'Stmt net assets'!AC157</f>
        <v>55620340</v>
      </c>
      <c r="AB157" s="7"/>
      <c r="AC157" s="7">
        <f>+Y157+'Stmt of activities-GA rev'!AC157-'Stmt of activities-GAexp'!W157-AA157</f>
        <v>0</v>
      </c>
    </row>
    <row r="158" spans="1:29" ht="12.75" customHeight="1" x14ac:dyDescent="0.2">
      <c r="A158" s="10" t="s">
        <v>64</v>
      </c>
      <c r="C158" s="10" t="s">
        <v>43</v>
      </c>
      <c r="E158" s="7">
        <v>5938453</v>
      </c>
      <c r="F158" s="7"/>
      <c r="G158" s="7">
        <v>0</v>
      </c>
      <c r="H158" s="7"/>
      <c r="I158" s="7">
        <v>1350375</v>
      </c>
      <c r="J158" s="7"/>
      <c r="K158" s="7">
        <v>515765</v>
      </c>
      <c r="L158" s="7"/>
      <c r="M158" s="7">
        <v>2368658</v>
      </c>
      <c r="N158" s="7"/>
      <c r="O158" s="7">
        <v>0</v>
      </c>
      <c r="P158" s="7"/>
      <c r="Q158" s="7">
        <v>4435686</v>
      </c>
      <c r="R158" s="7"/>
      <c r="S158" s="7">
        <v>0</v>
      </c>
      <c r="T158" s="7"/>
      <c r="U158" s="7">
        <v>148817</v>
      </c>
      <c r="V158" s="7"/>
      <c r="W158" s="7">
        <f t="shared" si="11"/>
        <v>14757754</v>
      </c>
      <c r="X158" s="7"/>
      <c r="Y158" s="7">
        <v>68589815</v>
      </c>
      <c r="Z158" s="7"/>
      <c r="AA158" s="7">
        <f>+'Stmt net assets'!AC158</f>
        <v>70553479</v>
      </c>
      <c r="AB158" s="7"/>
      <c r="AC158" s="7">
        <f>+Y158+'Stmt of activities-GA rev'!AC158-'Stmt of activities-GAexp'!W158-AA158</f>
        <v>0</v>
      </c>
    </row>
    <row r="159" spans="1:29" ht="12.75" customHeight="1" x14ac:dyDescent="0.2">
      <c r="A159" s="10" t="s">
        <v>171</v>
      </c>
      <c r="C159" s="10" t="s">
        <v>64</v>
      </c>
      <c r="E159" s="7">
        <v>8146485</v>
      </c>
      <c r="F159" s="7"/>
      <c r="G159" s="7">
        <v>212986</v>
      </c>
      <c r="H159" s="7"/>
      <c r="I159" s="7">
        <v>1109016</v>
      </c>
      <c r="J159" s="7"/>
      <c r="K159" s="7">
        <v>479262</v>
      </c>
      <c r="L159" s="7"/>
      <c r="M159" s="7">
        <v>3415159</v>
      </c>
      <c r="N159" s="7"/>
      <c r="O159" s="7">
        <v>307931</v>
      </c>
      <c r="P159" s="7"/>
      <c r="Q159" s="7">
        <v>3662881</v>
      </c>
      <c r="R159" s="7"/>
      <c r="S159" s="7">
        <v>0</v>
      </c>
      <c r="T159" s="7"/>
      <c r="U159" s="7">
        <v>294491</v>
      </c>
      <c r="V159" s="7"/>
      <c r="W159" s="7">
        <f t="shared" si="11"/>
        <v>17628211</v>
      </c>
      <c r="X159" s="7"/>
      <c r="Y159" s="7">
        <v>40702876</v>
      </c>
      <c r="Z159" s="7"/>
      <c r="AA159" s="7">
        <f>+'Stmt net assets'!AC159</f>
        <v>36000360</v>
      </c>
      <c r="AB159" s="7"/>
      <c r="AC159" s="7">
        <f>+Y159+'Stmt of activities-GA rev'!AC159-'Stmt of activities-GAexp'!W159-AA159</f>
        <v>0</v>
      </c>
    </row>
    <row r="160" spans="1:29" ht="12.75" customHeight="1" x14ac:dyDescent="0.2">
      <c r="A160" s="10" t="s">
        <v>172</v>
      </c>
      <c r="C160" s="10" t="s">
        <v>43</v>
      </c>
      <c r="E160" s="7">
        <v>1730701</v>
      </c>
      <c r="F160" s="7"/>
      <c r="G160" s="7">
        <v>0</v>
      </c>
      <c r="H160" s="7"/>
      <c r="I160" s="7">
        <v>216387</v>
      </c>
      <c r="J160" s="7"/>
      <c r="K160" s="7">
        <v>118610</v>
      </c>
      <c r="L160" s="7"/>
      <c r="M160" s="7">
        <f>464524+714030</f>
        <v>1178554</v>
      </c>
      <c r="N160" s="7"/>
      <c r="O160" s="7">
        <v>0</v>
      </c>
      <c r="P160" s="7"/>
      <c r="Q160" s="7">
        <v>572000</v>
      </c>
      <c r="R160" s="7"/>
      <c r="S160" s="7">
        <v>0</v>
      </c>
      <c r="T160" s="7"/>
      <c r="U160" s="7">
        <v>79940</v>
      </c>
      <c r="V160" s="7"/>
      <c r="W160" s="7">
        <f t="shared" si="11"/>
        <v>3896192</v>
      </c>
      <c r="X160" s="7"/>
      <c r="Y160" s="7">
        <v>3268613</v>
      </c>
      <c r="Z160" s="7"/>
      <c r="AA160" s="7">
        <f>+'Stmt net assets'!AC160</f>
        <v>3495466</v>
      </c>
      <c r="AB160" s="7"/>
      <c r="AC160" s="7">
        <f>+Y160+'Stmt of activities-GA rev'!AC160-'Stmt of activities-GAexp'!W160-AA160</f>
        <v>0</v>
      </c>
    </row>
    <row r="161" spans="1:29" ht="12.75" customHeight="1" x14ac:dyDescent="0.2">
      <c r="A161" s="10" t="s">
        <v>173</v>
      </c>
      <c r="C161" s="10" t="s">
        <v>174</v>
      </c>
      <c r="E161" s="7">
        <v>6188789</v>
      </c>
      <c r="F161" s="7"/>
      <c r="G161" s="7">
        <v>723360</v>
      </c>
      <c r="H161" s="7"/>
      <c r="I161" s="7">
        <v>719024</v>
      </c>
      <c r="J161" s="7"/>
      <c r="K161" s="7">
        <v>528995</v>
      </c>
      <c r="L161" s="7"/>
      <c r="M161" s="7">
        <v>4228585</v>
      </c>
      <c r="N161" s="7"/>
      <c r="O161" s="7">
        <v>0</v>
      </c>
      <c r="P161" s="7"/>
      <c r="Q161" s="7">
        <v>4852231</v>
      </c>
      <c r="R161" s="7"/>
      <c r="S161" s="7">
        <v>0</v>
      </c>
      <c r="T161" s="7"/>
      <c r="U161" s="7">
        <v>510896</v>
      </c>
      <c r="V161" s="7"/>
      <c r="W161" s="7">
        <f t="shared" si="11"/>
        <v>17751880</v>
      </c>
      <c r="X161" s="7"/>
      <c r="Y161" s="7">
        <v>48128053</v>
      </c>
      <c r="Z161" s="7"/>
      <c r="AA161" s="7">
        <f>+'Stmt net assets'!AC161</f>
        <v>50870677</v>
      </c>
      <c r="AB161" s="7"/>
      <c r="AC161" s="7">
        <f>+Y161+'Stmt of activities-GA rev'!AC161-'Stmt of activities-GAexp'!W161-AA161</f>
        <v>0</v>
      </c>
    </row>
    <row r="162" spans="1:29" ht="12.75" customHeight="1" x14ac:dyDescent="0.2">
      <c r="A162" s="10" t="s">
        <v>175</v>
      </c>
      <c r="C162" s="10" t="s">
        <v>11</v>
      </c>
      <c r="E162" s="7">
        <v>1581089</v>
      </c>
      <c r="F162" s="7"/>
      <c r="G162" s="7">
        <v>39527</v>
      </c>
      <c r="H162" s="7"/>
      <c r="I162" s="7">
        <v>61630</v>
      </c>
      <c r="J162" s="7"/>
      <c r="K162" s="7">
        <v>0</v>
      </c>
      <c r="L162" s="7"/>
      <c r="M162" s="7">
        <v>384542</v>
      </c>
      <c r="N162" s="7"/>
      <c r="O162" s="7">
        <v>0</v>
      </c>
      <c r="P162" s="7"/>
      <c r="Q162" s="7">
        <v>696435</v>
      </c>
      <c r="R162" s="7"/>
      <c r="S162" s="7">
        <v>0</v>
      </c>
      <c r="T162" s="7"/>
      <c r="U162" s="7">
        <v>70688</v>
      </c>
      <c r="V162" s="7"/>
      <c r="W162" s="7">
        <f t="shared" si="11"/>
        <v>2833911</v>
      </c>
      <c r="X162" s="7"/>
      <c r="Y162" s="7">
        <v>9535880</v>
      </c>
      <c r="Z162" s="7"/>
      <c r="AA162" s="7">
        <f>+'Stmt net assets'!AC162</f>
        <v>9449408</v>
      </c>
      <c r="AB162" s="7"/>
      <c r="AC162" s="7">
        <f>+Y162+'Stmt of activities-GA rev'!AC162-'Stmt of activities-GAexp'!W162-AA162</f>
        <v>0</v>
      </c>
    </row>
    <row r="163" spans="1:29" ht="12.75" customHeight="1" x14ac:dyDescent="0.2">
      <c r="A163" s="10" t="s">
        <v>176</v>
      </c>
      <c r="C163" s="10" t="s">
        <v>177</v>
      </c>
      <c r="E163" s="7">
        <v>3461564</v>
      </c>
      <c r="F163" s="7"/>
      <c r="G163" s="7">
        <v>109157</v>
      </c>
      <c r="H163" s="7"/>
      <c r="I163" s="7">
        <v>920814</v>
      </c>
      <c r="J163" s="7"/>
      <c r="K163" s="7">
        <v>381223</v>
      </c>
      <c r="L163" s="7"/>
      <c r="M163" s="7">
        <v>1316777</v>
      </c>
      <c r="N163" s="7"/>
      <c r="O163" s="7">
        <v>0</v>
      </c>
      <c r="P163" s="7"/>
      <c r="Q163" s="7">
        <v>1329567</v>
      </c>
      <c r="R163" s="7"/>
      <c r="S163" s="7">
        <v>0</v>
      </c>
      <c r="T163" s="7"/>
      <c r="U163" s="7">
        <v>63709</v>
      </c>
      <c r="V163" s="7"/>
      <c r="W163" s="7">
        <f t="shared" si="11"/>
        <v>7582811</v>
      </c>
      <c r="X163" s="7"/>
      <c r="Y163" s="7">
        <v>35526516</v>
      </c>
      <c r="Z163" s="7"/>
      <c r="AA163" s="7">
        <f>+'Stmt net assets'!AC163</f>
        <v>35058184</v>
      </c>
      <c r="AB163" s="7"/>
      <c r="AC163" s="7">
        <f>+Y163+'Stmt of activities-GA rev'!AC163-'Stmt of activities-GAexp'!W163-AA163</f>
        <v>0</v>
      </c>
    </row>
    <row r="164" spans="1:29" ht="12.75" customHeight="1" x14ac:dyDescent="0.2">
      <c r="A164" s="10" t="s">
        <v>178</v>
      </c>
      <c r="C164" s="10" t="s">
        <v>18</v>
      </c>
      <c r="E164" s="7">
        <f>908599+457118</f>
        <v>1365717</v>
      </c>
      <c r="F164" s="7"/>
      <c r="G164" s="7">
        <v>0</v>
      </c>
      <c r="H164" s="7"/>
      <c r="I164" s="7">
        <v>317068</v>
      </c>
      <c r="J164" s="7"/>
      <c r="K164" s="7">
        <v>357936</v>
      </c>
      <c r="L164" s="7"/>
      <c r="M164" s="7">
        <v>1086841</v>
      </c>
      <c r="N164" s="7"/>
      <c r="O164" s="7">
        <v>0</v>
      </c>
      <c r="P164" s="7"/>
      <c r="Q164" s="7">
        <v>539381</v>
      </c>
      <c r="R164" s="7"/>
      <c r="S164" s="7">
        <v>0</v>
      </c>
      <c r="T164" s="7"/>
      <c r="U164" s="7">
        <v>15395</v>
      </c>
      <c r="V164" s="7"/>
      <c r="W164" s="7">
        <f t="shared" si="11"/>
        <v>3682338</v>
      </c>
      <c r="X164" s="7"/>
      <c r="Y164" s="7">
        <v>14774077</v>
      </c>
      <c r="Z164" s="7"/>
      <c r="AA164" s="7">
        <f>+'Stmt net assets'!AC164</f>
        <v>14140853</v>
      </c>
      <c r="AB164" s="7"/>
      <c r="AC164" s="7">
        <f>+Y164+'Stmt of activities-GA rev'!AC164-'Stmt of activities-GAexp'!W164-AA164</f>
        <v>0</v>
      </c>
    </row>
    <row r="165" spans="1:29" ht="12.75" customHeight="1" x14ac:dyDescent="0.2">
      <c r="A165" s="7" t="s">
        <v>495</v>
      </c>
      <c r="B165" s="10"/>
      <c r="C165" s="7" t="s">
        <v>41</v>
      </c>
      <c r="E165" s="7">
        <v>3090324</v>
      </c>
      <c r="F165" s="7"/>
      <c r="G165" s="7">
        <v>0</v>
      </c>
      <c r="H165" s="7"/>
      <c r="I165" s="7">
        <v>0</v>
      </c>
      <c r="J165" s="7"/>
      <c r="K165" s="7">
        <f>1709447+9000124</f>
        <v>10709571</v>
      </c>
      <c r="L165" s="7"/>
      <c r="M165" s="7">
        <v>5752363</v>
      </c>
      <c r="N165" s="7"/>
      <c r="O165" s="7">
        <v>0</v>
      </c>
      <c r="P165" s="7"/>
      <c r="Q165" s="7">
        <v>4863778</v>
      </c>
      <c r="R165" s="7"/>
      <c r="S165" s="7">
        <v>0</v>
      </c>
      <c r="T165" s="7"/>
      <c r="U165" s="7">
        <v>1364906</v>
      </c>
      <c r="V165" s="7"/>
      <c r="W165" s="7">
        <f t="shared" si="11"/>
        <v>25780942</v>
      </c>
      <c r="X165" s="7"/>
      <c r="Y165" s="7">
        <v>98863682</v>
      </c>
      <c r="Z165" s="7"/>
      <c r="AA165" s="7">
        <f>+'Stmt net assets'!AC165</f>
        <v>105556633</v>
      </c>
      <c r="AB165" s="7"/>
      <c r="AC165" s="7">
        <f>+Y165+'Stmt of activities-GA rev'!AC165-'Stmt of activities-GAexp'!W165-AA165</f>
        <v>0</v>
      </c>
    </row>
    <row r="166" spans="1:29" ht="12.75" customHeight="1" x14ac:dyDescent="0.2">
      <c r="A166" s="10" t="s">
        <v>180</v>
      </c>
      <c r="C166" s="10" t="s">
        <v>181</v>
      </c>
      <c r="E166" s="7">
        <v>678544</v>
      </c>
      <c r="F166" s="7"/>
      <c r="G166" s="7">
        <v>878997</v>
      </c>
      <c r="H166" s="7"/>
      <c r="I166" s="7">
        <v>80311</v>
      </c>
      <c r="J166" s="7"/>
      <c r="K166" s="7">
        <v>39745</v>
      </c>
      <c r="L166" s="7"/>
      <c r="M166" s="7">
        <v>305555</v>
      </c>
      <c r="N166" s="7"/>
      <c r="O166" s="7">
        <v>0</v>
      </c>
      <c r="P166" s="7"/>
      <c r="Q166" s="7">
        <v>769736</v>
      </c>
      <c r="R166" s="7"/>
      <c r="S166" s="7">
        <v>52131</v>
      </c>
      <c r="T166" s="7"/>
      <c r="U166" s="7">
        <v>120629</v>
      </c>
      <c r="V166" s="7"/>
      <c r="W166" s="7">
        <f t="shared" si="11"/>
        <v>2925648</v>
      </c>
      <c r="X166" s="7"/>
      <c r="Y166" s="7">
        <v>5562316</v>
      </c>
      <c r="Z166" s="7"/>
      <c r="AA166" s="7">
        <f>+'Stmt net assets'!AC166</f>
        <v>5726826</v>
      </c>
      <c r="AB166" s="7"/>
      <c r="AC166" s="7">
        <f>+Y166+'Stmt of activities-GA rev'!AC166-'Stmt of activities-GAexp'!W166-AA166</f>
        <v>0</v>
      </c>
    </row>
    <row r="167" spans="1:29" ht="12.75" customHeight="1" x14ac:dyDescent="0.2">
      <c r="A167" s="10" t="s">
        <v>481</v>
      </c>
      <c r="C167" s="10" t="s">
        <v>11</v>
      </c>
      <c r="E167" s="7">
        <v>3976792</v>
      </c>
      <c r="F167" s="7"/>
      <c r="G167" s="7">
        <v>125005</v>
      </c>
      <c r="H167" s="7"/>
      <c r="I167" s="7">
        <v>68137</v>
      </c>
      <c r="J167" s="7"/>
      <c r="K167" s="7">
        <v>114583</v>
      </c>
      <c r="L167" s="7"/>
      <c r="M167" s="7">
        <v>1025669</v>
      </c>
      <c r="N167" s="7"/>
      <c r="O167" s="7">
        <v>0</v>
      </c>
      <c r="P167" s="7"/>
      <c r="Q167" s="7">
        <v>795567</v>
      </c>
      <c r="R167" s="7"/>
      <c r="S167" s="7">
        <v>0</v>
      </c>
      <c r="T167" s="7"/>
      <c r="U167" s="7">
        <v>2649</v>
      </c>
      <c r="V167" s="7"/>
      <c r="W167" s="7">
        <f t="shared" si="11"/>
        <v>6108402</v>
      </c>
      <c r="X167" s="7"/>
      <c r="Y167" s="7">
        <v>9306149</v>
      </c>
      <c r="Z167" s="7"/>
      <c r="AA167" s="7">
        <f>+'Stmt net assets'!AC167</f>
        <v>9622649</v>
      </c>
      <c r="AB167" s="7"/>
      <c r="AC167" s="7">
        <f>+Y167+'Stmt of activities-GA rev'!AC167-'Stmt of activities-GAexp'!W167-AA167</f>
        <v>0</v>
      </c>
    </row>
    <row r="168" spans="1:29" ht="12.75" customHeight="1" x14ac:dyDescent="0.2"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11" t="s">
        <v>478</v>
      </c>
      <c r="AB168" s="7"/>
      <c r="AC168" s="7"/>
    </row>
    <row r="169" spans="1:29" ht="12.75" customHeight="1" x14ac:dyDescent="0.2">
      <c r="A169" s="10" t="s">
        <v>182</v>
      </c>
      <c r="C169" s="10" t="s">
        <v>87</v>
      </c>
      <c r="E169" s="9">
        <v>5204601</v>
      </c>
      <c r="F169" s="9"/>
      <c r="G169" s="9">
        <v>775354</v>
      </c>
      <c r="H169" s="9"/>
      <c r="I169" s="9">
        <v>1023620</v>
      </c>
      <c r="J169" s="9"/>
      <c r="K169" s="9">
        <v>220468</v>
      </c>
      <c r="L169" s="9"/>
      <c r="M169" s="9">
        <v>2254541</v>
      </c>
      <c r="N169" s="9"/>
      <c r="O169" s="9">
        <v>0</v>
      </c>
      <c r="P169" s="9"/>
      <c r="Q169" s="9">
        <v>3643991</v>
      </c>
      <c r="R169" s="9"/>
      <c r="S169" s="9">
        <v>0</v>
      </c>
      <c r="T169" s="9"/>
      <c r="U169" s="9">
        <v>80412</v>
      </c>
      <c r="V169" s="9"/>
      <c r="W169" s="9">
        <f t="shared" ref="W169:W185" si="12">SUM(E169:U169)</f>
        <v>13202987</v>
      </c>
      <c r="X169" s="9"/>
      <c r="Y169" s="9">
        <v>33127286</v>
      </c>
      <c r="Z169" s="9"/>
      <c r="AA169" s="9">
        <f>+'Stmt net assets'!AC169</f>
        <v>32120696</v>
      </c>
      <c r="AB169" s="7"/>
      <c r="AC169" s="7">
        <f>+Y169+'Stmt of activities-GA rev'!AC169-'Stmt of activities-GAexp'!W169-AA169</f>
        <v>0</v>
      </c>
    </row>
    <row r="170" spans="1:29" ht="12.75" customHeight="1" x14ac:dyDescent="0.2">
      <c r="A170" s="10" t="s">
        <v>179</v>
      </c>
      <c r="C170" s="10" t="s">
        <v>123</v>
      </c>
      <c r="E170" s="7">
        <v>19288483</v>
      </c>
      <c r="F170" s="7"/>
      <c r="G170" s="7">
        <v>1770199</v>
      </c>
      <c r="H170" s="7"/>
      <c r="I170" s="7">
        <v>658305</v>
      </c>
      <c r="J170" s="7"/>
      <c r="K170" s="7">
        <v>2221036</v>
      </c>
      <c r="L170" s="7"/>
      <c r="M170" s="7">
        <v>6457578</v>
      </c>
      <c r="N170" s="7"/>
      <c r="O170" s="7">
        <v>0</v>
      </c>
      <c r="P170" s="7"/>
      <c r="Q170" s="7">
        <v>10860659</v>
      </c>
      <c r="R170" s="7"/>
      <c r="S170" s="7">
        <v>0</v>
      </c>
      <c r="T170" s="7"/>
      <c r="U170" s="7">
        <v>799142</v>
      </c>
      <c r="V170" s="7"/>
      <c r="W170" s="7">
        <f t="shared" si="12"/>
        <v>42055402</v>
      </c>
      <c r="X170" s="7"/>
      <c r="Y170" s="7">
        <v>58672969</v>
      </c>
      <c r="Z170" s="7"/>
      <c r="AA170" s="7">
        <f>+'Stmt net assets'!AC170</f>
        <v>58447486</v>
      </c>
      <c r="AB170" s="7"/>
      <c r="AC170" s="7">
        <f>+Y170+'Stmt of activities-GA rev'!AC170-'Stmt of activities-GAexp'!W170-AA170</f>
        <v>0</v>
      </c>
    </row>
    <row r="171" spans="1:29" ht="12.75" customHeight="1" x14ac:dyDescent="0.2">
      <c r="A171" s="10" t="s">
        <v>183</v>
      </c>
      <c r="C171" s="10" t="s">
        <v>78</v>
      </c>
      <c r="E171" s="7">
        <v>8469071</v>
      </c>
      <c r="F171" s="7"/>
      <c r="G171" s="7">
        <v>637559</v>
      </c>
      <c r="H171" s="7"/>
      <c r="I171" s="7">
        <v>601719</v>
      </c>
      <c r="J171" s="7"/>
      <c r="K171" s="7">
        <v>888597</v>
      </c>
      <c r="L171" s="7"/>
      <c r="M171" s="7">
        <v>1556115</v>
      </c>
      <c r="N171" s="7"/>
      <c r="O171" s="7">
        <v>0</v>
      </c>
      <c r="P171" s="7"/>
      <c r="Q171" s="7">
        <v>2029654</v>
      </c>
      <c r="R171" s="7"/>
      <c r="S171" s="7">
        <v>156149</v>
      </c>
      <c r="T171" s="7"/>
      <c r="U171" s="7">
        <v>129319</v>
      </c>
      <c r="V171" s="7"/>
      <c r="W171" s="7">
        <f t="shared" si="12"/>
        <v>14468183</v>
      </c>
      <c r="X171" s="7"/>
      <c r="Y171" s="7">
        <v>27001679</v>
      </c>
      <c r="Z171" s="7"/>
      <c r="AA171" s="7">
        <f>+'Stmt net assets'!AC171</f>
        <v>27256068</v>
      </c>
      <c r="AB171" s="7"/>
      <c r="AC171" s="7">
        <f>+Y171+'Stmt of activities-GA rev'!AC171-'Stmt of activities-GAexp'!W171-AA171</f>
        <v>0</v>
      </c>
    </row>
    <row r="172" spans="1:29" ht="12.75" customHeight="1" x14ac:dyDescent="0.2">
      <c r="A172" s="7" t="s">
        <v>184</v>
      </c>
      <c r="B172" s="7"/>
      <c r="C172" s="7" t="s">
        <v>13</v>
      </c>
      <c r="D172" s="7"/>
      <c r="E172" s="7">
        <f>3184475+731977</f>
        <v>3916452</v>
      </c>
      <c r="F172" s="7"/>
      <c r="G172" s="7">
        <v>1690461</v>
      </c>
      <c r="H172" s="7"/>
      <c r="I172" s="7">
        <v>791895</v>
      </c>
      <c r="J172" s="7"/>
      <c r="K172" s="7">
        <v>416531</v>
      </c>
      <c r="L172" s="7"/>
      <c r="M172" s="7">
        <v>2985062</v>
      </c>
      <c r="N172" s="7"/>
      <c r="O172" s="7">
        <v>542450</v>
      </c>
      <c r="P172" s="7"/>
      <c r="Q172" s="7">
        <v>1914208</v>
      </c>
      <c r="R172" s="7"/>
      <c r="S172" s="7">
        <v>0</v>
      </c>
      <c r="T172" s="7"/>
      <c r="U172" s="7">
        <v>94829</v>
      </c>
      <c r="V172" s="7"/>
      <c r="W172" s="7">
        <f t="shared" si="12"/>
        <v>12351888</v>
      </c>
      <c r="X172" s="7"/>
      <c r="Y172" s="7">
        <v>36744392</v>
      </c>
      <c r="Z172" s="7"/>
      <c r="AA172" s="7">
        <f>+'Stmt net assets'!AC172</f>
        <v>40183517</v>
      </c>
      <c r="AB172" s="7"/>
      <c r="AC172" s="7">
        <f>+Y172+'Stmt of activities-GA rev'!AC172-'Stmt of activities-GAexp'!W172-AA172</f>
        <v>0</v>
      </c>
    </row>
    <row r="173" spans="1:29" s="7" customFormat="1" ht="12.75" customHeight="1" x14ac:dyDescent="0.2">
      <c r="A173" s="7" t="s">
        <v>185</v>
      </c>
      <c r="B173" s="20"/>
      <c r="C173" s="7" t="s">
        <v>25</v>
      </c>
      <c r="E173" s="7">
        <v>12847883</v>
      </c>
      <c r="G173" s="7">
        <v>527602</v>
      </c>
      <c r="I173" s="7">
        <v>2472946</v>
      </c>
      <c r="K173" s="7">
        <v>476253</v>
      </c>
      <c r="M173" s="7">
        <v>11039234</v>
      </c>
      <c r="O173" s="7">
        <v>2100931</v>
      </c>
      <c r="Q173" s="7">
        <v>3634219</v>
      </c>
      <c r="S173" s="7">
        <v>0</v>
      </c>
      <c r="U173" s="7">
        <v>1197352</v>
      </c>
      <c r="W173" s="7">
        <f t="shared" si="12"/>
        <v>34296420</v>
      </c>
      <c r="Y173" s="7">
        <v>55401619</v>
      </c>
      <c r="AA173" s="7">
        <f>+'Stmt net assets'!AC173</f>
        <v>54568883</v>
      </c>
      <c r="AC173" s="7">
        <f>+Y173+'Stmt of activities-GA rev'!AC173-'Stmt of activities-GAexp'!W173-AA173</f>
        <v>0</v>
      </c>
    </row>
    <row r="174" spans="1:29" ht="12.75" customHeight="1" x14ac:dyDescent="0.2">
      <c r="A174" s="10" t="s">
        <v>187</v>
      </c>
      <c r="C174" s="10" t="s">
        <v>15</v>
      </c>
      <c r="E174" s="7">
        <v>10673542</v>
      </c>
      <c r="F174" s="7"/>
      <c r="G174" s="7">
        <v>442970</v>
      </c>
      <c r="H174" s="7"/>
      <c r="I174" s="7">
        <v>417638</v>
      </c>
      <c r="J174" s="7"/>
      <c r="K174" s="7">
        <v>1200276</v>
      </c>
      <c r="L174" s="7"/>
      <c r="M174" s="7">
        <v>5896752</v>
      </c>
      <c r="N174" s="7"/>
      <c r="O174" s="7">
        <v>0</v>
      </c>
      <c r="P174" s="7"/>
      <c r="Q174" s="7">
        <v>6530544</v>
      </c>
      <c r="R174" s="7"/>
      <c r="S174" s="7">
        <v>0</v>
      </c>
      <c r="T174" s="7"/>
      <c r="U174" s="7">
        <v>228047</v>
      </c>
      <c r="V174" s="7"/>
      <c r="W174" s="7">
        <f t="shared" si="12"/>
        <v>25389769</v>
      </c>
      <c r="X174" s="7"/>
      <c r="Y174" s="7">
        <v>64968470</v>
      </c>
      <c r="Z174" s="7"/>
      <c r="AA174" s="7">
        <f>+'Stmt net assets'!AC174</f>
        <v>66609937</v>
      </c>
      <c r="AB174" s="7"/>
      <c r="AC174" s="7">
        <f>+Y174+'Stmt of activities-GA rev'!AC174-'Stmt of activities-GAexp'!W174-AA174</f>
        <v>0</v>
      </c>
    </row>
    <row r="175" spans="1:29" ht="12.75" customHeight="1" x14ac:dyDescent="0.2">
      <c r="A175" s="10" t="s">
        <v>186</v>
      </c>
      <c r="C175" s="10" t="s">
        <v>25</v>
      </c>
      <c r="E175" s="7">
        <v>11253858</v>
      </c>
      <c r="F175" s="7"/>
      <c r="G175" s="7">
        <v>568321</v>
      </c>
      <c r="H175" s="7"/>
      <c r="I175" s="7">
        <v>773456</v>
      </c>
      <c r="J175" s="7"/>
      <c r="K175" s="7">
        <v>694876</v>
      </c>
      <c r="L175" s="7"/>
      <c r="M175" s="7">
        <v>3441260</v>
      </c>
      <c r="N175" s="7"/>
      <c r="O175" s="7">
        <v>2477425</v>
      </c>
      <c r="P175" s="7"/>
      <c r="Q175" s="7">
        <v>3732754</v>
      </c>
      <c r="R175" s="7"/>
      <c r="S175" s="7">
        <v>0</v>
      </c>
      <c r="T175" s="7"/>
      <c r="U175" s="7">
        <v>736347</v>
      </c>
      <c r="V175" s="7"/>
      <c r="W175" s="7">
        <f t="shared" si="12"/>
        <v>23678297</v>
      </c>
      <c r="X175" s="7"/>
      <c r="Y175" s="7">
        <v>108417386</v>
      </c>
      <c r="Z175" s="7"/>
      <c r="AA175" s="7">
        <f>+'Stmt net assets'!AC175</f>
        <v>90946325</v>
      </c>
      <c r="AB175" s="7"/>
      <c r="AC175" s="7">
        <f>+Y175+'Stmt of activities-GA rev'!AC175-'Stmt of activities-GAexp'!W175-AA175</f>
        <v>0</v>
      </c>
    </row>
    <row r="176" spans="1:29" ht="12.75" customHeight="1" x14ac:dyDescent="0.2">
      <c r="A176" s="10" t="s">
        <v>188</v>
      </c>
      <c r="C176" s="10" t="s">
        <v>45</v>
      </c>
      <c r="E176" s="7">
        <v>2708090</v>
      </c>
      <c r="F176" s="7"/>
      <c r="G176" s="7">
        <v>6695</v>
      </c>
      <c r="H176" s="7"/>
      <c r="I176" s="7">
        <v>80200</v>
      </c>
      <c r="J176" s="7"/>
      <c r="K176" s="7">
        <v>102235</v>
      </c>
      <c r="L176" s="7"/>
      <c r="M176" s="7">
        <v>972133</v>
      </c>
      <c r="N176" s="7"/>
      <c r="O176" s="7">
        <v>86753</v>
      </c>
      <c r="P176" s="7"/>
      <c r="Q176" s="7">
        <v>1518514</v>
      </c>
      <c r="R176" s="7"/>
      <c r="S176" s="7">
        <v>0</v>
      </c>
      <c r="T176" s="7"/>
      <c r="U176" s="7">
        <v>81286</v>
      </c>
      <c r="V176" s="7"/>
      <c r="W176" s="7">
        <f t="shared" si="12"/>
        <v>5555906</v>
      </c>
      <c r="X176" s="7"/>
      <c r="Y176" s="7">
        <v>14042353</v>
      </c>
      <c r="Z176" s="7"/>
      <c r="AA176" s="7">
        <f>+'Stmt net assets'!AC176</f>
        <v>15292877</v>
      </c>
      <c r="AB176" s="7"/>
      <c r="AC176" s="7">
        <f>+Y176+'Stmt of activities-GA rev'!AC176-'Stmt of activities-GAexp'!W176-AA176</f>
        <v>0</v>
      </c>
    </row>
    <row r="177" spans="1:30" ht="12.75" customHeight="1" x14ac:dyDescent="0.2">
      <c r="A177" s="10" t="s">
        <v>189</v>
      </c>
      <c r="C177" s="10" t="s">
        <v>11</v>
      </c>
      <c r="E177" s="7">
        <v>3356224</v>
      </c>
      <c r="F177" s="7"/>
      <c r="G177" s="7">
        <v>90538</v>
      </c>
      <c r="H177" s="7"/>
      <c r="I177" s="7">
        <v>123147</v>
      </c>
      <c r="J177" s="7"/>
      <c r="K177" s="7">
        <v>205175</v>
      </c>
      <c r="L177" s="7"/>
      <c r="M177" s="7">
        <v>1508362</v>
      </c>
      <c r="N177" s="7"/>
      <c r="O177" s="7">
        <v>0</v>
      </c>
      <c r="P177" s="7"/>
      <c r="Q177" s="7">
        <v>1834090</v>
      </c>
      <c r="R177" s="7"/>
      <c r="S177" s="7">
        <v>0</v>
      </c>
      <c r="T177" s="7"/>
      <c r="U177" s="7">
        <v>539046</v>
      </c>
      <c r="V177" s="7"/>
      <c r="W177" s="7">
        <f t="shared" si="12"/>
        <v>7656582</v>
      </c>
      <c r="X177" s="7"/>
      <c r="Y177" s="7">
        <v>23293648</v>
      </c>
      <c r="Z177" s="7"/>
      <c r="AA177" s="7">
        <f>+'Stmt net assets'!AC177</f>
        <v>27084613</v>
      </c>
      <c r="AB177" s="7"/>
      <c r="AC177" s="7">
        <f>+Y177+'Stmt of activities-GA rev'!AC177-'Stmt of activities-GAexp'!W177-AA177</f>
        <v>0</v>
      </c>
    </row>
    <row r="178" spans="1:30" ht="12.75" customHeight="1" x14ac:dyDescent="0.2">
      <c r="A178" s="10" t="s">
        <v>190</v>
      </c>
      <c r="C178" s="10" t="s">
        <v>36</v>
      </c>
      <c r="E178" s="7">
        <v>4894489</v>
      </c>
      <c r="F178" s="7"/>
      <c r="G178" s="7">
        <v>142536</v>
      </c>
      <c r="H178" s="7"/>
      <c r="I178" s="7">
        <v>1741278</v>
      </c>
      <c r="J178" s="7"/>
      <c r="K178" s="7">
        <v>640055</v>
      </c>
      <c r="L178" s="7"/>
      <c r="M178" s="7">
        <v>1471826</v>
      </c>
      <c r="N178" s="7"/>
      <c r="O178" s="7">
        <v>0</v>
      </c>
      <c r="P178" s="7"/>
      <c r="Q178" s="7">
        <v>2079931</v>
      </c>
      <c r="R178" s="7"/>
      <c r="S178" s="7">
        <v>0</v>
      </c>
      <c r="T178" s="7"/>
      <c r="U178" s="7">
        <v>48053</v>
      </c>
      <c r="V178" s="7"/>
      <c r="W178" s="7">
        <f t="shared" si="12"/>
        <v>11018168</v>
      </c>
      <c r="X178" s="7"/>
      <c r="Y178" s="7">
        <v>29039187</v>
      </c>
      <c r="Z178" s="7"/>
      <c r="AA178" s="7">
        <f>+'Stmt net assets'!AC178</f>
        <v>29476043</v>
      </c>
      <c r="AB178" s="7"/>
      <c r="AC178" s="7">
        <f>+Y178+'Stmt of activities-GA rev'!AC178-'Stmt of activities-GAexp'!W178-AA178</f>
        <v>0</v>
      </c>
    </row>
    <row r="179" spans="1:30" ht="12.75" customHeight="1" x14ac:dyDescent="0.2">
      <c r="A179" s="10" t="s">
        <v>191</v>
      </c>
      <c r="C179" s="10" t="s">
        <v>43</v>
      </c>
      <c r="E179" s="7">
        <f>6215001+7119026</f>
        <v>13334027</v>
      </c>
      <c r="F179" s="7"/>
      <c r="G179" s="7">
        <v>975283</v>
      </c>
      <c r="H179" s="7"/>
      <c r="I179" s="7">
        <v>570531</v>
      </c>
      <c r="J179" s="7"/>
      <c r="K179" s="7">
        <v>109309</v>
      </c>
      <c r="L179" s="7"/>
      <c r="M179" s="7">
        <v>1221315</v>
      </c>
      <c r="N179" s="7"/>
      <c r="O179" s="7">
        <v>11841</v>
      </c>
      <c r="P179" s="7"/>
      <c r="Q179" s="7">
        <v>3555637</v>
      </c>
      <c r="R179" s="7"/>
      <c r="S179" s="7">
        <f>491962+402158</f>
        <v>894120</v>
      </c>
      <c r="T179" s="7"/>
      <c r="U179" s="7">
        <v>1149530</v>
      </c>
      <c r="V179" s="7"/>
      <c r="W179" s="7">
        <f t="shared" si="12"/>
        <v>21821593</v>
      </c>
      <c r="X179" s="7"/>
      <c r="Y179" s="7">
        <v>1151265</v>
      </c>
      <c r="Z179" s="7"/>
      <c r="AA179" s="7">
        <f>+'Stmt net assets'!AC179</f>
        <v>1900278</v>
      </c>
      <c r="AB179" s="7"/>
      <c r="AC179" s="7">
        <f>+Y179+'Stmt of activities-GA rev'!AC179-'Stmt of activities-GAexp'!W179-AA179</f>
        <v>0</v>
      </c>
      <c r="AD179" s="20"/>
    </row>
    <row r="180" spans="1:30" ht="12.75" customHeight="1" x14ac:dyDescent="0.2">
      <c r="A180" s="10" t="s">
        <v>192</v>
      </c>
      <c r="C180" s="10" t="s">
        <v>64</v>
      </c>
      <c r="E180" s="7">
        <v>5325823</v>
      </c>
      <c r="F180" s="7"/>
      <c r="G180" s="7">
        <v>116604</v>
      </c>
      <c r="H180" s="7"/>
      <c r="I180" s="7">
        <v>1023111</v>
      </c>
      <c r="J180" s="7"/>
      <c r="K180" s="7">
        <v>1972632</v>
      </c>
      <c r="L180" s="7"/>
      <c r="M180" s="7">
        <v>1019039</v>
      </c>
      <c r="N180" s="7"/>
      <c r="O180" s="7">
        <v>885704</v>
      </c>
      <c r="P180" s="7"/>
      <c r="Q180" s="7">
        <v>2726184</v>
      </c>
      <c r="R180" s="7"/>
      <c r="S180" s="7">
        <v>0</v>
      </c>
      <c r="T180" s="7"/>
      <c r="U180" s="7">
        <v>49343</v>
      </c>
      <c r="V180" s="7"/>
      <c r="W180" s="7">
        <f t="shared" si="12"/>
        <v>13118440</v>
      </c>
      <c r="X180" s="7"/>
      <c r="Y180" s="7">
        <v>48370399</v>
      </c>
      <c r="Z180" s="7"/>
      <c r="AA180" s="7">
        <f>+'Stmt net assets'!AC180</f>
        <v>45201693</v>
      </c>
      <c r="AB180" s="7"/>
      <c r="AC180" s="7">
        <f>+Y180+'Stmt of activities-GA rev'!AC180-'Stmt of activities-GAexp'!W180-AA180</f>
        <v>0</v>
      </c>
    </row>
    <row r="181" spans="1:30" ht="12.75" customHeight="1" x14ac:dyDescent="0.2">
      <c r="A181" s="10" t="s">
        <v>193</v>
      </c>
      <c r="C181" s="10" t="s">
        <v>15</v>
      </c>
      <c r="E181" s="7">
        <v>3691708</v>
      </c>
      <c r="F181" s="7"/>
      <c r="G181" s="7">
        <v>129608</v>
      </c>
      <c r="H181" s="7"/>
      <c r="I181" s="7">
        <v>789639</v>
      </c>
      <c r="J181" s="7"/>
      <c r="K181" s="7">
        <v>699176</v>
      </c>
      <c r="L181" s="7"/>
      <c r="M181" s="7">
        <v>2401564</v>
      </c>
      <c r="N181" s="7"/>
      <c r="O181" s="7">
        <v>267084</v>
      </c>
      <c r="P181" s="7"/>
      <c r="Q181" s="7">
        <v>3524832</v>
      </c>
      <c r="R181" s="7"/>
      <c r="S181" s="7">
        <v>0</v>
      </c>
      <c r="T181" s="7"/>
      <c r="U181" s="7">
        <v>322657</v>
      </c>
      <c r="V181" s="7"/>
      <c r="W181" s="7">
        <f t="shared" si="12"/>
        <v>11826268</v>
      </c>
      <c r="X181" s="7"/>
      <c r="Y181" s="7">
        <v>38260080</v>
      </c>
      <c r="Z181" s="7"/>
      <c r="AA181" s="7">
        <f>+'Stmt net assets'!AC181</f>
        <v>38350722</v>
      </c>
      <c r="AB181" s="7"/>
      <c r="AC181" s="7">
        <f>+Y181+'Stmt of activities-GA rev'!AC181-'Stmt of activities-GAexp'!W181-AA181</f>
        <v>0</v>
      </c>
    </row>
    <row r="182" spans="1:30" ht="12.75" hidden="1" customHeight="1" x14ac:dyDescent="0.2">
      <c r="A182" s="7" t="s">
        <v>194</v>
      </c>
      <c r="C182" s="7" t="s">
        <v>25</v>
      </c>
      <c r="E182" s="7">
        <v>3024480</v>
      </c>
      <c r="F182" s="7"/>
      <c r="G182" s="7">
        <v>94274</v>
      </c>
      <c r="H182" s="7"/>
      <c r="I182" s="7">
        <v>150248</v>
      </c>
      <c r="J182" s="7"/>
      <c r="K182" s="7">
        <f>311465+449096</f>
        <v>760561</v>
      </c>
      <c r="L182" s="7"/>
      <c r="M182" s="7">
        <v>1245420</v>
      </c>
      <c r="N182" s="7"/>
      <c r="O182" s="7">
        <v>0</v>
      </c>
      <c r="P182" s="7"/>
      <c r="Q182" s="7">
        <v>1168441</v>
      </c>
      <c r="R182" s="7"/>
      <c r="S182" s="7">
        <v>0</v>
      </c>
      <c r="T182" s="7"/>
      <c r="U182" s="7">
        <v>168881</v>
      </c>
      <c r="V182" s="7"/>
      <c r="W182" s="7">
        <f t="shared" si="12"/>
        <v>6612305</v>
      </c>
      <c r="X182" s="7"/>
      <c r="Y182" s="7">
        <v>27491620</v>
      </c>
      <c r="Z182" s="7"/>
      <c r="AA182" s="7">
        <f>+'Stmt net assets'!AC182</f>
        <v>28381376</v>
      </c>
      <c r="AB182" s="7"/>
      <c r="AC182" s="7">
        <f>+Y182+'Stmt of activities-GA rev'!AC182-'Stmt of activities-GAexp'!W182-AA182</f>
        <v>0</v>
      </c>
    </row>
    <row r="183" spans="1:30" ht="12.75" customHeight="1" x14ac:dyDescent="0.2">
      <c r="A183" s="7" t="s">
        <v>384</v>
      </c>
      <c r="C183" s="7" t="s">
        <v>151</v>
      </c>
      <c r="E183" s="7">
        <v>2382213</v>
      </c>
      <c r="F183" s="7"/>
      <c r="G183" s="7">
        <v>79</v>
      </c>
      <c r="H183" s="7"/>
      <c r="I183" s="7">
        <v>186460</v>
      </c>
      <c r="J183" s="7"/>
      <c r="K183" s="7">
        <v>25833</v>
      </c>
      <c r="L183" s="7"/>
      <c r="M183" s="7">
        <v>2023077</v>
      </c>
      <c r="N183" s="7"/>
      <c r="O183" s="7">
        <v>0</v>
      </c>
      <c r="P183" s="7"/>
      <c r="Q183" s="7">
        <v>1796559</v>
      </c>
      <c r="R183" s="7"/>
      <c r="S183" s="7">
        <v>0</v>
      </c>
      <c r="T183" s="7"/>
      <c r="U183" s="7">
        <v>71025</v>
      </c>
      <c r="V183" s="7"/>
      <c r="W183" s="7">
        <f t="shared" si="12"/>
        <v>6485246</v>
      </c>
      <c r="X183" s="7"/>
      <c r="Y183" s="7">
        <v>25630882</v>
      </c>
      <c r="Z183" s="7"/>
      <c r="AA183" s="7">
        <f>+'Stmt net assets'!AC183</f>
        <v>25952106</v>
      </c>
      <c r="AB183" s="7"/>
      <c r="AC183" s="7">
        <f>+Y183+'Stmt of activities-GA rev'!AC183-'Stmt of activities-GAexp'!W183-AA183</f>
        <v>0</v>
      </c>
    </row>
    <row r="184" spans="1:30" ht="12.75" customHeight="1" x14ac:dyDescent="0.2">
      <c r="A184" s="10" t="s">
        <v>195</v>
      </c>
      <c r="C184" s="10" t="s">
        <v>161</v>
      </c>
      <c r="E184" s="7">
        <v>10672795</v>
      </c>
      <c r="F184" s="7"/>
      <c r="G184" s="7">
        <v>475272</v>
      </c>
      <c r="H184" s="7"/>
      <c r="I184" s="7">
        <v>1012219</v>
      </c>
      <c r="J184" s="7"/>
      <c r="K184" s="7">
        <v>1214502</v>
      </c>
      <c r="L184" s="7"/>
      <c r="M184" s="7">
        <v>5404000</v>
      </c>
      <c r="N184" s="7"/>
      <c r="O184" s="7">
        <v>642256</v>
      </c>
      <c r="P184" s="7"/>
      <c r="Q184" s="7">
        <v>5592626</v>
      </c>
      <c r="R184" s="7"/>
      <c r="S184" s="7">
        <v>0</v>
      </c>
      <c r="T184" s="7"/>
      <c r="U184" s="7">
        <v>678838</v>
      </c>
      <c r="V184" s="7"/>
      <c r="W184" s="7">
        <f t="shared" si="12"/>
        <v>25692508</v>
      </c>
      <c r="X184" s="7"/>
      <c r="Y184" s="7">
        <v>66168464</v>
      </c>
      <c r="Z184" s="7"/>
      <c r="AA184" s="7">
        <f>+'Stmt net assets'!AC184</f>
        <v>87590371</v>
      </c>
      <c r="AB184" s="7"/>
      <c r="AC184" s="7">
        <f>+Y184+'Stmt of activities-GA rev'!AC184-'Stmt of activities-GAexp'!W184-AA184</f>
        <v>0</v>
      </c>
    </row>
    <row r="185" spans="1:30" ht="12.75" customHeight="1" x14ac:dyDescent="0.2">
      <c r="A185" s="10" t="s">
        <v>196</v>
      </c>
      <c r="C185" s="10" t="s">
        <v>197</v>
      </c>
      <c r="E185" s="7">
        <f>2035706+583869</f>
        <v>2619575</v>
      </c>
      <c r="F185" s="7"/>
      <c r="G185" s="7">
        <v>355785</v>
      </c>
      <c r="H185" s="7"/>
      <c r="I185" s="7">
        <v>388379</v>
      </c>
      <c r="J185" s="7"/>
      <c r="K185" s="7">
        <v>0</v>
      </c>
      <c r="L185" s="7"/>
      <c r="M185" s="7">
        <v>2178927</v>
      </c>
      <c r="N185" s="7"/>
      <c r="O185" s="7">
        <v>434596</v>
      </c>
      <c r="P185" s="7"/>
      <c r="Q185" s="7">
        <v>1524270</v>
      </c>
      <c r="R185" s="7"/>
      <c r="S185" s="7">
        <v>0</v>
      </c>
      <c r="T185" s="7"/>
      <c r="U185" s="7">
        <v>48529</v>
      </c>
      <c r="V185" s="7"/>
      <c r="W185" s="7">
        <f t="shared" si="12"/>
        <v>7550061</v>
      </c>
      <c r="X185" s="7"/>
      <c r="Y185" s="7">
        <v>49844178</v>
      </c>
      <c r="Z185" s="7"/>
      <c r="AA185" s="7">
        <f>+'Stmt net assets'!AC185</f>
        <v>51587517</v>
      </c>
      <c r="AB185" s="7"/>
      <c r="AC185" s="7">
        <f>+Y185+'Stmt of activities-GA rev'!AC185-'Stmt of activities-GAexp'!W185-AA185</f>
        <v>0</v>
      </c>
    </row>
    <row r="186" spans="1:30" s="9" customFormat="1" ht="12" customHeight="1" x14ac:dyDescent="0.2">
      <c r="A186" s="9" t="s">
        <v>198</v>
      </c>
      <c r="B186" s="21"/>
      <c r="C186" s="9" t="s">
        <v>101</v>
      </c>
      <c r="E186" s="7">
        <v>5991074</v>
      </c>
      <c r="F186" s="7"/>
      <c r="G186" s="7">
        <v>127693</v>
      </c>
      <c r="H186" s="7"/>
      <c r="I186" s="7">
        <v>1706600</v>
      </c>
      <c r="J186" s="7"/>
      <c r="K186" s="7">
        <v>866756</v>
      </c>
      <c r="L186" s="7"/>
      <c r="M186" s="7">
        <v>2557062</v>
      </c>
      <c r="N186" s="7"/>
      <c r="O186" s="7">
        <v>0</v>
      </c>
      <c r="P186" s="7"/>
      <c r="Q186" s="7">
        <v>1657064</v>
      </c>
      <c r="R186" s="7"/>
      <c r="S186" s="7">
        <v>0</v>
      </c>
      <c r="T186" s="7"/>
      <c r="U186" s="7">
        <v>78806</v>
      </c>
      <c r="V186" s="7"/>
      <c r="W186" s="7">
        <f t="shared" ref="W186:W209" si="13">SUM(E186:U186)</f>
        <v>12985055</v>
      </c>
      <c r="X186" s="7"/>
      <c r="Y186" s="7">
        <v>49886982</v>
      </c>
      <c r="Z186" s="7"/>
      <c r="AA186" s="7">
        <f>+'Stmt net assets'!AC186</f>
        <v>51097624</v>
      </c>
      <c r="AC186" s="9">
        <f>+Y186+'Stmt of activities-GA rev'!AC186-'Stmt of activities-GAexp'!W186-AA186</f>
        <v>0</v>
      </c>
    </row>
    <row r="187" spans="1:30" ht="12.75" customHeight="1" x14ac:dyDescent="0.2">
      <c r="A187" s="10" t="s">
        <v>199</v>
      </c>
      <c r="C187" s="10" t="s">
        <v>90</v>
      </c>
      <c r="E187" s="7">
        <v>6830774</v>
      </c>
      <c r="F187" s="7"/>
      <c r="G187" s="7">
        <v>559347</v>
      </c>
      <c r="H187" s="7"/>
      <c r="I187" s="7">
        <v>682194</v>
      </c>
      <c r="J187" s="7"/>
      <c r="K187" s="7">
        <v>180433</v>
      </c>
      <c r="L187" s="7"/>
      <c r="M187" s="7">
        <v>1803834</v>
      </c>
      <c r="N187" s="7"/>
      <c r="O187" s="7">
        <v>0</v>
      </c>
      <c r="P187" s="7"/>
      <c r="Q187" s="7">
        <v>6066417</v>
      </c>
      <c r="R187" s="7"/>
      <c r="S187" s="7">
        <v>0</v>
      </c>
      <c r="T187" s="7"/>
      <c r="U187" s="7">
        <v>304756</v>
      </c>
      <c r="V187" s="7"/>
      <c r="W187" s="7">
        <f t="shared" si="13"/>
        <v>16427755</v>
      </c>
      <c r="X187" s="7"/>
      <c r="Y187" s="7">
        <v>41353455</v>
      </c>
      <c r="Z187" s="7"/>
      <c r="AA187" s="7">
        <f>+'Stmt net assets'!AC187</f>
        <v>43689433</v>
      </c>
      <c r="AB187" s="7"/>
      <c r="AC187" s="7">
        <f>+Y187+'Stmt of activities-GA rev'!AC187-'Stmt of activities-GAexp'!W187-AA187</f>
        <v>0</v>
      </c>
    </row>
    <row r="188" spans="1:30" ht="12.75" customHeight="1" x14ac:dyDescent="0.2">
      <c r="A188" s="10" t="s">
        <v>200</v>
      </c>
      <c r="C188" s="10" t="s">
        <v>25</v>
      </c>
      <c r="E188" s="7">
        <v>27237292</v>
      </c>
      <c r="F188" s="7"/>
      <c r="G188" s="7">
        <v>313348</v>
      </c>
      <c r="H188" s="7"/>
      <c r="I188" s="7">
        <v>3270204</v>
      </c>
      <c r="J188" s="7"/>
      <c r="K188" s="7">
        <v>8219632</v>
      </c>
      <c r="L188" s="7"/>
      <c r="M188" s="7">
        <v>4624291</v>
      </c>
      <c r="N188" s="7"/>
      <c r="O188" s="7">
        <v>2939793</v>
      </c>
      <c r="P188" s="7"/>
      <c r="Q188" s="7">
        <v>25376526</v>
      </c>
      <c r="R188" s="7"/>
      <c r="S188" s="7">
        <v>0</v>
      </c>
      <c r="T188" s="7"/>
      <c r="U188" s="7">
        <v>1141485</v>
      </c>
      <c r="V188" s="7"/>
      <c r="W188" s="7">
        <f t="shared" si="13"/>
        <v>73122571</v>
      </c>
      <c r="X188" s="7"/>
      <c r="Y188" s="7">
        <v>85278626</v>
      </c>
      <c r="Z188" s="7"/>
      <c r="AA188" s="7">
        <f>+'Stmt net assets'!AC188</f>
        <v>87061518</v>
      </c>
      <c r="AB188" s="7"/>
      <c r="AC188" s="7">
        <f>+Y188+'Stmt of activities-GA rev'!AC188-'Stmt of activities-GAexp'!W188-AA188</f>
        <v>0</v>
      </c>
    </row>
    <row r="189" spans="1:30" ht="12.75" customHeight="1" x14ac:dyDescent="0.2">
      <c r="A189" s="10" t="s">
        <v>201</v>
      </c>
      <c r="C189" s="10" t="s">
        <v>25</v>
      </c>
      <c r="E189" s="7">
        <v>9324264</v>
      </c>
      <c r="F189" s="7"/>
      <c r="G189" s="7">
        <v>377542</v>
      </c>
      <c r="H189" s="7"/>
      <c r="I189" s="7">
        <v>794660</v>
      </c>
      <c r="J189" s="7"/>
      <c r="K189" s="7">
        <v>2977983</v>
      </c>
      <c r="L189" s="7"/>
      <c r="M189" s="7">
        <v>2544132</v>
      </c>
      <c r="N189" s="7"/>
      <c r="O189" s="7">
        <v>1117916</v>
      </c>
      <c r="P189" s="7"/>
      <c r="Q189" s="7">
        <v>2043863</v>
      </c>
      <c r="R189" s="7"/>
      <c r="S189" s="7">
        <v>0</v>
      </c>
      <c r="T189" s="7"/>
      <c r="U189" s="7">
        <v>339933</v>
      </c>
      <c r="V189" s="7"/>
      <c r="W189" s="7">
        <f t="shared" si="13"/>
        <v>19520293</v>
      </c>
      <c r="X189" s="7"/>
      <c r="Y189" s="7">
        <v>31474836</v>
      </c>
      <c r="Z189" s="7"/>
      <c r="AA189" s="7">
        <f>+'Stmt net assets'!AC189</f>
        <v>33719034</v>
      </c>
      <c r="AB189" s="7"/>
      <c r="AC189" s="7">
        <f>+Y189+'Stmt of activities-GA rev'!AC189-'Stmt of activities-GAexp'!W189-AA189</f>
        <v>0</v>
      </c>
    </row>
    <row r="190" spans="1:30" ht="12.75" customHeight="1" x14ac:dyDescent="0.2">
      <c r="A190" s="10" t="s">
        <v>202</v>
      </c>
      <c r="C190" s="10" t="s">
        <v>123</v>
      </c>
      <c r="E190" s="7">
        <v>1391309</v>
      </c>
      <c r="F190" s="7"/>
      <c r="G190" s="7">
        <v>111485</v>
      </c>
      <c r="H190" s="7"/>
      <c r="I190" s="7">
        <v>50103</v>
      </c>
      <c r="J190" s="7"/>
      <c r="K190" s="7">
        <v>591589</v>
      </c>
      <c r="L190" s="7"/>
      <c r="M190" s="7">
        <v>2279621</v>
      </c>
      <c r="N190" s="7"/>
      <c r="O190" s="7">
        <v>0</v>
      </c>
      <c r="P190" s="7"/>
      <c r="Q190" s="7">
        <v>1357119</v>
      </c>
      <c r="R190" s="7"/>
      <c r="S190" s="7">
        <v>0</v>
      </c>
      <c r="T190" s="7"/>
      <c r="U190" s="7">
        <v>45967</v>
      </c>
      <c r="V190" s="7"/>
      <c r="W190" s="7">
        <f t="shared" si="13"/>
        <v>5827193</v>
      </c>
      <c r="X190" s="7"/>
      <c r="Y190" s="7">
        <v>18274310</v>
      </c>
      <c r="Z190" s="7"/>
      <c r="AA190" s="7">
        <f>+'Stmt net assets'!AC190</f>
        <v>20582964</v>
      </c>
      <c r="AB190" s="7"/>
      <c r="AC190" s="7">
        <f>+Y190+'Stmt of activities-GA rev'!AC190-'Stmt of activities-GAexp'!W190-AA190</f>
        <v>0</v>
      </c>
    </row>
    <row r="191" spans="1:30" ht="12.75" customHeight="1" x14ac:dyDescent="0.2">
      <c r="A191" s="10" t="s">
        <v>203</v>
      </c>
      <c r="C191" s="10" t="s">
        <v>25</v>
      </c>
      <c r="E191" s="7">
        <f>2721152+2169617</f>
        <v>4890769</v>
      </c>
      <c r="F191" s="7"/>
      <c r="G191" s="7">
        <v>54412</v>
      </c>
      <c r="H191" s="7"/>
      <c r="I191" s="7">
        <v>0</v>
      </c>
      <c r="J191" s="7"/>
      <c r="K191" s="7">
        <v>273452</v>
      </c>
      <c r="L191" s="7"/>
      <c r="M191" s="7">
        <v>1902783</v>
      </c>
      <c r="N191" s="7"/>
      <c r="O191" s="7">
        <v>1015598</v>
      </c>
      <c r="P191" s="7"/>
      <c r="Q191" s="7">
        <v>1354060</v>
      </c>
      <c r="R191" s="7"/>
      <c r="S191" s="7">
        <v>0</v>
      </c>
      <c r="T191" s="7"/>
      <c r="U191" s="7">
        <v>336776</v>
      </c>
      <c r="V191" s="7"/>
      <c r="W191" s="7">
        <f t="shared" si="13"/>
        <v>9827850</v>
      </c>
      <c r="X191" s="7"/>
      <c r="Y191" s="7">
        <v>16343072</v>
      </c>
      <c r="Z191" s="7"/>
      <c r="AA191" s="7">
        <f>+'Stmt net assets'!AC191</f>
        <v>21370039</v>
      </c>
      <c r="AB191" s="7"/>
      <c r="AC191" s="7">
        <f>+Y191+'Stmt of activities-GA rev'!AC191-'Stmt of activities-GAexp'!W191-AA191</f>
        <v>0</v>
      </c>
    </row>
    <row r="192" spans="1:30" ht="12.75" customHeight="1" x14ac:dyDescent="0.2">
      <c r="A192" s="10" t="s">
        <v>204</v>
      </c>
      <c r="C192" s="10" t="s">
        <v>45</v>
      </c>
      <c r="E192" s="7">
        <v>8840017</v>
      </c>
      <c r="F192" s="7"/>
      <c r="G192" s="7">
        <v>29432</v>
      </c>
      <c r="H192" s="7"/>
      <c r="I192" s="7">
        <v>1421676</v>
      </c>
      <c r="J192" s="7"/>
      <c r="K192" s="7">
        <v>912722</v>
      </c>
      <c r="L192" s="7"/>
      <c r="M192" s="7">
        <v>3070452</v>
      </c>
      <c r="N192" s="7"/>
      <c r="O192" s="7">
        <v>1165558</v>
      </c>
      <c r="P192" s="7"/>
      <c r="Q192" s="7">
        <v>4721824</v>
      </c>
      <c r="R192" s="7"/>
      <c r="S192" s="7">
        <v>0</v>
      </c>
      <c r="T192" s="7"/>
      <c r="U192" s="7">
        <v>14725</v>
      </c>
      <c r="V192" s="7"/>
      <c r="W192" s="7">
        <f t="shared" si="13"/>
        <v>20176406</v>
      </c>
      <c r="X192" s="7"/>
      <c r="Y192" s="7">
        <v>93706580</v>
      </c>
      <c r="Z192" s="7"/>
      <c r="AA192" s="7">
        <f>+'Stmt net assets'!AC192</f>
        <v>98502673</v>
      </c>
      <c r="AB192" s="7"/>
      <c r="AC192" s="7">
        <f>+Y192+'Stmt of activities-GA rev'!AC192-'Stmt of activities-GAexp'!W192-AA192</f>
        <v>0</v>
      </c>
    </row>
    <row r="193" spans="1:29" ht="12.75" customHeight="1" x14ac:dyDescent="0.2">
      <c r="A193" s="10" t="s">
        <v>205</v>
      </c>
      <c r="C193" s="10" t="s">
        <v>100</v>
      </c>
      <c r="E193" s="7">
        <v>4462428</v>
      </c>
      <c r="F193" s="7"/>
      <c r="G193" s="7">
        <v>127888</v>
      </c>
      <c r="H193" s="7"/>
      <c r="I193" s="7">
        <v>647569</v>
      </c>
      <c r="J193" s="7"/>
      <c r="K193" s="7">
        <v>777125</v>
      </c>
      <c r="L193" s="7"/>
      <c r="M193" s="7">
        <v>3232743</v>
      </c>
      <c r="N193" s="7"/>
      <c r="O193" s="7">
        <v>0</v>
      </c>
      <c r="P193" s="7"/>
      <c r="Q193" s="7">
        <v>2675205</v>
      </c>
      <c r="R193" s="7"/>
      <c r="S193" s="7">
        <v>0</v>
      </c>
      <c r="T193" s="7"/>
      <c r="U193" s="7">
        <v>353602</v>
      </c>
      <c r="V193" s="7"/>
      <c r="W193" s="7">
        <f t="shared" si="13"/>
        <v>12276560</v>
      </c>
      <c r="X193" s="7"/>
      <c r="Y193" s="7">
        <v>50615293</v>
      </c>
      <c r="Z193" s="7"/>
      <c r="AA193" s="7">
        <f>+'Stmt net assets'!AC193</f>
        <v>50877769</v>
      </c>
      <c r="AB193" s="7"/>
      <c r="AC193" s="7">
        <f>+Y193+'Stmt of activities-GA rev'!AC193-'Stmt of activities-GAexp'!W193-AA193</f>
        <v>0</v>
      </c>
    </row>
    <row r="194" spans="1:29" ht="12.75" customHeight="1" x14ac:dyDescent="0.2">
      <c r="A194" s="10" t="s">
        <v>206</v>
      </c>
      <c r="C194" s="10" t="s">
        <v>207</v>
      </c>
      <c r="E194" s="7">
        <v>7778195</v>
      </c>
      <c r="F194" s="7"/>
      <c r="G194" s="7">
        <v>0</v>
      </c>
      <c r="H194" s="7"/>
      <c r="I194" s="7">
        <v>475706</v>
      </c>
      <c r="J194" s="7"/>
      <c r="K194" s="7">
        <v>1944480</v>
      </c>
      <c r="L194" s="7"/>
      <c r="M194" s="7">
        <v>3081248</v>
      </c>
      <c r="N194" s="7"/>
      <c r="O194" s="7">
        <v>0</v>
      </c>
      <c r="P194" s="7"/>
      <c r="Q194" s="7">
        <v>1878876</v>
      </c>
      <c r="R194" s="7"/>
      <c r="S194" s="7">
        <v>0</v>
      </c>
      <c r="T194" s="7"/>
      <c r="U194" s="7">
        <v>68013</v>
      </c>
      <c r="V194" s="7"/>
      <c r="W194" s="7">
        <f t="shared" si="13"/>
        <v>15226518</v>
      </c>
      <c r="X194" s="7"/>
      <c r="Y194" s="7">
        <v>69741380</v>
      </c>
      <c r="Z194" s="7"/>
      <c r="AA194" s="7">
        <f>+'Stmt net assets'!AC194</f>
        <v>72497214</v>
      </c>
      <c r="AB194" s="7"/>
      <c r="AC194" s="7">
        <f>+Y194+'Stmt of activities-GA rev'!AC194-'Stmt of activities-GAexp'!W194-AA194</f>
        <v>0</v>
      </c>
    </row>
    <row r="195" spans="1:29" ht="12.75" customHeight="1" x14ac:dyDescent="0.2">
      <c r="A195" s="10" t="s">
        <v>208</v>
      </c>
      <c r="C195" s="10" t="s">
        <v>209</v>
      </c>
      <c r="E195" s="7">
        <f>1822292+335625</f>
        <v>2157917</v>
      </c>
      <c r="F195" s="7"/>
      <c r="G195" s="7">
        <v>218346</v>
      </c>
      <c r="H195" s="7"/>
      <c r="I195" s="7">
        <v>72772</v>
      </c>
      <c r="J195" s="7"/>
      <c r="K195" s="7">
        <v>262721</v>
      </c>
      <c r="L195" s="7"/>
      <c r="M195" s="7">
        <v>861095</v>
      </c>
      <c r="N195" s="7"/>
      <c r="O195" s="7">
        <v>0</v>
      </c>
      <c r="P195" s="7"/>
      <c r="Q195" s="7">
        <v>1701651</v>
      </c>
      <c r="R195" s="7"/>
      <c r="S195" s="7">
        <v>0</v>
      </c>
      <c r="T195" s="7"/>
      <c r="U195" s="7">
        <v>14606</v>
      </c>
      <c r="V195" s="7"/>
      <c r="W195" s="7">
        <f t="shared" si="13"/>
        <v>5289108</v>
      </c>
      <c r="X195" s="7"/>
      <c r="Y195" s="7">
        <v>12390642</v>
      </c>
      <c r="Z195" s="7"/>
      <c r="AA195" s="7">
        <f>+'Stmt net assets'!AC195</f>
        <v>12506090</v>
      </c>
      <c r="AB195" s="7"/>
      <c r="AC195" s="7">
        <f>+Y195+'Stmt of activities-GA rev'!AC195-'Stmt of activities-GAexp'!W195-AA195</f>
        <v>0</v>
      </c>
    </row>
    <row r="196" spans="1:29" ht="12.75" customHeight="1" x14ac:dyDescent="0.2">
      <c r="A196" s="10" t="s">
        <v>210</v>
      </c>
      <c r="C196" s="10" t="s">
        <v>211</v>
      </c>
      <c r="E196" s="7">
        <v>8549570</v>
      </c>
      <c r="F196" s="7"/>
      <c r="G196" s="7">
        <v>2829266</v>
      </c>
      <c r="H196" s="7"/>
      <c r="I196" s="7">
        <v>126749</v>
      </c>
      <c r="J196" s="7"/>
      <c r="K196" s="7">
        <v>795348</v>
      </c>
      <c r="L196" s="7"/>
      <c r="M196" s="7">
        <v>2188678</v>
      </c>
      <c r="N196" s="7"/>
      <c r="O196" s="7">
        <v>0</v>
      </c>
      <c r="P196" s="7"/>
      <c r="Q196" s="7">
        <v>3954959</v>
      </c>
      <c r="R196" s="7"/>
      <c r="S196" s="7">
        <v>0</v>
      </c>
      <c r="T196" s="7"/>
      <c r="U196" s="7">
        <v>113254</v>
      </c>
      <c r="V196" s="7"/>
      <c r="W196" s="7">
        <f t="shared" si="13"/>
        <v>18557824</v>
      </c>
      <c r="X196" s="7"/>
      <c r="Y196" s="7">
        <v>24997449</v>
      </c>
      <c r="Z196" s="7"/>
      <c r="AA196" s="7">
        <f>+'Stmt net assets'!AC196</f>
        <v>25218281</v>
      </c>
      <c r="AB196" s="7"/>
      <c r="AC196" s="7">
        <f>+Y196+'Stmt of activities-GA rev'!AC196-'Stmt of activities-GAexp'!W196-AA196</f>
        <v>0</v>
      </c>
    </row>
    <row r="197" spans="1:29" ht="12.75" customHeight="1" x14ac:dyDescent="0.2">
      <c r="A197" s="10" t="s">
        <v>212</v>
      </c>
      <c r="C197" s="10" t="s">
        <v>84</v>
      </c>
      <c r="E197" s="7">
        <v>2275656</v>
      </c>
      <c r="F197" s="7"/>
      <c r="G197" s="7">
        <v>0</v>
      </c>
      <c r="H197" s="7"/>
      <c r="I197" s="7">
        <v>951128</v>
      </c>
      <c r="J197" s="7"/>
      <c r="K197" s="7">
        <v>10482974</v>
      </c>
      <c r="L197" s="7"/>
      <c r="M197" s="7">
        <v>0</v>
      </c>
      <c r="N197" s="7"/>
      <c r="O197" s="7">
        <v>1965286</v>
      </c>
      <c r="P197" s="7"/>
      <c r="Q197" s="7">
        <v>1731950</v>
      </c>
      <c r="R197" s="7"/>
      <c r="S197" s="7">
        <v>0</v>
      </c>
      <c r="T197" s="7"/>
      <c r="U197" s="7">
        <v>1359578</v>
      </c>
      <c r="V197" s="7"/>
      <c r="W197" s="7">
        <f t="shared" si="13"/>
        <v>18766572</v>
      </c>
      <c r="X197" s="7"/>
      <c r="Y197" s="7">
        <v>29223010</v>
      </c>
      <c r="Z197" s="7"/>
      <c r="AA197" s="7">
        <f>+'Stmt net assets'!AC197</f>
        <v>21204484</v>
      </c>
      <c r="AB197" s="7"/>
      <c r="AC197" s="7">
        <f>+Y197+'Stmt of activities-GA rev'!AC197-'Stmt of activities-GAexp'!W197-AA197</f>
        <v>0</v>
      </c>
    </row>
    <row r="198" spans="1:29" ht="12.75" customHeight="1" x14ac:dyDescent="0.2">
      <c r="A198" s="10" t="s">
        <v>213</v>
      </c>
      <c r="C198" s="10" t="s">
        <v>20</v>
      </c>
      <c r="E198" s="7">
        <f>3183105+2122241</f>
        <v>5305346</v>
      </c>
      <c r="F198" s="7"/>
      <c r="G198" s="7">
        <v>248651</v>
      </c>
      <c r="H198" s="7"/>
      <c r="I198" s="7">
        <v>855954</v>
      </c>
      <c r="J198" s="7"/>
      <c r="K198" s="7">
        <v>1091754</v>
      </c>
      <c r="L198" s="7"/>
      <c r="M198" s="7">
        <v>2332569</v>
      </c>
      <c r="N198" s="7"/>
      <c r="O198" s="7">
        <v>35994</v>
      </c>
      <c r="P198" s="7"/>
      <c r="Q198" s="7">
        <v>1487485</v>
      </c>
      <c r="R198" s="7"/>
      <c r="S198" s="7">
        <v>0</v>
      </c>
      <c r="T198" s="7"/>
      <c r="U198" s="7">
        <v>383522</v>
      </c>
      <c r="V198" s="7"/>
      <c r="W198" s="7">
        <f t="shared" si="13"/>
        <v>11741275</v>
      </c>
      <c r="X198" s="7"/>
      <c r="Y198" s="7">
        <v>47123761</v>
      </c>
      <c r="Z198" s="7"/>
      <c r="AA198" s="7">
        <f>+'Stmt net assets'!AC198</f>
        <v>46946133</v>
      </c>
      <c r="AB198" s="7"/>
      <c r="AC198" s="7">
        <f>+Y198+'Stmt of activities-GA rev'!AC198-'Stmt of activities-GAexp'!W198-AA198</f>
        <v>0</v>
      </c>
    </row>
    <row r="199" spans="1:29" ht="12.75" customHeight="1" x14ac:dyDescent="0.2">
      <c r="A199" s="10" t="s">
        <v>214</v>
      </c>
      <c r="C199" s="10" t="s">
        <v>43</v>
      </c>
      <c r="E199" s="7">
        <v>5647431</v>
      </c>
      <c r="F199" s="7"/>
      <c r="G199" s="7">
        <v>5190</v>
      </c>
      <c r="H199" s="7"/>
      <c r="I199" s="7">
        <v>435229</v>
      </c>
      <c r="J199" s="7"/>
      <c r="K199" s="7">
        <v>174053</v>
      </c>
      <c r="L199" s="7"/>
      <c r="M199" s="7">
        <v>771072</v>
      </c>
      <c r="N199" s="7"/>
      <c r="O199" s="7">
        <v>473346</v>
      </c>
      <c r="P199" s="7"/>
      <c r="Q199" s="7">
        <v>1943296</v>
      </c>
      <c r="R199" s="7"/>
      <c r="S199" s="7">
        <v>0</v>
      </c>
      <c r="T199" s="7"/>
      <c r="U199" s="7">
        <v>81878</v>
      </c>
      <c r="V199" s="7"/>
      <c r="W199" s="7">
        <f t="shared" si="13"/>
        <v>9531495</v>
      </c>
      <c r="X199" s="7"/>
      <c r="Y199" s="7">
        <v>6422121</v>
      </c>
      <c r="Z199" s="7"/>
      <c r="AA199" s="7">
        <f>+'Stmt net assets'!AC199</f>
        <v>7292932</v>
      </c>
      <c r="AB199" s="7"/>
      <c r="AC199" s="7">
        <f>+Y199+'Stmt of activities-GA rev'!AC199-'Stmt of activities-GAexp'!W199-AA199</f>
        <v>0</v>
      </c>
    </row>
    <row r="200" spans="1:29" ht="12.75" customHeight="1" x14ac:dyDescent="0.2">
      <c r="A200" s="10" t="s">
        <v>215</v>
      </c>
      <c r="C200" s="10" t="s">
        <v>41</v>
      </c>
      <c r="E200" s="7">
        <v>8652688</v>
      </c>
      <c r="F200" s="7"/>
      <c r="G200" s="7">
        <v>205667</v>
      </c>
      <c r="H200" s="7"/>
      <c r="I200" s="7">
        <v>1034234</v>
      </c>
      <c r="J200" s="7"/>
      <c r="K200" s="7">
        <v>1262546</v>
      </c>
      <c r="L200" s="7"/>
      <c r="M200" s="7">
        <v>3181127</v>
      </c>
      <c r="N200" s="7"/>
      <c r="O200" s="7">
        <v>0</v>
      </c>
      <c r="P200" s="7"/>
      <c r="Q200" s="7">
        <v>4812660</v>
      </c>
      <c r="R200" s="7"/>
      <c r="S200" s="7">
        <v>0</v>
      </c>
      <c r="T200" s="7"/>
      <c r="U200" s="7">
        <v>1185952</v>
      </c>
      <c r="V200" s="7"/>
      <c r="W200" s="7">
        <f t="shared" si="13"/>
        <v>20334874</v>
      </c>
      <c r="X200" s="7"/>
      <c r="Y200" s="7">
        <v>51730443</v>
      </c>
      <c r="Z200" s="7"/>
      <c r="AA200" s="7">
        <f>+'Stmt net assets'!AC200</f>
        <v>51674265</v>
      </c>
      <c r="AB200" s="7"/>
      <c r="AC200" s="7">
        <f>+Y200+'Stmt of activities-GA rev'!AC200-'Stmt of activities-GAexp'!W200-AA200</f>
        <v>0</v>
      </c>
    </row>
    <row r="201" spans="1:29" ht="12.75" customHeight="1" x14ac:dyDescent="0.2">
      <c r="A201" s="10" t="s">
        <v>216</v>
      </c>
      <c r="C201" s="10" t="s">
        <v>25</v>
      </c>
      <c r="E201" s="7">
        <v>5372843</v>
      </c>
      <c r="F201" s="7"/>
      <c r="G201" s="7">
        <v>0</v>
      </c>
      <c r="H201" s="7"/>
      <c r="I201" s="7">
        <v>428954</v>
      </c>
      <c r="J201" s="7"/>
      <c r="K201" s="7">
        <v>633056</v>
      </c>
      <c r="L201" s="7"/>
      <c r="M201" s="7">
        <v>2053246</v>
      </c>
      <c r="N201" s="7"/>
      <c r="O201" s="7">
        <v>0</v>
      </c>
      <c r="P201" s="7"/>
      <c r="Q201" s="7">
        <v>1782696</v>
      </c>
      <c r="R201" s="7"/>
      <c r="S201" s="7">
        <v>0</v>
      </c>
      <c r="T201" s="7"/>
      <c r="U201" s="7">
        <v>535707</v>
      </c>
      <c r="V201" s="7"/>
      <c r="W201" s="7">
        <f t="shared" si="13"/>
        <v>10806502</v>
      </c>
      <c r="X201" s="7"/>
      <c r="Y201" s="7">
        <v>14553170</v>
      </c>
      <c r="Z201" s="7"/>
      <c r="AA201" s="7">
        <f>+'Stmt net assets'!AC201</f>
        <v>15648607</v>
      </c>
      <c r="AB201" s="7"/>
      <c r="AC201" s="7">
        <f>+Y201+'Stmt of activities-GA rev'!AC201-'Stmt of activities-GAexp'!W201-AA201</f>
        <v>0</v>
      </c>
    </row>
    <row r="202" spans="1:29" ht="12.75" customHeight="1" x14ac:dyDescent="0.2">
      <c r="A202" s="10" t="s">
        <v>217</v>
      </c>
      <c r="C202" s="10" t="s">
        <v>197</v>
      </c>
      <c r="E202" s="7">
        <v>1553430</v>
      </c>
      <c r="F202" s="7"/>
      <c r="G202" s="7">
        <v>125966</v>
      </c>
      <c r="H202" s="7"/>
      <c r="I202" s="7">
        <v>438406</v>
      </c>
      <c r="J202" s="7"/>
      <c r="K202" s="7">
        <v>0</v>
      </c>
      <c r="L202" s="7"/>
      <c r="M202" s="7">
        <v>1169762</v>
      </c>
      <c r="N202" s="7"/>
      <c r="O202" s="7">
        <v>142612</v>
      </c>
      <c r="P202" s="7"/>
      <c r="Q202" s="7">
        <v>585256</v>
      </c>
      <c r="R202" s="7"/>
      <c r="S202" s="7">
        <v>0</v>
      </c>
      <c r="T202" s="7"/>
      <c r="U202" s="7">
        <v>39061</v>
      </c>
      <c r="V202" s="7"/>
      <c r="W202" s="7">
        <f t="shared" si="13"/>
        <v>4054493</v>
      </c>
      <c r="X202" s="7"/>
      <c r="Y202" s="7">
        <v>7260574</v>
      </c>
      <c r="Z202" s="7"/>
      <c r="AA202" s="7">
        <f>+'Stmt net assets'!AC202</f>
        <v>7366417</v>
      </c>
      <c r="AB202" s="7"/>
      <c r="AC202" s="7">
        <f>+Y202+'Stmt of activities-GA rev'!AC202-'Stmt of activities-GAexp'!W202-AA202</f>
        <v>0</v>
      </c>
    </row>
    <row r="203" spans="1:29" ht="12.75" customHeight="1" x14ac:dyDescent="0.2">
      <c r="A203" s="10" t="s">
        <v>218</v>
      </c>
      <c r="C203" s="10" t="s">
        <v>64</v>
      </c>
      <c r="E203" s="7">
        <v>6200648</v>
      </c>
      <c r="F203" s="7"/>
      <c r="G203" s="7">
        <v>6734</v>
      </c>
      <c r="H203" s="7"/>
      <c r="I203" s="7">
        <v>42735</v>
      </c>
      <c r="J203" s="7"/>
      <c r="K203" s="7">
        <v>557967</v>
      </c>
      <c r="L203" s="7"/>
      <c r="M203" s="7">
        <v>1989290</v>
      </c>
      <c r="N203" s="7"/>
      <c r="O203" s="7">
        <v>0</v>
      </c>
      <c r="P203" s="7"/>
      <c r="Q203" s="7">
        <v>1990843</v>
      </c>
      <c r="R203" s="7"/>
      <c r="S203" s="7">
        <v>0</v>
      </c>
      <c r="T203" s="7"/>
      <c r="U203" s="7">
        <v>75963</v>
      </c>
      <c r="V203" s="7"/>
      <c r="W203" s="7">
        <f t="shared" si="13"/>
        <v>10864180</v>
      </c>
      <c r="X203" s="7"/>
      <c r="Y203" s="7">
        <v>20119583</v>
      </c>
      <c r="Z203" s="7"/>
      <c r="AA203" s="7">
        <f>+'Stmt net assets'!AC203</f>
        <v>20588334</v>
      </c>
      <c r="AB203" s="7"/>
      <c r="AC203" s="7">
        <f>+Y203+'Stmt of activities-GA rev'!AC203-'Stmt of activities-GAexp'!W203-AA203</f>
        <v>0</v>
      </c>
    </row>
    <row r="204" spans="1:29" ht="12.75" customHeight="1" x14ac:dyDescent="0.2">
      <c r="A204" s="10" t="s">
        <v>219</v>
      </c>
      <c r="B204" s="72"/>
      <c r="C204" s="10" t="s">
        <v>25</v>
      </c>
      <c r="E204" s="7">
        <v>8983880</v>
      </c>
      <c r="F204" s="7"/>
      <c r="G204" s="7">
        <v>1185768</v>
      </c>
      <c r="H204" s="7"/>
      <c r="I204" s="7">
        <v>3657902</v>
      </c>
      <c r="J204" s="7"/>
      <c r="K204" s="7">
        <v>760476</v>
      </c>
      <c r="L204" s="7"/>
      <c r="M204" s="7">
        <v>2279856</v>
      </c>
      <c r="N204" s="7"/>
      <c r="O204" s="7">
        <v>2521711</v>
      </c>
      <c r="P204" s="7"/>
      <c r="Q204" s="7">
        <v>5294037</v>
      </c>
      <c r="R204" s="7"/>
      <c r="S204" s="7">
        <v>0</v>
      </c>
      <c r="T204" s="7"/>
      <c r="U204" s="7">
        <v>677987</v>
      </c>
      <c r="V204" s="7"/>
      <c r="W204" s="7">
        <f t="shared" si="13"/>
        <v>25361617</v>
      </c>
      <c r="X204" s="7"/>
      <c r="Y204" s="7">
        <v>39055589</v>
      </c>
      <c r="Z204" s="7"/>
      <c r="AA204" s="7">
        <f>+'Stmt net assets'!AC204</f>
        <v>45201293</v>
      </c>
      <c r="AB204" s="7"/>
      <c r="AC204" s="7">
        <f>+Y204+'Stmt of activities-GA rev'!AC204-'Stmt of activities-GAexp'!W204-AA204</f>
        <v>0</v>
      </c>
    </row>
    <row r="205" spans="1:29" ht="12.75" customHeight="1" x14ac:dyDescent="0.2">
      <c r="A205" s="10" t="s">
        <v>220</v>
      </c>
      <c r="C205" s="10" t="s">
        <v>45</v>
      </c>
      <c r="E205" s="7">
        <v>2426459</v>
      </c>
      <c r="F205" s="7"/>
      <c r="G205" s="7">
        <v>0</v>
      </c>
      <c r="H205" s="7"/>
      <c r="I205" s="7">
        <v>354398</v>
      </c>
      <c r="J205" s="7"/>
      <c r="K205" s="7">
        <v>0</v>
      </c>
      <c r="L205" s="7"/>
      <c r="M205" s="7">
        <v>788056</v>
      </c>
      <c r="N205" s="7"/>
      <c r="O205" s="7">
        <v>257033</v>
      </c>
      <c r="P205" s="7"/>
      <c r="Q205" s="7">
        <v>1540986</v>
      </c>
      <c r="R205" s="7"/>
      <c r="S205" s="7">
        <v>0</v>
      </c>
      <c r="T205" s="7"/>
      <c r="U205" s="7">
        <v>197821</v>
      </c>
      <c r="V205" s="7"/>
      <c r="W205" s="7">
        <f t="shared" si="13"/>
        <v>5564753</v>
      </c>
      <c r="X205" s="7"/>
      <c r="Y205" s="7">
        <v>10146181</v>
      </c>
      <c r="Z205" s="7"/>
      <c r="AA205" s="7">
        <f>+'Stmt net assets'!AC205</f>
        <v>12914417</v>
      </c>
      <c r="AB205" s="7"/>
      <c r="AC205" s="7">
        <f>+Y205+'Stmt of activities-GA rev'!AC205-'Stmt of activities-GAexp'!W205-AA205</f>
        <v>0</v>
      </c>
    </row>
    <row r="206" spans="1:29" ht="12.75" customHeight="1" x14ac:dyDescent="0.2">
      <c r="A206" s="10" t="s">
        <v>221</v>
      </c>
      <c r="C206" s="10" t="s">
        <v>92</v>
      </c>
      <c r="E206" s="7">
        <v>3649178</v>
      </c>
      <c r="F206" s="7"/>
      <c r="G206" s="7">
        <v>105688</v>
      </c>
      <c r="H206" s="7"/>
      <c r="I206" s="7">
        <v>477411</v>
      </c>
      <c r="J206" s="7"/>
      <c r="K206" s="7">
        <v>575718</v>
      </c>
      <c r="L206" s="7"/>
      <c r="M206" s="7">
        <v>1867848</v>
      </c>
      <c r="N206" s="7"/>
      <c r="O206" s="7">
        <v>0</v>
      </c>
      <c r="P206" s="7"/>
      <c r="Q206" s="7">
        <v>1375653</v>
      </c>
      <c r="R206" s="7"/>
      <c r="S206" s="7">
        <v>0</v>
      </c>
      <c r="T206" s="7"/>
      <c r="U206" s="7">
        <v>141186</v>
      </c>
      <c r="V206" s="7"/>
      <c r="W206" s="7">
        <f t="shared" si="13"/>
        <v>8192682</v>
      </c>
      <c r="X206" s="7"/>
      <c r="Y206" s="7">
        <v>17050505</v>
      </c>
      <c r="Z206" s="7"/>
      <c r="AA206" s="7">
        <f>+'Stmt net assets'!AC206</f>
        <v>17216619</v>
      </c>
      <c r="AB206" s="7"/>
      <c r="AC206" s="7">
        <f>+Y206+'Stmt of activities-GA rev'!AC206-'Stmt of activities-GAexp'!W206-AA206</f>
        <v>0</v>
      </c>
    </row>
    <row r="207" spans="1:29" ht="12.75" customHeight="1" x14ac:dyDescent="0.2">
      <c r="A207" s="10" t="s">
        <v>74</v>
      </c>
      <c r="C207" s="10" t="s">
        <v>130</v>
      </c>
      <c r="E207" s="7">
        <f>5032700+5905825+244688</f>
        <v>11183213</v>
      </c>
      <c r="F207" s="7"/>
      <c r="G207" s="7">
        <v>306388</v>
      </c>
      <c r="H207" s="7"/>
      <c r="I207" s="7">
        <v>216767</v>
      </c>
      <c r="J207" s="7"/>
      <c r="K207" s="7">
        <v>2476125</v>
      </c>
      <c r="L207" s="7"/>
      <c r="M207" s="7">
        <v>4470255</v>
      </c>
      <c r="N207" s="7"/>
      <c r="O207" s="7">
        <v>0</v>
      </c>
      <c r="P207" s="7"/>
      <c r="Q207" s="7">
        <f>1033017+3617806</f>
        <v>4650823</v>
      </c>
      <c r="R207" s="7"/>
      <c r="S207" s="7">
        <v>0</v>
      </c>
      <c r="T207" s="7"/>
      <c r="U207" s="7">
        <v>1295714</v>
      </c>
      <c r="V207" s="7"/>
      <c r="W207" s="7">
        <f t="shared" si="13"/>
        <v>24599285</v>
      </c>
      <c r="X207" s="7"/>
      <c r="Y207" s="7">
        <v>45539252</v>
      </c>
      <c r="Z207" s="7"/>
      <c r="AA207" s="7">
        <f>+'Stmt net assets'!AC207</f>
        <v>45619540</v>
      </c>
      <c r="AB207" s="7"/>
      <c r="AC207" s="7">
        <f>+Y207+'Stmt of activities-GA rev'!AC207-'Stmt of activities-GAexp'!W207-AA207</f>
        <v>0</v>
      </c>
    </row>
    <row r="208" spans="1:29" ht="12.75" customHeight="1" x14ac:dyDescent="0.2">
      <c r="A208" s="10" t="s">
        <v>222</v>
      </c>
      <c r="C208" s="10" t="s">
        <v>25</v>
      </c>
      <c r="E208" s="7">
        <v>3997868</v>
      </c>
      <c r="F208" s="7"/>
      <c r="G208" s="7">
        <v>707806</v>
      </c>
      <c r="H208" s="7"/>
      <c r="I208" s="7">
        <v>1372569</v>
      </c>
      <c r="J208" s="7"/>
      <c r="K208" s="7">
        <v>553027</v>
      </c>
      <c r="L208" s="7"/>
      <c r="M208" s="7">
        <v>1302940</v>
      </c>
      <c r="N208" s="7"/>
      <c r="O208" s="7">
        <v>2825</v>
      </c>
      <c r="P208" s="7"/>
      <c r="Q208" s="7">
        <v>1995367</v>
      </c>
      <c r="R208" s="7"/>
      <c r="S208" s="7">
        <v>0</v>
      </c>
      <c r="T208" s="7"/>
      <c r="U208" s="7">
        <v>767147</v>
      </c>
      <c r="V208" s="7"/>
      <c r="W208" s="7">
        <f t="shared" si="13"/>
        <v>10699549</v>
      </c>
      <c r="X208" s="7"/>
      <c r="Y208" s="7">
        <v>12851731</v>
      </c>
      <c r="Z208" s="7"/>
      <c r="AA208" s="7">
        <f>+'Stmt net assets'!AC208</f>
        <v>14931184</v>
      </c>
      <c r="AB208" s="7"/>
      <c r="AC208" s="7">
        <f>+Y208+'Stmt of activities-GA rev'!AC208-'Stmt of activities-GAexp'!W208-AA208</f>
        <v>0</v>
      </c>
    </row>
    <row r="209" spans="1:30" ht="12.75" customHeight="1" x14ac:dyDescent="0.2">
      <c r="A209" s="10" t="s">
        <v>223</v>
      </c>
      <c r="C209" s="10" t="s">
        <v>25</v>
      </c>
      <c r="E209" s="7">
        <f>14277987+7893283+787043</f>
        <v>22958313</v>
      </c>
      <c r="F209" s="7"/>
      <c r="G209" s="7">
        <v>579141</v>
      </c>
      <c r="H209" s="7"/>
      <c r="I209" s="7">
        <f>2899085+1081527</f>
        <v>3980612</v>
      </c>
      <c r="J209" s="7"/>
      <c r="K209" s="7">
        <v>5947226</v>
      </c>
      <c r="L209" s="7"/>
      <c r="M209" s="7">
        <v>2896453</v>
      </c>
      <c r="N209" s="7"/>
      <c r="O209" s="7">
        <v>4781961</v>
      </c>
      <c r="P209" s="7"/>
      <c r="Q209" s="7">
        <f>5046116+2316485</f>
        <v>7362601</v>
      </c>
      <c r="R209" s="7"/>
      <c r="S209" s="7">
        <v>2496087</v>
      </c>
      <c r="T209" s="7"/>
      <c r="U209" s="7">
        <v>545364</v>
      </c>
      <c r="V209" s="7"/>
      <c r="W209" s="7">
        <f t="shared" si="13"/>
        <v>51547758</v>
      </c>
      <c r="X209" s="7"/>
      <c r="Y209" s="7">
        <v>105245182</v>
      </c>
      <c r="Z209" s="7"/>
      <c r="AA209" s="7">
        <f>+'Stmt net assets'!AC209</f>
        <v>103293928</v>
      </c>
      <c r="AB209" s="7"/>
      <c r="AC209" s="7">
        <f>+Y209+'Stmt of activities-GA rev'!AC209-'Stmt of activities-GAexp'!W209-AA209</f>
        <v>0</v>
      </c>
    </row>
    <row r="210" spans="1:30" ht="12.75" customHeight="1" x14ac:dyDescent="0.2">
      <c r="A210" s="10" t="s">
        <v>224</v>
      </c>
      <c r="C210" s="10" t="s">
        <v>43</v>
      </c>
      <c r="E210" s="7">
        <v>12311523</v>
      </c>
      <c r="F210" s="7"/>
      <c r="G210" s="7">
        <v>372910</v>
      </c>
      <c r="H210" s="7"/>
      <c r="I210" s="7">
        <v>3141715</v>
      </c>
      <c r="J210" s="7"/>
      <c r="K210" s="7">
        <v>490488</v>
      </c>
      <c r="L210" s="7"/>
      <c r="M210" s="7">
        <v>2847491</v>
      </c>
      <c r="N210" s="7"/>
      <c r="O210" s="7">
        <v>511018</v>
      </c>
      <c r="P210" s="7"/>
      <c r="Q210" s="7">
        <v>3401228</v>
      </c>
      <c r="R210" s="7"/>
      <c r="S210" s="7">
        <v>0</v>
      </c>
      <c r="T210" s="7"/>
      <c r="U210" s="7">
        <v>248444</v>
      </c>
      <c r="V210" s="7"/>
      <c r="W210" s="7">
        <f t="shared" ref="W210" si="14">SUM(E210:U210)</f>
        <v>23324817</v>
      </c>
      <c r="X210" s="7"/>
      <c r="Y210" s="7">
        <v>38065510</v>
      </c>
      <c r="Z210" s="7"/>
      <c r="AA210" s="7">
        <f>+'Stmt net assets'!AC210</f>
        <v>41246278</v>
      </c>
      <c r="AB210" s="7"/>
      <c r="AC210" s="7">
        <f>+Y210+'Stmt of activities-GA rev'!AC210-'Stmt of activities-GAexp'!W210-AA210</f>
        <v>0</v>
      </c>
      <c r="AD210" s="49"/>
    </row>
    <row r="211" spans="1:30" s="9" customFormat="1" ht="12.75" customHeight="1" x14ac:dyDescent="0.2">
      <c r="A211" s="9" t="s">
        <v>225</v>
      </c>
      <c r="B211" s="21"/>
      <c r="C211" s="9" t="s">
        <v>15</v>
      </c>
      <c r="E211" s="7">
        <v>3372441</v>
      </c>
      <c r="F211" s="7"/>
      <c r="G211" s="7">
        <v>35536</v>
      </c>
      <c r="H211" s="7"/>
      <c r="I211" s="7">
        <v>173048</v>
      </c>
      <c r="J211" s="7"/>
      <c r="K211" s="7">
        <v>107058</v>
      </c>
      <c r="L211" s="7"/>
      <c r="M211" s="7">
        <v>1335120</v>
      </c>
      <c r="N211" s="7"/>
      <c r="O211" s="7">
        <v>724699</v>
      </c>
      <c r="P211" s="7"/>
      <c r="Q211" s="7">
        <v>993974</v>
      </c>
      <c r="R211" s="7"/>
      <c r="S211" s="7">
        <v>0</v>
      </c>
      <c r="T211" s="7"/>
      <c r="U211" s="7">
        <v>166893</v>
      </c>
      <c r="V211" s="7"/>
      <c r="W211" s="7">
        <f t="shared" ref="W211:W226" si="15">SUM(E211:U211)</f>
        <v>6908769</v>
      </c>
      <c r="X211" s="7"/>
      <c r="Y211" s="7">
        <v>14926536</v>
      </c>
      <c r="Z211" s="7"/>
      <c r="AA211" s="7">
        <f>+'Stmt net assets'!AC211</f>
        <v>14709910</v>
      </c>
      <c r="AB211" s="7"/>
      <c r="AC211" s="7">
        <f>+Y211+'Stmt of activities-GA rev'!AC211-'Stmt of activities-GAexp'!W211-AA211</f>
        <v>0</v>
      </c>
    </row>
    <row r="212" spans="1:30" ht="12.75" customHeight="1" x14ac:dyDescent="0.2">
      <c r="A212" s="10" t="s">
        <v>226</v>
      </c>
      <c r="C212" s="10" t="s">
        <v>151</v>
      </c>
      <c r="E212" s="7">
        <v>3355720</v>
      </c>
      <c r="F212" s="7"/>
      <c r="G212" s="7">
        <v>292517</v>
      </c>
      <c r="H212" s="7"/>
      <c r="I212" s="7">
        <v>75792</v>
      </c>
      <c r="J212" s="7"/>
      <c r="K212" s="7">
        <v>785050</v>
      </c>
      <c r="L212" s="7"/>
      <c r="M212" s="7">
        <v>1139683</v>
      </c>
      <c r="N212" s="7"/>
      <c r="O212" s="7">
        <v>0</v>
      </c>
      <c r="P212" s="7"/>
      <c r="Q212" s="7">
        <v>1263429</v>
      </c>
      <c r="R212" s="7"/>
      <c r="S212" s="7">
        <v>28775</v>
      </c>
      <c r="T212" s="7"/>
      <c r="U212" s="7">
        <v>299011</v>
      </c>
      <c r="V212" s="7"/>
      <c r="W212" s="7">
        <f t="shared" si="15"/>
        <v>7239977</v>
      </c>
      <c r="X212" s="7"/>
      <c r="Y212" s="7">
        <v>21493083</v>
      </c>
      <c r="Z212" s="7"/>
      <c r="AA212" s="7">
        <f>+'Stmt net assets'!AC212</f>
        <v>21248743</v>
      </c>
      <c r="AB212" s="7"/>
      <c r="AC212" s="7">
        <f>+Y212+'Stmt of activities-GA rev'!AC212-'Stmt of activities-GAexp'!W212-AA212</f>
        <v>0</v>
      </c>
    </row>
    <row r="213" spans="1:30" ht="12.75" customHeight="1" x14ac:dyDescent="0.2">
      <c r="A213" s="10" t="s">
        <v>227</v>
      </c>
      <c r="C213" s="10" t="s">
        <v>226</v>
      </c>
      <c r="E213" s="7">
        <f>5947129+4636484</f>
        <v>10583613</v>
      </c>
      <c r="F213" s="7"/>
      <c r="G213" s="7">
        <v>200968</v>
      </c>
      <c r="H213" s="7"/>
      <c r="I213" s="7">
        <v>1488367</v>
      </c>
      <c r="J213" s="7"/>
      <c r="K213" s="7">
        <f>690046+704322</f>
        <v>1394368</v>
      </c>
      <c r="L213" s="7"/>
      <c r="M213" s="7">
        <f>5643+3275490</f>
        <v>3281133</v>
      </c>
      <c r="N213" s="7"/>
      <c r="O213" s="7">
        <v>54751</v>
      </c>
      <c r="P213" s="7"/>
      <c r="Q213" s="7">
        <f>1043097+1574631</f>
        <v>2617728</v>
      </c>
      <c r="R213" s="7"/>
      <c r="S213" s="7">
        <v>0</v>
      </c>
      <c r="T213" s="7"/>
      <c r="U213" s="7">
        <v>295729</v>
      </c>
      <c r="V213" s="7"/>
      <c r="W213" s="7">
        <f t="shared" si="15"/>
        <v>19916657</v>
      </c>
      <c r="X213" s="7"/>
      <c r="Y213" s="7">
        <v>57541204</v>
      </c>
      <c r="Z213" s="7"/>
      <c r="AA213" s="7">
        <f>+'Stmt net assets'!AC213</f>
        <v>57955357</v>
      </c>
      <c r="AB213" s="7"/>
      <c r="AC213" s="7">
        <f>+Y213+'Stmt of activities-GA rev'!AC213-'Stmt of activities-GAexp'!W213-AA213</f>
        <v>0</v>
      </c>
    </row>
    <row r="214" spans="1:30" ht="12.75" hidden="1" customHeight="1" x14ac:dyDescent="0.2">
      <c r="A214" s="10" t="s">
        <v>228</v>
      </c>
      <c r="C214" s="10" t="s">
        <v>43</v>
      </c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>
        <f t="shared" si="15"/>
        <v>0</v>
      </c>
      <c r="X214" s="7"/>
      <c r="Y214" s="7"/>
      <c r="Z214" s="7"/>
      <c r="AA214" s="7">
        <f>+'Stmt net assets'!AC214</f>
        <v>0</v>
      </c>
      <c r="AB214" s="7"/>
      <c r="AC214" s="7">
        <f>+Y214+'Stmt of activities-GA rev'!AC214-'Stmt of activities-GAexp'!W214-AA214</f>
        <v>0</v>
      </c>
      <c r="AD214" s="7"/>
    </row>
    <row r="215" spans="1:30" ht="12.75" customHeight="1" x14ac:dyDescent="0.2">
      <c r="A215" s="10" t="s">
        <v>229</v>
      </c>
      <c r="C215" s="10" t="s">
        <v>25</v>
      </c>
      <c r="E215" s="7">
        <f>9007166+8248104+246888</f>
        <v>17502158</v>
      </c>
      <c r="F215" s="7"/>
      <c r="G215" s="7">
        <v>94691</v>
      </c>
      <c r="H215" s="7"/>
      <c r="I215" s="7">
        <v>6588533</v>
      </c>
      <c r="J215" s="7"/>
      <c r="K215" s="7">
        <v>3087942</v>
      </c>
      <c r="L215" s="7"/>
      <c r="M215" s="7">
        <v>13093694</v>
      </c>
      <c r="N215" s="7"/>
      <c r="O215" s="7">
        <v>2921098</v>
      </c>
      <c r="P215" s="7"/>
      <c r="Q215" s="7">
        <v>5857841</v>
      </c>
      <c r="R215" s="7"/>
      <c r="S215" s="7">
        <v>0</v>
      </c>
      <c r="T215" s="7"/>
      <c r="U215" s="7">
        <v>440111</v>
      </c>
      <c r="V215" s="7"/>
      <c r="W215" s="7">
        <f t="shared" si="15"/>
        <v>49586068</v>
      </c>
      <c r="X215" s="7"/>
      <c r="Y215" s="7">
        <v>146352216</v>
      </c>
      <c r="Z215" s="7"/>
      <c r="AA215" s="7">
        <f>+'Stmt net assets'!AC215</f>
        <v>164379530</v>
      </c>
      <c r="AB215" s="7"/>
      <c r="AC215" s="7">
        <f>+Y215+'Stmt of activities-GA rev'!AC215-'Stmt of activities-GAexp'!W215-AA215</f>
        <v>0</v>
      </c>
    </row>
    <row r="216" spans="1:30" ht="12.75" customHeight="1" x14ac:dyDescent="0.2">
      <c r="A216" s="10" t="s">
        <v>230</v>
      </c>
      <c r="C216" s="10" t="s">
        <v>25</v>
      </c>
      <c r="E216" s="7">
        <f>5608603+4547123</f>
        <v>10155726</v>
      </c>
      <c r="F216" s="7"/>
      <c r="G216" s="7">
        <v>131696</v>
      </c>
      <c r="H216" s="7"/>
      <c r="I216" s="7">
        <v>277716</v>
      </c>
      <c r="J216" s="7"/>
      <c r="K216" s="7">
        <v>198062</v>
      </c>
      <c r="L216" s="7"/>
      <c r="M216" s="7">
        <v>3499610</v>
      </c>
      <c r="N216" s="7"/>
      <c r="O216" s="7">
        <v>4500720</v>
      </c>
      <c r="P216" s="7"/>
      <c r="Q216" s="7">
        <f>2805130+756170</f>
        <v>3561300</v>
      </c>
      <c r="R216" s="7"/>
      <c r="S216" s="7">
        <f>701612+344435</f>
        <v>1046047</v>
      </c>
      <c r="T216" s="7"/>
      <c r="U216" s="7">
        <v>500435</v>
      </c>
      <c r="V216" s="7"/>
      <c r="W216" s="7">
        <f t="shared" si="15"/>
        <v>23871312</v>
      </c>
      <c r="X216" s="7"/>
      <c r="Y216" s="7">
        <v>36226511</v>
      </c>
      <c r="Z216" s="7"/>
      <c r="AA216" s="7">
        <f>+'Stmt net assets'!AC216</f>
        <v>34899043</v>
      </c>
      <c r="AB216" s="7"/>
      <c r="AC216" s="7">
        <f>+Y216+'Stmt of activities-GA rev'!AC216-'Stmt of activities-GAexp'!W216-AA216</f>
        <v>0</v>
      </c>
    </row>
    <row r="217" spans="1:30" ht="12.75" customHeight="1" x14ac:dyDescent="0.2">
      <c r="A217" s="10" t="s">
        <v>231</v>
      </c>
      <c r="C217" s="10" t="s">
        <v>109</v>
      </c>
      <c r="E217" s="7">
        <v>3632041</v>
      </c>
      <c r="F217" s="7"/>
      <c r="G217" s="7">
        <v>14723</v>
      </c>
      <c r="H217" s="7"/>
      <c r="I217" s="7">
        <v>742999</v>
      </c>
      <c r="J217" s="7"/>
      <c r="K217" s="7">
        <v>686964</v>
      </c>
      <c r="L217" s="7"/>
      <c r="M217" s="7">
        <v>2439903</v>
      </c>
      <c r="N217" s="7"/>
      <c r="O217" s="7">
        <v>0</v>
      </c>
      <c r="P217" s="7"/>
      <c r="Q217" s="7">
        <v>4760638</v>
      </c>
      <c r="R217" s="7"/>
      <c r="S217" s="7">
        <v>0</v>
      </c>
      <c r="T217" s="7"/>
      <c r="U217" s="7">
        <v>617827</v>
      </c>
      <c r="V217" s="7"/>
      <c r="W217" s="7">
        <f t="shared" si="15"/>
        <v>12895095</v>
      </c>
      <c r="X217" s="7"/>
      <c r="Y217" s="7">
        <v>53964507</v>
      </c>
      <c r="Z217" s="7"/>
      <c r="AA217" s="7">
        <f>+'Stmt net assets'!AC217</f>
        <v>54774864</v>
      </c>
      <c r="AB217" s="7"/>
      <c r="AC217" s="7">
        <f>+Y217+'Stmt of activities-GA rev'!AC217-'Stmt of activities-GAexp'!W217-AA217</f>
        <v>0</v>
      </c>
    </row>
    <row r="218" spans="1:30" ht="12.75" customHeight="1" x14ac:dyDescent="0.2">
      <c r="A218" s="10" t="s">
        <v>232</v>
      </c>
      <c r="C218" s="10" t="s">
        <v>43</v>
      </c>
      <c r="E218" s="7">
        <v>8355590</v>
      </c>
      <c r="F218" s="7"/>
      <c r="G218" s="7">
        <v>325784</v>
      </c>
      <c r="H218" s="7"/>
      <c r="I218" s="7">
        <v>1694907</v>
      </c>
      <c r="J218" s="7"/>
      <c r="K218" s="7">
        <v>547371</v>
      </c>
      <c r="L218" s="7"/>
      <c r="M218" s="7">
        <v>3289348</v>
      </c>
      <c r="N218" s="7"/>
      <c r="O218" s="7">
        <v>0</v>
      </c>
      <c r="P218" s="7"/>
      <c r="Q218" s="7">
        <v>4200749</v>
      </c>
      <c r="R218" s="7"/>
      <c r="S218" s="7">
        <v>0</v>
      </c>
      <c r="T218" s="7"/>
      <c r="U218" s="7">
        <v>247217</v>
      </c>
      <c r="V218" s="7"/>
      <c r="W218" s="7">
        <f t="shared" si="15"/>
        <v>18660966</v>
      </c>
      <c r="X218" s="7"/>
      <c r="Y218" s="7">
        <v>48168120</v>
      </c>
      <c r="Z218" s="7"/>
      <c r="AA218" s="7">
        <f>+'Stmt net assets'!AC218</f>
        <v>49125017</v>
      </c>
      <c r="AB218" s="7"/>
      <c r="AC218" s="7">
        <f>+Y218+'Stmt of activities-GA rev'!AC218-'Stmt of activities-GAexp'!W218-AA218</f>
        <v>0</v>
      </c>
      <c r="AD218" s="7"/>
    </row>
    <row r="219" spans="1:30" ht="12.75" customHeight="1" x14ac:dyDescent="0.2">
      <c r="A219" s="10" t="s">
        <v>233</v>
      </c>
      <c r="B219" s="10"/>
      <c r="C219" s="10" t="s">
        <v>181</v>
      </c>
      <c r="E219" s="7">
        <v>29745720</v>
      </c>
      <c r="F219" s="7"/>
      <c r="G219" s="7">
        <v>212596</v>
      </c>
      <c r="H219" s="7"/>
      <c r="I219" s="7">
        <v>2400912</v>
      </c>
      <c r="J219" s="7"/>
      <c r="K219" s="7">
        <v>4378424</v>
      </c>
      <c r="L219" s="7"/>
      <c r="M219" s="7">
        <v>5853101</v>
      </c>
      <c r="N219" s="7"/>
      <c r="O219" s="7">
        <v>280722</v>
      </c>
      <c r="P219" s="7"/>
      <c r="Q219" s="7">
        <v>11060047</v>
      </c>
      <c r="R219" s="7"/>
      <c r="S219" s="7">
        <v>0</v>
      </c>
      <c r="T219" s="7"/>
      <c r="U219" s="7">
        <v>359043</v>
      </c>
      <c r="V219" s="7"/>
      <c r="W219" s="7">
        <f t="shared" si="15"/>
        <v>54290565</v>
      </c>
      <c r="X219" s="7"/>
      <c r="Y219" s="7">
        <v>101674782</v>
      </c>
      <c r="Z219" s="7"/>
      <c r="AA219" s="7">
        <f>+'Stmt net assets'!AC219</f>
        <v>104930792</v>
      </c>
      <c r="AB219" s="7"/>
      <c r="AC219" s="7">
        <f>+Y219+'Stmt of activities-GA rev'!AC219-'Stmt of activities-GAexp'!W219-AA219</f>
        <v>0</v>
      </c>
      <c r="AD219" s="7"/>
    </row>
    <row r="220" spans="1:30" ht="12.75" hidden="1" customHeight="1" x14ac:dyDescent="0.2">
      <c r="A220" s="10" t="s">
        <v>234</v>
      </c>
      <c r="C220" s="10" t="s">
        <v>43</v>
      </c>
      <c r="E220" s="7">
        <v>5826502</v>
      </c>
      <c r="F220" s="7"/>
      <c r="G220" s="7">
        <v>85658</v>
      </c>
      <c r="H220" s="7"/>
      <c r="I220" s="7">
        <v>520632</v>
      </c>
      <c r="J220" s="7"/>
      <c r="K220" s="7">
        <v>232428</v>
      </c>
      <c r="L220" s="7"/>
      <c r="M220" s="7">
        <v>1346149</v>
      </c>
      <c r="N220" s="7"/>
      <c r="O220" s="7">
        <v>0</v>
      </c>
      <c r="P220" s="7"/>
      <c r="Q220" s="7">
        <v>6365793</v>
      </c>
      <c r="R220" s="7"/>
      <c r="S220" s="7">
        <v>1692542</v>
      </c>
      <c r="T220" s="7"/>
      <c r="U220" s="7">
        <v>144012</v>
      </c>
      <c r="V220" s="7"/>
      <c r="W220" s="7">
        <f t="shared" si="15"/>
        <v>16213716</v>
      </c>
      <c r="X220" s="7"/>
      <c r="Y220" s="7">
        <v>24762124</v>
      </c>
      <c r="Z220" s="7"/>
      <c r="AA220" s="7">
        <f>+'Stmt net assets'!AC220</f>
        <v>23234004</v>
      </c>
      <c r="AB220" s="7"/>
      <c r="AC220" s="7">
        <f>+Y220+'Stmt of activities-GA rev'!AC220-'Stmt of activities-GAexp'!W220-AA220</f>
        <v>0</v>
      </c>
      <c r="AD220" s="7"/>
    </row>
    <row r="221" spans="1:30" ht="12.75" hidden="1" customHeight="1" x14ac:dyDescent="0.2">
      <c r="A221" s="10" t="s">
        <v>235</v>
      </c>
      <c r="C221" s="10" t="s">
        <v>31</v>
      </c>
      <c r="E221" s="7">
        <v>994497</v>
      </c>
      <c r="F221" s="7"/>
      <c r="G221" s="7">
        <v>32215</v>
      </c>
      <c r="H221" s="7"/>
      <c r="I221" s="7">
        <v>400435</v>
      </c>
      <c r="J221" s="7"/>
      <c r="K221" s="7">
        <v>327754</v>
      </c>
      <c r="L221" s="7"/>
      <c r="M221" s="7">
        <v>475697</v>
      </c>
      <c r="N221" s="7"/>
      <c r="O221" s="7">
        <v>0</v>
      </c>
      <c r="P221" s="7"/>
      <c r="Q221" s="7">
        <v>305938</v>
      </c>
      <c r="R221" s="7"/>
      <c r="S221" s="7">
        <v>0</v>
      </c>
      <c r="T221" s="7"/>
      <c r="U221" s="7">
        <v>44804</v>
      </c>
      <c r="V221" s="7"/>
      <c r="W221" s="7">
        <f t="shared" si="15"/>
        <v>2581340</v>
      </c>
      <c r="X221" s="7"/>
      <c r="Y221" s="7">
        <v>7942326</v>
      </c>
      <c r="Z221" s="7"/>
      <c r="AA221" s="7">
        <f>+'Stmt net assets'!AC221</f>
        <v>8729648</v>
      </c>
      <c r="AB221" s="7"/>
      <c r="AC221" s="7">
        <f>+Y221+'Stmt of activities-GA rev'!AC221-'Stmt of activities-GAexp'!W221-AA221</f>
        <v>0</v>
      </c>
    </row>
    <row r="222" spans="1:30" ht="12.75" customHeight="1" x14ac:dyDescent="0.2">
      <c r="A222" s="10" t="s">
        <v>236</v>
      </c>
      <c r="C222" s="10" t="s">
        <v>237</v>
      </c>
      <c r="E222" s="7">
        <v>3382546</v>
      </c>
      <c r="F222" s="7"/>
      <c r="G222" s="7">
        <v>34235</v>
      </c>
      <c r="H222" s="7"/>
      <c r="I222" s="7">
        <v>400517</v>
      </c>
      <c r="J222" s="7"/>
      <c r="K222" s="7">
        <v>77644</v>
      </c>
      <c r="L222" s="7"/>
      <c r="M222" s="7">
        <v>1986915</v>
      </c>
      <c r="N222" s="7"/>
      <c r="O222" s="7">
        <v>0</v>
      </c>
      <c r="P222" s="7"/>
      <c r="Q222" s="7">
        <v>993965</v>
      </c>
      <c r="R222" s="7"/>
      <c r="S222" s="7">
        <v>0</v>
      </c>
      <c r="T222" s="7"/>
      <c r="U222" s="7">
        <v>12125</v>
      </c>
      <c r="V222" s="7"/>
      <c r="W222" s="7">
        <f t="shared" si="15"/>
        <v>6887947</v>
      </c>
      <c r="X222" s="7"/>
      <c r="Y222" s="7">
        <v>32844394</v>
      </c>
      <c r="Z222" s="7"/>
      <c r="AA222" s="7">
        <f>+'Stmt net assets'!AC222</f>
        <v>32327819</v>
      </c>
      <c r="AB222" s="7"/>
      <c r="AC222" s="7">
        <f>+Y222+'Stmt of activities-GA rev'!AC222-'Stmt of activities-GAexp'!W222-AA222</f>
        <v>0</v>
      </c>
    </row>
    <row r="223" spans="1:30" ht="12.75" customHeight="1" x14ac:dyDescent="0.2">
      <c r="A223" s="10" t="s">
        <v>480</v>
      </c>
      <c r="C223" s="10" t="s">
        <v>247</v>
      </c>
      <c r="E223" s="7">
        <v>7359922</v>
      </c>
      <c r="F223" s="7"/>
      <c r="G223" s="7">
        <v>657200</v>
      </c>
      <c r="H223" s="7"/>
      <c r="I223" s="7">
        <v>993906</v>
      </c>
      <c r="J223" s="7"/>
      <c r="K223" s="7">
        <v>748089</v>
      </c>
      <c r="L223" s="7"/>
      <c r="M223" s="7">
        <v>3092153</v>
      </c>
      <c r="N223" s="7"/>
      <c r="O223" s="7">
        <v>0</v>
      </c>
      <c r="P223" s="7"/>
      <c r="Q223" s="7">
        <v>2851065</v>
      </c>
      <c r="R223" s="7"/>
      <c r="S223" s="7">
        <v>0</v>
      </c>
      <c r="T223" s="7"/>
      <c r="U223" s="7">
        <v>271234</v>
      </c>
      <c r="V223" s="7"/>
      <c r="W223" s="7">
        <f t="shared" si="15"/>
        <v>15973569</v>
      </c>
      <c r="X223" s="7"/>
      <c r="Y223" s="7">
        <v>37224089</v>
      </c>
      <c r="Z223" s="7"/>
      <c r="AA223" s="7">
        <f>+'Stmt net assets'!AC223</f>
        <v>38230132</v>
      </c>
      <c r="AB223" s="7"/>
      <c r="AC223" s="7">
        <f>+Y223+'Stmt of activities-GA rev'!AC223-'Stmt of activities-GAexp'!W223-AA223</f>
        <v>0</v>
      </c>
    </row>
    <row r="224" spans="1:30" ht="12.75" customHeight="1" x14ac:dyDescent="0.2">
      <c r="A224" s="10" t="s">
        <v>238</v>
      </c>
      <c r="C224" s="10" t="s">
        <v>11</v>
      </c>
      <c r="E224" s="7">
        <v>14882885</v>
      </c>
      <c r="F224" s="7"/>
      <c r="G224" s="7">
        <v>460036</v>
      </c>
      <c r="H224" s="7"/>
      <c r="I224" s="7">
        <v>1522538</v>
      </c>
      <c r="J224" s="7"/>
      <c r="K224" s="7">
        <v>1252957</v>
      </c>
      <c r="L224" s="7"/>
      <c r="M224" s="7">
        <v>4186489</v>
      </c>
      <c r="N224" s="7"/>
      <c r="O224" s="7">
        <v>0</v>
      </c>
      <c r="P224" s="7"/>
      <c r="Q224" s="7">
        <v>8752518</v>
      </c>
      <c r="R224" s="7"/>
      <c r="S224" s="7">
        <v>0</v>
      </c>
      <c r="T224" s="7"/>
      <c r="U224" s="7">
        <v>745063</v>
      </c>
      <c r="V224" s="7"/>
      <c r="W224" s="7">
        <f t="shared" si="15"/>
        <v>31802486</v>
      </c>
      <c r="X224" s="7"/>
      <c r="Y224" s="7">
        <v>52958587</v>
      </c>
      <c r="Z224" s="7"/>
      <c r="AA224" s="7">
        <f>+'Stmt net assets'!AC224</f>
        <v>54426857</v>
      </c>
      <c r="AB224" s="7"/>
      <c r="AC224" s="7">
        <f>+Y224+'Stmt of activities-GA rev'!AC224-'Stmt of activities-GAexp'!W224-AA224</f>
        <v>0</v>
      </c>
    </row>
    <row r="225" spans="1:29" ht="12.75" customHeight="1" x14ac:dyDescent="0.2">
      <c r="A225" s="10" t="s">
        <v>239</v>
      </c>
      <c r="C225" s="10" t="s">
        <v>20</v>
      </c>
      <c r="E225" s="7">
        <v>6043319</v>
      </c>
      <c r="F225" s="7"/>
      <c r="G225" s="7">
        <v>47001</v>
      </c>
      <c r="H225" s="7"/>
      <c r="I225" s="7">
        <v>538262</v>
      </c>
      <c r="J225" s="7"/>
      <c r="K225" s="7">
        <v>728579</v>
      </c>
      <c r="L225" s="7"/>
      <c r="M225" s="7">
        <v>1203101</v>
      </c>
      <c r="N225" s="7"/>
      <c r="O225" s="7">
        <v>997144</v>
      </c>
      <c r="P225" s="7"/>
      <c r="Q225" s="7">
        <v>3877863</v>
      </c>
      <c r="R225" s="7"/>
      <c r="S225" s="7">
        <v>0</v>
      </c>
      <c r="T225" s="7"/>
      <c r="U225" s="7">
        <v>262844</v>
      </c>
      <c r="V225" s="7"/>
      <c r="W225" s="7">
        <f t="shared" si="15"/>
        <v>13698113</v>
      </c>
      <c r="X225" s="7"/>
      <c r="Y225" s="7">
        <v>12910477</v>
      </c>
      <c r="Z225" s="7"/>
      <c r="AA225" s="7">
        <f>+'Stmt net assets'!AC225</f>
        <v>15932972</v>
      </c>
      <c r="AB225" s="7"/>
      <c r="AC225" s="7">
        <f>+Y225+'Stmt of activities-GA rev'!AC225-'Stmt of activities-GAexp'!W225-AA225</f>
        <v>0</v>
      </c>
    </row>
    <row r="226" spans="1:29" ht="12.75" customHeight="1" x14ac:dyDescent="0.2">
      <c r="A226" s="10" t="s">
        <v>240</v>
      </c>
      <c r="C226" s="10" t="s">
        <v>25</v>
      </c>
      <c r="E226" s="7">
        <v>21838362</v>
      </c>
      <c r="F226" s="7"/>
      <c r="G226" s="7">
        <v>588830</v>
      </c>
      <c r="H226" s="7"/>
      <c r="I226" s="7">
        <v>5436655</v>
      </c>
      <c r="J226" s="7"/>
      <c r="K226" s="7">
        <v>1718686</v>
      </c>
      <c r="L226" s="7"/>
      <c r="M226" s="7">
        <v>15681631</v>
      </c>
      <c r="N226" s="7"/>
      <c r="O226" s="7">
        <v>2047268</v>
      </c>
      <c r="P226" s="7"/>
      <c r="Q226" s="7">
        <v>4302219</v>
      </c>
      <c r="R226" s="7"/>
      <c r="S226" s="7">
        <v>0</v>
      </c>
      <c r="T226" s="7"/>
      <c r="U226" s="7">
        <v>2103662</v>
      </c>
      <c r="V226" s="7"/>
      <c r="W226" s="7">
        <f t="shared" si="15"/>
        <v>53717313</v>
      </c>
      <c r="X226" s="7"/>
      <c r="Y226" s="7">
        <v>159357200</v>
      </c>
      <c r="Z226" s="7"/>
      <c r="AA226" s="7">
        <f>+'Stmt net assets'!AC226</f>
        <v>158666709</v>
      </c>
      <c r="AB226" s="7"/>
      <c r="AC226" s="7">
        <f>+Y226+'Stmt of activities-GA rev'!AC226-'Stmt of activities-GAexp'!W226-AA226</f>
        <v>0</v>
      </c>
    </row>
    <row r="227" spans="1:29" ht="12.75" customHeight="1" x14ac:dyDescent="0.2">
      <c r="A227" s="10" t="s">
        <v>510</v>
      </c>
      <c r="C227" s="10" t="s">
        <v>59</v>
      </c>
      <c r="E227" s="7">
        <v>1720857</v>
      </c>
      <c r="F227" s="7"/>
      <c r="G227" s="7">
        <v>136270</v>
      </c>
      <c r="H227" s="7"/>
      <c r="I227" s="7">
        <v>59712</v>
      </c>
      <c r="J227" s="7"/>
      <c r="K227" s="7">
        <v>191883</v>
      </c>
      <c r="L227" s="7"/>
      <c r="M227" s="7">
        <v>488152</v>
      </c>
      <c r="N227" s="7"/>
      <c r="O227" s="7">
        <v>0</v>
      </c>
      <c r="P227" s="7"/>
      <c r="Q227" s="7">
        <v>1921874</v>
      </c>
      <c r="R227" s="7"/>
      <c r="S227" s="7">
        <v>53325</v>
      </c>
      <c r="T227" s="7"/>
      <c r="U227" s="7">
        <v>235787</v>
      </c>
      <c r="V227" s="7"/>
      <c r="W227" s="7">
        <f t="shared" ref="W227" si="16">SUM(E227:U227)</f>
        <v>4807860</v>
      </c>
      <c r="X227" s="7"/>
      <c r="Y227" s="7">
        <v>681503</v>
      </c>
      <c r="Z227" s="7"/>
      <c r="AA227" s="7">
        <f>+'Stmt net assets'!AC227</f>
        <v>728013</v>
      </c>
      <c r="AB227" s="7"/>
      <c r="AC227" s="7">
        <f>+Y227+'Stmt of activities-GA rev'!AC227-'Stmt of activities-GAexp'!W227-AA227</f>
        <v>0</v>
      </c>
    </row>
    <row r="228" spans="1:29" ht="12.75" customHeight="1" x14ac:dyDescent="0.2">
      <c r="A228" s="10" t="s">
        <v>241</v>
      </c>
      <c r="C228" s="10" t="s">
        <v>161</v>
      </c>
      <c r="E228" s="7">
        <v>5866071</v>
      </c>
      <c r="F228" s="7"/>
      <c r="G228" s="7">
        <v>151985</v>
      </c>
      <c r="H228" s="7"/>
      <c r="I228" s="7">
        <v>1131731</v>
      </c>
      <c r="J228" s="7"/>
      <c r="K228" s="7">
        <v>650434</v>
      </c>
      <c r="L228" s="7"/>
      <c r="M228" s="7">
        <v>2886566</v>
      </c>
      <c r="N228" s="7"/>
      <c r="O228" s="7">
        <v>1158760</v>
      </c>
      <c r="P228" s="7"/>
      <c r="Q228" s="7">
        <v>5302586</v>
      </c>
      <c r="R228" s="7"/>
      <c r="S228" s="7">
        <v>0</v>
      </c>
      <c r="T228" s="7"/>
      <c r="U228" s="7">
        <v>851241</v>
      </c>
      <c r="V228" s="7"/>
      <c r="W228" s="7">
        <f t="shared" ref="W228:W241" si="17">SUM(E228:U228)</f>
        <v>17999374</v>
      </c>
      <c r="X228" s="7"/>
      <c r="Y228" s="7">
        <v>36489786</v>
      </c>
      <c r="Z228" s="7"/>
      <c r="AA228" s="7">
        <f>+'Stmt net assets'!AC228</f>
        <v>36583382</v>
      </c>
      <c r="AB228" s="7"/>
      <c r="AC228" s="7">
        <f>+Y228+'Stmt of activities-GA rev'!AC228-'Stmt of activities-GAexp'!W228-AA228</f>
        <v>0</v>
      </c>
    </row>
    <row r="229" spans="1:29" ht="12.75" customHeight="1" x14ac:dyDescent="0.2">
      <c r="A229" s="10" t="s">
        <v>242</v>
      </c>
      <c r="C229" s="10" t="s">
        <v>11</v>
      </c>
      <c r="E229" s="7">
        <f>3537529+148496+2511315</f>
        <v>6197340</v>
      </c>
      <c r="F229" s="7"/>
      <c r="G229" s="7">
        <v>59265</v>
      </c>
      <c r="H229" s="7"/>
      <c r="I229" s="7">
        <v>2141666</v>
      </c>
      <c r="J229" s="7"/>
      <c r="K229" s="7">
        <v>148111</v>
      </c>
      <c r="L229" s="7"/>
      <c r="M229" s="7">
        <v>3763869</v>
      </c>
      <c r="N229" s="7"/>
      <c r="O229" s="7">
        <v>0</v>
      </c>
      <c r="P229" s="7"/>
      <c r="Q229" s="7">
        <v>3266514</v>
      </c>
      <c r="R229" s="7"/>
      <c r="S229" s="7">
        <v>0</v>
      </c>
      <c r="T229" s="7"/>
      <c r="U229" s="7">
        <v>438561</v>
      </c>
      <c r="V229" s="7"/>
      <c r="W229" s="7">
        <f t="shared" si="17"/>
        <v>16015326</v>
      </c>
      <c r="X229" s="7"/>
      <c r="Y229" s="7">
        <v>25921844</v>
      </c>
      <c r="Z229" s="7"/>
      <c r="AA229" s="7">
        <f>+'Stmt net assets'!AC229</f>
        <v>26760144</v>
      </c>
      <c r="AB229" s="7"/>
      <c r="AC229" s="7">
        <f>+Y229+'Stmt of activities-GA rev'!AC229-'Stmt of activities-GAexp'!W229-AA229</f>
        <v>0</v>
      </c>
    </row>
    <row r="230" spans="1:29" ht="13.5" customHeight="1" x14ac:dyDescent="0.2">
      <c r="A230" s="10" t="s">
        <v>243</v>
      </c>
      <c r="C230" s="10" t="s">
        <v>108</v>
      </c>
      <c r="E230" s="7">
        <v>6631690</v>
      </c>
      <c r="F230" s="7"/>
      <c r="G230" s="7">
        <v>0</v>
      </c>
      <c r="H230" s="7"/>
      <c r="I230" s="7">
        <v>451065</v>
      </c>
      <c r="J230" s="7"/>
      <c r="K230" s="7">
        <f>354604+333825+4169</f>
        <v>692598</v>
      </c>
      <c r="L230" s="7"/>
      <c r="M230" s="7">
        <v>1843871</v>
      </c>
      <c r="N230" s="7"/>
      <c r="O230" s="7">
        <v>0</v>
      </c>
      <c r="P230" s="7"/>
      <c r="Q230" s="7">
        <v>2574774</v>
      </c>
      <c r="R230" s="7"/>
      <c r="S230" s="7">
        <v>0</v>
      </c>
      <c r="T230" s="7"/>
      <c r="U230" s="7">
        <v>121389</v>
      </c>
      <c r="V230" s="7"/>
      <c r="W230" s="7">
        <f t="shared" si="17"/>
        <v>12315387</v>
      </c>
      <c r="X230" s="7"/>
      <c r="Y230" s="7">
        <v>27887369</v>
      </c>
      <c r="Z230" s="7"/>
      <c r="AA230" s="7">
        <f>+'Stmt net assets'!AC230</f>
        <v>28094278</v>
      </c>
      <c r="AB230" s="7"/>
      <c r="AC230" s="7">
        <f>+Y230+'Stmt of activities-GA rev'!AC230-'Stmt of activities-GAexp'!W230-AA230</f>
        <v>0</v>
      </c>
    </row>
    <row r="231" spans="1:29" ht="12.75" customHeight="1" x14ac:dyDescent="0.2">
      <c r="A231" s="10" t="s">
        <v>244</v>
      </c>
      <c r="C231" s="10" t="s">
        <v>207</v>
      </c>
      <c r="E231" s="7">
        <v>3807107</v>
      </c>
      <c r="F231" s="7"/>
      <c r="G231" s="7">
        <v>0</v>
      </c>
      <c r="H231" s="7"/>
      <c r="I231" s="7">
        <v>1258269</v>
      </c>
      <c r="J231" s="7"/>
      <c r="K231" s="7">
        <v>266399</v>
      </c>
      <c r="L231" s="7"/>
      <c r="M231" s="7">
        <v>1748615</v>
      </c>
      <c r="N231" s="7"/>
      <c r="O231" s="7">
        <v>219845</v>
      </c>
      <c r="P231" s="7"/>
      <c r="Q231" s="7">
        <v>1546497</v>
      </c>
      <c r="R231" s="7"/>
      <c r="S231" s="7">
        <v>0</v>
      </c>
      <c r="T231" s="7"/>
      <c r="U231" s="7">
        <v>128914</v>
      </c>
      <c r="V231" s="7"/>
      <c r="W231" s="7">
        <f t="shared" si="17"/>
        <v>8975646</v>
      </c>
      <c r="X231" s="7"/>
      <c r="Y231" s="7">
        <v>42074316</v>
      </c>
      <c r="Z231" s="7"/>
      <c r="AA231" s="7">
        <f>+'Stmt net assets'!AC231</f>
        <v>42863643</v>
      </c>
      <c r="AB231" s="7"/>
      <c r="AC231" s="7">
        <f>+Y231+'Stmt of activities-GA rev'!AC231-'Stmt of activities-GAexp'!W231-AA231</f>
        <v>0</v>
      </c>
    </row>
    <row r="232" spans="1:29" ht="12.75" hidden="1" customHeight="1" x14ac:dyDescent="0.2">
      <c r="A232" s="10" t="s">
        <v>245</v>
      </c>
      <c r="B232" s="10"/>
      <c r="C232" s="10" t="s">
        <v>161</v>
      </c>
      <c r="E232" s="7">
        <v>165810000</v>
      </c>
      <c r="F232" s="7"/>
      <c r="G232" s="7">
        <v>19197000</v>
      </c>
      <c r="H232" s="7"/>
      <c r="I232" s="7">
        <v>5419000</v>
      </c>
      <c r="J232" s="7"/>
      <c r="K232" s="7">
        <v>37867000</v>
      </c>
      <c r="L232" s="7"/>
      <c r="M232" s="7">
        <v>34715000</v>
      </c>
      <c r="N232" s="7"/>
      <c r="O232" s="7">
        <v>1268000</v>
      </c>
      <c r="P232" s="7"/>
      <c r="Q232" s="7">
        <v>28807000</v>
      </c>
      <c r="R232" s="7"/>
      <c r="S232" s="7">
        <v>0</v>
      </c>
      <c r="T232" s="7"/>
      <c r="U232" s="7">
        <v>11762000</v>
      </c>
      <c r="V232" s="7"/>
      <c r="W232" s="7">
        <f t="shared" si="17"/>
        <v>304845000</v>
      </c>
      <c r="X232" s="7"/>
      <c r="Y232" s="7">
        <v>444528000</v>
      </c>
      <c r="Z232" s="7"/>
      <c r="AA232" s="7">
        <f>+'Stmt net assets'!AC232</f>
        <v>467779000</v>
      </c>
      <c r="AB232" s="7"/>
      <c r="AC232" s="7">
        <f>+Y232+'Stmt of activities-GA rev'!AC232-'Stmt of activities-GAexp'!W232-AA232</f>
        <v>0</v>
      </c>
    </row>
    <row r="233" spans="1:29" s="7" customFormat="1" ht="12.75" customHeight="1" x14ac:dyDescent="0.2">
      <c r="A233" s="10" t="s">
        <v>246</v>
      </c>
      <c r="B233" s="14"/>
      <c r="C233" s="10" t="s">
        <v>247</v>
      </c>
      <c r="D233" s="10"/>
      <c r="E233" s="7">
        <v>1589002</v>
      </c>
      <c r="G233" s="7">
        <v>4521</v>
      </c>
      <c r="I233" s="7">
        <v>219913</v>
      </c>
      <c r="K233" s="7">
        <v>296733</v>
      </c>
      <c r="M233" s="7">
        <v>643312</v>
      </c>
      <c r="O233" s="7">
        <v>0</v>
      </c>
      <c r="Q233" s="7">
        <v>515810</v>
      </c>
      <c r="S233" s="7">
        <v>0</v>
      </c>
      <c r="U233" s="7">
        <v>12027</v>
      </c>
      <c r="W233" s="7">
        <f t="shared" si="17"/>
        <v>3281318</v>
      </c>
      <c r="Y233" s="7">
        <v>5518945</v>
      </c>
      <c r="AA233" s="7">
        <f>+'Stmt net assets'!AC233</f>
        <v>6892964</v>
      </c>
      <c r="AC233" s="7">
        <f>+Y233+'Stmt of activities-GA rev'!AC233-'Stmt of activities-GAexp'!W233-AA233</f>
        <v>0</v>
      </c>
    </row>
    <row r="234" spans="1:29" ht="12.75" customHeight="1" x14ac:dyDescent="0.2">
      <c r="A234" s="10" t="s">
        <v>248</v>
      </c>
      <c r="C234" s="10" t="s">
        <v>101</v>
      </c>
      <c r="E234" s="7">
        <v>2613815</v>
      </c>
      <c r="F234" s="7"/>
      <c r="G234" s="7">
        <v>53871</v>
      </c>
      <c r="H234" s="7"/>
      <c r="I234" s="7">
        <v>97480</v>
      </c>
      <c r="J234" s="7"/>
      <c r="K234" s="7">
        <v>143522</v>
      </c>
      <c r="L234" s="7"/>
      <c r="M234" s="7">
        <v>698674</v>
      </c>
      <c r="N234" s="7"/>
      <c r="O234" s="7">
        <v>0</v>
      </c>
      <c r="P234" s="7"/>
      <c r="Q234" s="7">
        <v>648704</v>
      </c>
      <c r="R234" s="7"/>
      <c r="S234" s="7">
        <v>52490</v>
      </c>
      <c r="T234" s="7"/>
      <c r="U234" s="7">
        <v>9959</v>
      </c>
      <c r="V234" s="7"/>
      <c r="W234" s="7">
        <f t="shared" si="17"/>
        <v>4318515</v>
      </c>
      <c r="X234" s="7"/>
      <c r="Y234" s="7">
        <v>6308529</v>
      </c>
      <c r="Z234" s="7"/>
      <c r="AA234" s="7">
        <f>+'Stmt net assets'!AC234</f>
        <v>6398709</v>
      </c>
      <c r="AB234" s="7"/>
      <c r="AC234" s="7">
        <f>+Y234+'Stmt of activities-GA rev'!AC234-'Stmt of activities-GAexp'!W234-AA234</f>
        <v>0</v>
      </c>
    </row>
    <row r="235" spans="1:29" ht="12.75" customHeight="1" x14ac:dyDescent="0.2">
      <c r="A235" s="10" t="s">
        <v>249</v>
      </c>
      <c r="C235" s="10" t="s">
        <v>64</v>
      </c>
      <c r="E235" s="7">
        <v>8713796</v>
      </c>
      <c r="F235" s="7"/>
      <c r="G235" s="7">
        <v>0</v>
      </c>
      <c r="H235" s="7"/>
      <c r="I235" s="7">
        <v>463194</v>
      </c>
      <c r="J235" s="7"/>
      <c r="K235" s="7">
        <v>1352215</v>
      </c>
      <c r="L235" s="7"/>
      <c r="M235" s="7">
        <v>3144981</v>
      </c>
      <c r="N235" s="7"/>
      <c r="O235" s="7">
        <v>0</v>
      </c>
      <c r="P235" s="7"/>
      <c r="Q235" s="7">
        <v>3210313</v>
      </c>
      <c r="R235" s="7"/>
      <c r="S235" s="7">
        <v>0</v>
      </c>
      <c r="T235" s="7"/>
      <c r="U235" s="7">
        <v>677856</v>
      </c>
      <c r="V235" s="7"/>
      <c r="W235" s="7">
        <f t="shared" si="17"/>
        <v>17562355</v>
      </c>
      <c r="X235" s="7"/>
      <c r="Y235" s="7">
        <v>47735540</v>
      </c>
      <c r="Z235" s="7"/>
      <c r="AA235" s="7">
        <f>+'Stmt net assets'!AC235</f>
        <v>46306647</v>
      </c>
      <c r="AB235" s="7"/>
      <c r="AC235" s="7">
        <f>+Y235+'Stmt of activities-GA rev'!AC235-'Stmt of activities-GAexp'!W235-AA235</f>
        <v>0</v>
      </c>
    </row>
    <row r="236" spans="1:29" ht="12.75" customHeight="1" x14ac:dyDescent="0.2">
      <c r="A236" s="10" t="s">
        <v>250</v>
      </c>
      <c r="C236" s="10" t="s">
        <v>207</v>
      </c>
      <c r="E236" s="7">
        <v>9758352</v>
      </c>
      <c r="F236" s="7"/>
      <c r="G236" s="7">
        <v>353417</v>
      </c>
      <c r="H236" s="7"/>
      <c r="I236" s="7">
        <v>1759009</v>
      </c>
      <c r="J236" s="7"/>
      <c r="K236" s="7">
        <v>1071345</v>
      </c>
      <c r="L236" s="7"/>
      <c r="M236" s="7">
        <v>2331957</v>
      </c>
      <c r="N236" s="7"/>
      <c r="O236" s="7">
        <v>1264386</v>
      </c>
      <c r="P236" s="7"/>
      <c r="Q236" s="7">
        <v>4347195</v>
      </c>
      <c r="R236" s="7"/>
      <c r="S236" s="7">
        <v>0</v>
      </c>
      <c r="T236" s="7"/>
      <c r="U236" s="7">
        <v>207620</v>
      </c>
      <c r="V236" s="7"/>
      <c r="W236" s="7">
        <f t="shared" si="17"/>
        <v>21093281</v>
      </c>
      <c r="X236" s="7"/>
      <c r="Y236" s="7">
        <v>88423347</v>
      </c>
      <c r="Z236" s="7"/>
      <c r="AA236" s="7">
        <f>+'Stmt net assets'!AC236</f>
        <v>92424918</v>
      </c>
      <c r="AB236" s="7"/>
      <c r="AC236" s="7">
        <f>+Y236+'Stmt of activities-GA rev'!AC236-'Stmt of activities-GAexp'!W236-AA236</f>
        <v>0</v>
      </c>
    </row>
    <row r="237" spans="1:29" ht="12.75" hidden="1" customHeight="1" x14ac:dyDescent="0.2">
      <c r="A237" s="10" t="s">
        <v>251</v>
      </c>
      <c r="C237" s="10" t="s">
        <v>11</v>
      </c>
      <c r="E237" s="7">
        <v>7179745</v>
      </c>
      <c r="F237" s="7"/>
      <c r="G237" s="7">
        <v>0</v>
      </c>
      <c r="H237" s="7"/>
      <c r="I237" s="7">
        <v>2183923</v>
      </c>
      <c r="J237" s="7"/>
      <c r="K237" s="7">
        <v>4265753</v>
      </c>
      <c r="L237" s="7"/>
      <c r="M237" s="7">
        <v>5217894</v>
      </c>
      <c r="N237" s="7"/>
      <c r="O237" s="7">
        <v>15815</v>
      </c>
      <c r="P237" s="7"/>
      <c r="Q237" s="7">
        <v>4505303</v>
      </c>
      <c r="R237" s="7"/>
      <c r="S237" s="7">
        <v>0</v>
      </c>
      <c r="T237" s="7"/>
      <c r="U237" s="7">
        <v>779923</v>
      </c>
      <c r="V237" s="7"/>
      <c r="W237" s="7">
        <f t="shared" si="17"/>
        <v>24148356</v>
      </c>
      <c r="X237" s="7"/>
      <c r="Y237" s="7">
        <v>132424876</v>
      </c>
      <c r="Z237" s="7"/>
      <c r="AA237" s="7">
        <f>+'Stmt net assets'!AC237</f>
        <v>133424527</v>
      </c>
      <c r="AB237" s="7"/>
      <c r="AC237" s="7">
        <f>+Y237+'Stmt of activities-GA rev'!AC237-'Stmt of activities-GAexp'!W237-AA237</f>
        <v>0</v>
      </c>
    </row>
    <row r="238" spans="1:29" ht="12.75" customHeight="1" x14ac:dyDescent="0.2">
      <c r="A238" s="10" t="s">
        <v>252</v>
      </c>
      <c r="C238" s="10" t="s">
        <v>87</v>
      </c>
      <c r="E238" s="7">
        <v>1254815</v>
      </c>
      <c r="F238" s="7"/>
      <c r="G238" s="7">
        <v>243992</v>
      </c>
      <c r="H238" s="7"/>
      <c r="I238" s="7">
        <v>29302</v>
      </c>
      <c r="J238" s="7"/>
      <c r="K238" s="7">
        <v>275449</v>
      </c>
      <c r="L238" s="7"/>
      <c r="M238" s="7">
        <v>420592</v>
      </c>
      <c r="N238" s="7"/>
      <c r="O238" s="7">
        <v>0</v>
      </c>
      <c r="P238" s="7"/>
      <c r="Q238" s="7">
        <v>580450</v>
      </c>
      <c r="R238" s="7"/>
      <c r="S238" s="7">
        <v>0</v>
      </c>
      <c r="T238" s="7"/>
      <c r="U238" s="7">
        <v>76139</v>
      </c>
      <c r="V238" s="7"/>
      <c r="W238" s="7">
        <f t="shared" si="17"/>
        <v>2880739</v>
      </c>
      <c r="X238" s="7"/>
      <c r="Y238" s="7">
        <v>7673800</v>
      </c>
      <c r="Z238" s="7"/>
      <c r="AA238" s="7">
        <f>+'Stmt net assets'!AC238</f>
        <v>7347584</v>
      </c>
      <c r="AB238" s="7"/>
      <c r="AC238" s="7">
        <f>+Y238+'Stmt of activities-GA rev'!AC238-'Stmt of activities-GAexp'!W238-AA238</f>
        <v>0</v>
      </c>
    </row>
    <row r="239" spans="1:29" ht="12.75" customHeight="1" x14ac:dyDescent="0.2">
      <c r="A239" s="10" t="s">
        <v>157</v>
      </c>
      <c r="C239" s="10" t="s">
        <v>64</v>
      </c>
      <c r="E239" s="7">
        <v>1596525</v>
      </c>
      <c r="F239" s="7"/>
      <c r="G239" s="7">
        <v>16549</v>
      </c>
      <c r="H239" s="7"/>
      <c r="I239" s="7">
        <v>89439</v>
      </c>
      <c r="J239" s="7"/>
      <c r="K239" s="7">
        <v>496347</v>
      </c>
      <c r="L239" s="7"/>
      <c r="M239" s="7">
        <v>570022</v>
      </c>
      <c r="N239" s="7"/>
      <c r="O239" s="7">
        <v>0</v>
      </c>
      <c r="P239" s="7"/>
      <c r="Q239" s="7">
        <v>1091881</v>
      </c>
      <c r="R239" s="7"/>
      <c r="S239" s="7">
        <v>0</v>
      </c>
      <c r="T239" s="7"/>
      <c r="U239" s="7">
        <v>65586</v>
      </c>
      <c r="V239" s="7"/>
      <c r="W239" s="7">
        <f t="shared" si="17"/>
        <v>3926349</v>
      </c>
      <c r="X239" s="7"/>
      <c r="Y239" s="7">
        <v>7561945</v>
      </c>
      <c r="Z239" s="7"/>
      <c r="AA239" s="7">
        <f>+'Stmt net assets'!AC239</f>
        <v>7742072</v>
      </c>
      <c r="AB239" s="7"/>
      <c r="AC239" s="7">
        <f>+Y239+'Stmt of activities-GA rev'!AC239-'Stmt of activities-GAexp'!W239-AA239</f>
        <v>0</v>
      </c>
    </row>
    <row r="240" spans="1:29" ht="12.75" customHeight="1" x14ac:dyDescent="0.2">
      <c r="A240" s="10" t="s">
        <v>253</v>
      </c>
      <c r="C240" s="10" t="s">
        <v>25</v>
      </c>
      <c r="E240" s="7">
        <v>7645672</v>
      </c>
      <c r="F240" s="7"/>
      <c r="G240" s="7">
        <v>51950</v>
      </c>
      <c r="H240" s="7"/>
      <c r="I240" s="7">
        <v>314947</v>
      </c>
      <c r="J240" s="7"/>
      <c r="K240" s="7">
        <v>4126733</v>
      </c>
      <c r="L240" s="7"/>
      <c r="M240" s="7">
        <v>1321913</v>
      </c>
      <c r="N240" s="7"/>
      <c r="O240" s="7">
        <v>2114107</v>
      </c>
      <c r="P240" s="7"/>
      <c r="Q240" s="7">
        <v>1727894</v>
      </c>
      <c r="R240" s="7"/>
      <c r="S240" s="7">
        <v>0</v>
      </c>
      <c r="T240" s="7"/>
      <c r="U240" s="7">
        <v>93502</v>
      </c>
      <c r="V240" s="7"/>
      <c r="W240" s="7">
        <f t="shared" si="17"/>
        <v>17396718</v>
      </c>
      <c r="X240" s="7"/>
      <c r="Y240" s="7">
        <v>8568645</v>
      </c>
      <c r="Z240" s="7"/>
      <c r="AA240" s="7">
        <f>+'Stmt net assets'!AC240</f>
        <v>11343845</v>
      </c>
      <c r="AB240" s="7"/>
      <c r="AC240" s="7">
        <f>+Y240+'Stmt of activities-GA rev'!AC240-'Stmt of activities-GAexp'!W240-AA240</f>
        <v>0</v>
      </c>
    </row>
    <row r="241" spans="1:29" s="9" customFormat="1" ht="12.75" customHeight="1" x14ac:dyDescent="0.2">
      <c r="A241" s="9" t="s">
        <v>254</v>
      </c>
      <c r="B241" s="21"/>
      <c r="C241" s="9" t="s">
        <v>41</v>
      </c>
      <c r="E241" s="7">
        <v>15520849</v>
      </c>
      <c r="F241" s="7"/>
      <c r="G241" s="7">
        <v>0</v>
      </c>
      <c r="H241" s="7"/>
      <c r="I241" s="7">
        <v>3045302</v>
      </c>
      <c r="J241" s="7"/>
      <c r="K241" s="7">
        <v>1013704</v>
      </c>
      <c r="L241" s="7"/>
      <c r="M241" s="7">
        <v>0</v>
      </c>
      <c r="N241" s="7"/>
      <c r="O241" s="7">
        <v>5676566</v>
      </c>
      <c r="P241" s="7"/>
      <c r="Q241" s="7">
        <v>6535125</v>
      </c>
      <c r="R241" s="7"/>
      <c r="S241" s="7">
        <v>0</v>
      </c>
      <c r="T241" s="7"/>
      <c r="U241" s="7">
        <v>2046200</v>
      </c>
      <c r="V241" s="7"/>
      <c r="W241" s="7">
        <f t="shared" si="17"/>
        <v>33837746</v>
      </c>
      <c r="X241" s="7"/>
      <c r="Y241" s="7">
        <v>85675692</v>
      </c>
      <c r="Z241" s="7"/>
      <c r="AA241" s="7">
        <f>+'Stmt net assets'!AC241</f>
        <v>95265188</v>
      </c>
      <c r="AC241" s="9">
        <f>+Y241+'Stmt of activities-GA rev'!AC241-'Stmt of activities-GAexp'!W241-AA241</f>
        <v>0</v>
      </c>
    </row>
    <row r="242" spans="1:29" ht="12.75" customHeight="1" x14ac:dyDescent="0.2"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11" t="s">
        <v>478</v>
      </c>
      <c r="AB242" s="7"/>
      <c r="AC242" s="7"/>
    </row>
    <row r="243" spans="1:29" ht="12.75" customHeight="1" x14ac:dyDescent="0.2">
      <c r="A243" s="10" t="s">
        <v>255</v>
      </c>
      <c r="C243" s="10" t="s">
        <v>256</v>
      </c>
      <c r="E243" s="9">
        <v>1883659</v>
      </c>
      <c r="F243" s="9"/>
      <c r="G243" s="9">
        <v>19525</v>
      </c>
      <c r="H243" s="9"/>
      <c r="I243" s="9">
        <v>559506</v>
      </c>
      <c r="J243" s="9"/>
      <c r="K243" s="9">
        <v>94109</v>
      </c>
      <c r="L243" s="9"/>
      <c r="M243" s="9">
        <v>798865</v>
      </c>
      <c r="N243" s="9"/>
      <c r="O243" s="9">
        <v>8338</v>
      </c>
      <c r="P243" s="9"/>
      <c r="Q243" s="9">
        <f>892952+778718</f>
        <v>1671670</v>
      </c>
      <c r="R243" s="9"/>
      <c r="S243" s="9">
        <v>0</v>
      </c>
      <c r="T243" s="9"/>
      <c r="U243" s="9">
        <v>228295</v>
      </c>
      <c r="V243" s="9"/>
      <c r="W243" s="9">
        <f t="shared" ref="W243:W252" si="18">SUM(E243:U243)</f>
        <v>5263967</v>
      </c>
      <c r="X243" s="9"/>
      <c r="Y243" s="9">
        <v>5021212</v>
      </c>
      <c r="Z243" s="9"/>
      <c r="AA243" s="9">
        <f>+'Stmt net assets'!AC243</f>
        <v>5747232</v>
      </c>
      <c r="AB243" s="7"/>
      <c r="AC243" s="7">
        <f>+Y243+'Stmt of activities-GA rev'!AC243-'Stmt of activities-GAexp'!W243-AA243</f>
        <v>0</v>
      </c>
    </row>
    <row r="244" spans="1:29" ht="12.75" customHeight="1" x14ac:dyDescent="0.2">
      <c r="A244" s="10" t="s">
        <v>257</v>
      </c>
      <c r="C244" s="10" t="s">
        <v>258</v>
      </c>
      <c r="E244" s="7">
        <v>5047892</v>
      </c>
      <c r="F244" s="7"/>
      <c r="G244" s="7">
        <v>274858</v>
      </c>
      <c r="H244" s="7"/>
      <c r="I244" s="7">
        <v>383817</v>
      </c>
      <c r="J244" s="7"/>
      <c r="K244" s="7">
        <v>422262</v>
      </c>
      <c r="L244" s="7"/>
      <c r="M244" s="7">
        <v>2497916</v>
      </c>
      <c r="N244" s="7"/>
      <c r="O244" s="7">
        <v>0</v>
      </c>
      <c r="P244" s="7"/>
      <c r="Q244" s="7">
        <v>2327883</v>
      </c>
      <c r="R244" s="7"/>
      <c r="S244" s="7">
        <v>0</v>
      </c>
      <c r="T244" s="7"/>
      <c r="U244" s="7">
        <v>164177</v>
      </c>
      <c r="V244" s="7"/>
      <c r="W244" s="7">
        <f t="shared" si="18"/>
        <v>11118805</v>
      </c>
      <c r="X244" s="7"/>
      <c r="Y244" s="7">
        <v>26427204</v>
      </c>
      <c r="Z244" s="7"/>
      <c r="AA244" s="7">
        <f>+'Stmt net assets'!AC244</f>
        <v>27829324</v>
      </c>
      <c r="AB244" s="7"/>
      <c r="AC244" s="7">
        <f>+Y244+'Stmt of activities-GA rev'!AC244-'Stmt of activities-GAexp'!W244-AA244</f>
        <v>0</v>
      </c>
    </row>
    <row r="245" spans="1:29" ht="12.75" customHeight="1" x14ac:dyDescent="0.2">
      <c r="A245" s="10" t="s">
        <v>259</v>
      </c>
      <c r="C245" s="10" t="s">
        <v>64</v>
      </c>
      <c r="E245" s="7">
        <f>4718543+2093391</f>
        <v>6811934</v>
      </c>
      <c r="F245" s="7"/>
      <c r="G245" s="7">
        <v>0</v>
      </c>
      <c r="H245" s="7"/>
      <c r="I245" s="7">
        <v>3847357</v>
      </c>
      <c r="J245" s="7"/>
      <c r="K245" s="7">
        <v>0</v>
      </c>
      <c r="L245" s="7"/>
      <c r="M245" s="7">
        <f>1196523+4132079</f>
        <v>5328602</v>
      </c>
      <c r="N245" s="7"/>
      <c r="O245" s="7">
        <v>965658</v>
      </c>
      <c r="P245" s="7"/>
      <c r="Q245" s="7">
        <f>3817632+1965231</f>
        <v>5782863</v>
      </c>
      <c r="R245" s="7"/>
      <c r="S245" s="7">
        <v>0</v>
      </c>
      <c r="T245" s="7"/>
      <c r="U245" s="7">
        <v>601289</v>
      </c>
      <c r="V245" s="7"/>
      <c r="W245" s="7">
        <f t="shared" si="18"/>
        <v>23337703</v>
      </c>
      <c r="X245" s="7"/>
      <c r="Y245" s="7">
        <v>60265610</v>
      </c>
      <c r="Z245" s="7"/>
      <c r="AA245" s="7">
        <f>+'Stmt net assets'!AC245</f>
        <v>61638627</v>
      </c>
      <c r="AB245" s="7"/>
      <c r="AC245" s="7">
        <f>+Y245+'Stmt of activities-GA rev'!AC245-'Stmt of activities-GAexp'!W245-AA245</f>
        <v>0</v>
      </c>
    </row>
    <row r="246" spans="1:29" ht="12.75" customHeight="1" x14ac:dyDescent="0.2">
      <c r="A246" s="10" t="s">
        <v>260</v>
      </c>
      <c r="C246" s="10" t="s">
        <v>130</v>
      </c>
      <c r="E246" s="7">
        <f>2256414+329318</f>
        <v>2585732</v>
      </c>
      <c r="F246" s="7"/>
      <c r="G246" s="7">
        <v>98242</v>
      </c>
      <c r="H246" s="7"/>
      <c r="I246" s="7">
        <v>270152</v>
      </c>
      <c r="J246" s="7"/>
      <c r="K246" s="7">
        <v>440468</v>
      </c>
      <c r="L246" s="7"/>
      <c r="M246" s="7">
        <v>1500220</v>
      </c>
      <c r="N246" s="7"/>
      <c r="O246" s="7">
        <v>1380616</v>
      </c>
      <c r="P246" s="7"/>
      <c r="Q246" s="7">
        <v>2240749</v>
      </c>
      <c r="R246" s="7"/>
      <c r="S246" s="7">
        <v>221809</v>
      </c>
      <c r="T246" s="7"/>
      <c r="U246" s="7">
        <v>136039</v>
      </c>
      <c r="V246" s="7"/>
      <c r="W246" s="7">
        <f t="shared" si="18"/>
        <v>8874027</v>
      </c>
      <c r="X246" s="7"/>
      <c r="Y246" s="7">
        <v>15025378</v>
      </c>
      <c r="Z246" s="7"/>
      <c r="AA246" s="7">
        <f>+'Stmt net assets'!AC246</f>
        <v>15457067</v>
      </c>
      <c r="AB246" s="7"/>
      <c r="AC246" s="7">
        <f>+Y246+'Stmt of activities-GA rev'!AC246-'Stmt of activities-GAexp'!W246-AA246</f>
        <v>0</v>
      </c>
    </row>
    <row r="247" spans="1:29" ht="12.75" customHeight="1" x14ac:dyDescent="0.2">
      <c r="A247" s="7" t="s">
        <v>497</v>
      </c>
      <c r="B247" s="10"/>
      <c r="C247" s="7" t="s">
        <v>43</v>
      </c>
      <c r="E247" s="7">
        <v>4571011</v>
      </c>
      <c r="F247" s="7"/>
      <c r="G247" s="7">
        <v>92049</v>
      </c>
      <c r="H247" s="7"/>
      <c r="I247" s="7">
        <v>1058225</v>
      </c>
      <c r="J247" s="7"/>
      <c r="K247" s="7">
        <v>1503870</v>
      </c>
      <c r="L247" s="7"/>
      <c r="M247" s="7">
        <v>1982601</v>
      </c>
      <c r="N247" s="7"/>
      <c r="O247" s="7">
        <v>0</v>
      </c>
      <c r="P247" s="7"/>
      <c r="Q247" s="7">
        <v>2029266</v>
      </c>
      <c r="R247" s="7"/>
      <c r="S247" s="7">
        <v>0</v>
      </c>
      <c r="T247" s="7"/>
      <c r="U247" s="7">
        <v>80686</v>
      </c>
      <c r="V247" s="7"/>
      <c r="W247" s="7">
        <f t="shared" si="18"/>
        <v>11317708</v>
      </c>
      <c r="X247" s="7"/>
      <c r="Y247" s="7">
        <v>117575248</v>
      </c>
      <c r="Z247" s="7"/>
      <c r="AA247" s="7">
        <f>+'Stmt net assets'!AC247</f>
        <v>120287408</v>
      </c>
      <c r="AB247" s="7"/>
      <c r="AC247" s="7">
        <f>+Y247+'Stmt of activities-GA rev'!AC247-'Stmt of activities-GAexp'!W247-AA247</f>
        <v>0</v>
      </c>
    </row>
    <row r="248" spans="1:29" ht="12.75" customHeight="1" x14ac:dyDescent="0.2">
      <c r="A248" s="10" t="s">
        <v>261</v>
      </c>
      <c r="C248" s="10" t="s">
        <v>51</v>
      </c>
      <c r="E248" s="7">
        <v>6270916</v>
      </c>
      <c r="F248" s="7"/>
      <c r="G248" s="7">
        <v>109958</v>
      </c>
      <c r="H248" s="7"/>
      <c r="I248" s="7">
        <v>1591331</v>
      </c>
      <c r="J248" s="7"/>
      <c r="K248" s="7">
        <v>937189</v>
      </c>
      <c r="L248" s="7"/>
      <c r="M248" s="7">
        <v>2885453</v>
      </c>
      <c r="N248" s="7"/>
      <c r="O248" s="7">
        <v>122477</v>
      </c>
      <c r="P248" s="7"/>
      <c r="Q248" s="7">
        <v>3734228</v>
      </c>
      <c r="R248" s="7"/>
      <c r="S248" s="7">
        <v>0</v>
      </c>
      <c r="T248" s="7"/>
      <c r="U248" s="7">
        <v>793123</v>
      </c>
      <c r="V248" s="7"/>
      <c r="W248" s="7">
        <v>16444675</v>
      </c>
      <c r="X248" s="7"/>
      <c r="Y248" s="7">
        <v>28899810</v>
      </c>
      <c r="Z248" s="7"/>
      <c r="AA248" s="7">
        <f>+'Stmt net assets'!AC248</f>
        <v>30044880</v>
      </c>
      <c r="AB248" s="7"/>
      <c r="AC248" s="7">
        <f>+Y248+'Stmt of activities-GA rev'!AC248-'Stmt of activities-GAexp'!W248-AA248</f>
        <v>0</v>
      </c>
    </row>
    <row r="249" spans="1:29" ht="12.75" customHeight="1" x14ac:dyDescent="0.2">
      <c r="A249" s="10" t="s">
        <v>262</v>
      </c>
      <c r="C249" s="10" t="s">
        <v>237</v>
      </c>
      <c r="E249" s="7">
        <f>1545559+1494511+4557</f>
        <v>3044627</v>
      </c>
      <c r="F249" s="7"/>
      <c r="G249" s="7">
        <v>172130</v>
      </c>
      <c r="H249" s="7"/>
      <c r="I249" s="7">
        <v>433670</v>
      </c>
      <c r="J249" s="7"/>
      <c r="K249" s="7">
        <v>84148</v>
      </c>
      <c r="L249" s="7"/>
      <c r="M249" s="7">
        <v>2049319</v>
      </c>
      <c r="N249" s="7"/>
      <c r="O249" s="7">
        <v>0</v>
      </c>
      <c r="P249" s="7"/>
      <c r="Q249" s="7">
        <v>510071</v>
      </c>
      <c r="R249" s="7"/>
      <c r="S249" s="7">
        <v>0</v>
      </c>
      <c r="T249" s="7"/>
      <c r="U249" s="7">
        <v>38654</v>
      </c>
      <c r="V249" s="7"/>
      <c r="W249" s="7">
        <f t="shared" si="18"/>
        <v>6332619</v>
      </c>
      <c r="X249" s="7"/>
      <c r="Y249" s="7">
        <v>27576487</v>
      </c>
      <c r="Z249" s="7"/>
      <c r="AA249" s="7">
        <f>+'Stmt net assets'!AC249</f>
        <v>27186392</v>
      </c>
      <c r="AB249" s="7"/>
      <c r="AC249" s="7">
        <f>+Y249+'Stmt of activities-GA rev'!AC249-'Stmt of activities-GAexp'!W249-AA249</f>
        <v>0</v>
      </c>
    </row>
    <row r="250" spans="1:29" ht="12.75" customHeight="1" x14ac:dyDescent="0.2">
      <c r="A250" s="10" t="s">
        <v>109</v>
      </c>
      <c r="C250" s="10" t="s">
        <v>78</v>
      </c>
      <c r="E250" s="7">
        <v>16753174</v>
      </c>
      <c r="F250" s="7"/>
      <c r="G250" s="7">
        <v>634143</v>
      </c>
      <c r="H250" s="7"/>
      <c r="I250" s="7">
        <v>482998</v>
      </c>
      <c r="J250" s="7"/>
      <c r="K250" s="7">
        <f>1758742+2402035</f>
        <v>4160777</v>
      </c>
      <c r="L250" s="7"/>
      <c r="M250" s="7">
        <v>3790997</v>
      </c>
      <c r="N250" s="7"/>
      <c r="O250" s="7">
        <v>0</v>
      </c>
      <c r="P250" s="7"/>
      <c r="Q250" s="7">
        <v>5841107</v>
      </c>
      <c r="R250" s="7"/>
      <c r="S250" s="7">
        <v>59662</v>
      </c>
      <c r="T250" s="7"/>
      <c r="U250" s="7">
        <v>266413</v>
      </c>
      <c r="V250" s="7"/>
      <c r="W250" s="7">
        <f t="shared" si="18"/>
        <v>31989271</v>
      </c>
      <c r="X250" s="7"/>
      <c r="Y250" s="7">
        <v>56373858</v>
      </c>
      <c r="Z250" s="7"/>
      <c r="AA250" s="7">
        <f>+'Stmt net assets'!AC250</f>
        <v>58002398</v>
      </c>
      <c r="AB250" s="7"/>
      <c r="AC250" s="7">
        <f>+Y250+'Stmt of activities-GA rev'!AC250-'Stmt of activities-GAexp'!W250-AA250</f>
        <v>0</v>
      </c>
    </row>
    <row r="251" spans="1:29" ht="12.75" hidden="1" customHeight="1" x14ac:dyDescent="0.2">
      <c r="A251" s="10" t="s">
        <v>263</v>
      </c>
      <c r="C251" s="10" t="s">
        <v>25</v>
      </c>
      <c r="E251" s="7">
        <v>6967843</v>
      </c>
      <c r="F251" s="7"/>
      <c r="G251" s="7">
        <v>3155003</v>
      </c>
      <c r="H251" s="7"/>
      <c r="I251" s="7">
        <v>289579</v>
      </c>
      <c r="J251" s="7"/>
      <c r="K251" s="7">
        <v>470806</v>
      </c>
      <c r="L251" s="7"/>
      <c r="M251" s="7">
        <v>6241111</v>
      </c>
      <c r="N251" s="7"/>
      <c r="O251" s="7">
        <v>1312889</v>
      </c>
      <c r="P251" s="7"/>
      <c r="Q251" s="7">
        <v>1861291</v>
      </c>
      <c r="R251" s="7"/>
      <c r="S251" s="7">
        <v>0</v>
      </c>
      <c r="T251" s="7"/>
      <c r="U251" s="7">
        <v>856632</v>
      </c>
      <c r="V251" s="7"/>
      <c r="W251" s="7">
        <f t="shared" si="18"/>
        <v>21155154</v>
      </c>
      <c r="X251" s="7"/>
      <c r="Y251" s="7">
        <v>2798794</v>
      </c>
      <c r="Z251" s="7"/>
      <c r="AA251" s="7">
        <f>+'Stmt net assets'!AC251</f>
        <v>40724</v>
      </c>
      <c r="AB251" s="7"/>
      <c r="AC251" s="7">
        <f>+Y251+'Stmt of activities-GA rev'!AC251-'Stmt of activities-GAexp'!W251-AA251</f>
        <v>-920458</v>
      </c>
    </row>
    <row r="252" spans="1:29" ht="12.75" customHeight="1" x14ac:dyDescent="0.2">
      <c r="A252" s="10" t="s">
        <v>498</v>
      </c>
      <c r="C252" s="10" t="s">
        <v>448</v>
      </c>
      <c r="E252" s="7">
        <v>4351138</v>
      </c>
      <c r="F252" s="7"/>
      <c r="G252" s="7">
        <v>321193</v>
      </c>
      <c r="H252" s="7"/>
      <c r="I252" s="7">
        <v>70034</v>
      </c>
      <c r="J252" s="7"/>
      <c r="K252" s="7">
        <v>2090432</v>
      </c>
      <c r="L252" s="7"/>
      <c r="M252" s="7">
        <v>3320425</v>
      </c>
      <c r="N252" s="7"/>
      <c r="O252" s="7">
        <v>0</v>
      </c>
      <c r="P252" s="7"/>
      <c r="Q252" s="7">
        <v>2775486</v>
      </c>
      <c r="R252" s="7"/>
      <c r="S252" s="7">
        <v>0</v>
      </c>
      <c r="T252" s="7"/>
      <c r="U252" s="7">
        <v>598463</v>
      </c>
      <c r="V252" s="7"/>
      <c r="W252" s="7">
        <f t="shared" si="18"/>
        <v>13527171</v>
      </c>
      <c r="X252" s="7"/>
      <c r="Y252" s="7">
        <v>13421155</v>
      </c>
      <c r="Z252" s="7"/>
      <c r="AA252" s="7">
        <f>+'Stmt net assets'!AC252</f>
        <v>12366976</v>
      </c>
      <c r="AB252" s="7"/>
      <c r="AC252" s="7">
        <f>+Y252+'Stmt of activities-GA rev'!AC252-'Stmt of activities-GAexp'!W252-AA252</f>
        <v>0</v>
      </c>
    </row>
    <row r="253" spans="1:29" ht="12.75" customHeight="1" x14ac:dyDescent="0.2">
      <c r="A253" s="7" t="s">
        <v>499</v>
      </c>
      <c r="B253" s="10"/>
      <c r="C253" s="7" t="s">
        <v>161</v>
      </c>
      <c r="E253" s="7">
        <f>1111625+431585+69844</f>
        <v>1613054</v>
      </c>
      <c r="F253" s="7"/>
      <c r="G253" s="7">
        <v>0</v>
      </c>
      <c r="H253" s="7"/>
      <c r="I253" s="7">
        <v>67182</v>
      </c>
      <c r="J253" s="7"/>
      <c r="K253" s="7">
        <v>85375</v>
      </c>
      <c r="L253" s="7"/>
      <c r="M253" s="7">
        <v>865892</v>
      </c>
      <c r="N253" s="7"/>
      <c r="O253" s="7">
        <v>257572</v>
      </c>
      <c r="P253" s="7"/>
      <c r="Q253" s="7">
        <v>1109712</v>
      </c>
      <c r="R253" s="7"/>
      <c r="S253" s="7">
        <v>0</v>
      </c>
      <c r="T253" s="7"/>
      <c r="U253" s="7">
        <v>261496</v>
      </c>
      <c r="V253" s="7"/>
      <c r="W253" s="7">
        <f t="shared" ref="W253" si="19">SUM(E253:U253)</f>
        <v>4260283</v>
      </c>
      <c r="X253" s="7"/>
      <c r="Y253" s="7">
        <v>13741671</v>
      </c>
      <c r="Z253" s="7"/>
      <c r="AA253" s="7">
        <f>+'Stmt net assets'!AC253</f>
        <v>14919704</v>
      </c>
      <c r="AB253" s="7"/>
      <c r="AC253" s="7">
        <f>+Y253+'Stmt of activities-GA rev'!AC253-'Stmt of activities-GAexp'!W253-AA253</f>
        <v>0</v>
      </c>
    </row>
    <row r="254" spans="1:29" ht="12.75" customHeight="1" x14ac:dyDescent="0.2">
      <c r="A254" s="10" t="s">
        <v>264</v>
      </c>
      <c r="C254" s="10" t="s">
        <v>265</v>
      </c>
      <c r="E254" s="7">
        <v>2453677</v>
      </c>
      <c r="F254" s="7"/>
      <c r="G254" s="7">
        <v>0</v>
      </c>
      <c r="H254" s="7"/>
      <c r="I254" s="7">
        <v>526474</v>
      </c>
      <c r="J254" s="7"/>
      <c r="K254" s="7">
        <v>332131</v>
      </c>
      <c r="L254" s="7"/>
      <c r="M254" s="7">
        <v>978449</v>
      </c>
      <c r="N254" s="7"/>
      <c r="O254" s="7">
        <v>77658</v>
      </c>
      <c r="P254" s="7"/>
      <c r="Q254" s="7">
        <v>785261</v>
      </c>
      <c r="R254" s="7"/>
      <c r="S254" s="7">
        <v>0</v>
      </c>
      <c r="T254" s="7"/>
      <c r="U254" s="7">
        <v>104121</v>
      </c>
      <c r="V254" s="7"/>
      <c r="W254" s="7">
        <f t="shared" ref="W254:W272" si="20">SUM(E254:U254)</f>
        <v>5257771</v>
      </c>
      <c r="X254" s="7"/>
      <c r="Y254" s="7">
        <v>14392680</v>
      </c>
      <c r="Z254" s="7"/>
      <c r="AA254" s="7">
        <f>+'Stmt net assets'!AC254</f>
        <v>14640171</v>
      </c>
      <c r="AB254" s="7"/>
      <c r="AC254" s="7">
        <f>+Y254+'Stmt of activities-GA rev'!AC254-'Stmt of activities-GAexp'!W254-AA254</f>
        <v>0</v>
      </c>
    </row>
    <row r="255" spans="1:29" ht="12.75" hidden="1" customHeight="1" x14ac:dyDescent="0.2">
      <c r="A255" s="10" t="s">
        <v>266</v>
      </c>
      <c r="C255" s="10" t="s">
        <v>267</v>
      </c>
      <c r="E255" s="7">
        <v>1553455</v>
      </c>
      <c r="F255" s="7"/>
      <c r="G255" s="7">
        <v>1470</v>
      </c>
      <c r="H255" s="7"/>
      <c r="I255" s="7">
        <v>82919</v>
      </c>
      <c r="J255" s="7"/>
      <c r="K255" s="7">
        <v>0</v>
      </c>
      <c r="L255" s="7"/>
      <c r="M255" s="7">
        <v>615484</v>
      </c>
      <c r="N255" s="7"/>
      <c r="O255" s="7">
        <v>0</v>
      </c>
      <c r="P255" s="7"/>
      <c r="Q255" s="7">
        <v>911601</v>
      </c>
      <c r="R255" s="7"/>
      <c r="S255" s="7">
        <v>0</v>
      </c>
      <c r="T255" s="7"/>
      <c r="U255" s="7">
        <v>32798</v>
      </c>
      <c r="V255" s="7"/>
      <c r="W255" s="7">
        <f t="shared" si="20"/>
        <v>3197727</v>
      </c>
      <c r="X255" s="7"/>
      <c r="Y255" s="7">
        <v>4868341</v>
      </c>
      <c r="Z255" s="7"/>
      <c r="AA255" s="7">
        <f>+'Stmt net assets'!AC255</f>
        <v>4518909</v>
      </c>
      <c r="AB255" s="7"/>
      <c r="AC255" s="7">
        <f>+Y255+'Stmt of activities-GA rev'!AC255-'Stmt of activities-GAexp'!W255-AA255</f>
        <v>0</v>
      </c>
    </row>
    <row r="256" spans="1:29" ht="12.75" customHeight="1" x14ac:dyDescent="0.2">
      <c r="A256" s="10" t="s">
        <v>268</v>
      </c>
      <c r="C256" s="10" t="s">
        <v>134</v>
      </c>
      <c r="E256" s="7">
        <v>1268774</v>
      </c>
      <c r="F256" s="7"/>
      <c r="G256" s="7">
        <v>1127372</v>
      </c>
      <c r="H256" s="7"/>
      <c r="I256" s="7">
        <v>5290</v>
      </c>
      <c r="J256" s="7"/>
      <c r="K256" s="7">
        <v>312904</v>
      </c>
      <c r="L256" s="7"/>
      <c r="M256" s="7">
        <v>15204</v>
      </c>
      <c r="N256" s="7"/>
      <c r="O256" s="7">
        <v>0</v>
      </c>
      <c r="P256" s="7"/>
      <c r="Q256" s="7">
        <v>737476</v>
      </c>
      <c r="R256" s="7"/>
      <c r="S256" s="7">
        <v>0</v>
      </c>
      <c r="T256" s="7"/>
      <c r="U256" s="7">
        <v>5542</v>
      </c>
      <c r="V256" s="7"/>
      <c r="W256" s="7">
        <f t="shared" si="20"/>
        <v>3472562</v>
      </c>
      <c r="X256" s="7"/>
      <c r="Y256" s="7">
        <v>6262294</v>
      </c>
      <c r="Z256" s="7"/>
      <c r="AA256" s="7">
        <f>+'Stmt net assets'!AC256</f>
        <v>6222677</v>
      </c>
      <c r="AB256" s="7"/>
      <c r="AC256" s="7">
        <f>+Y256+'Stmt of activities-GA rev'!AC256-'Stmt of activities-GAexp'!W256-AA256</f>
        <v>0</v>
      </c>
    </row>
    <row r="257" spans="1:29" ht="12.75" customHeight="1" x14ac:dyDescent="0.2">
      <c r="A257" s="10" t="s">
        <v>269</v>
      </c>
      <c r="C257" s="10" t="s">
        <v>64</v>
      </c>
      <c r="E257" s="7">
        <v>5244758</v>
      </c>
      <c r="F257" s="7"/>
      <c r="G257" s="7">
        <v>0</v>
      </c>
      <c r="H257" s="7"/>
      <c r="I257" s="7">
        <v>697911</v>
      </c>
      <c r="J257" s="7"/>
      <c r="K257" s="7">
        <v>2557853</v>
      </c>
      <c r="L257" s="7"/>
      <c r="M257" s="7">
        <v>608244</v>
      </c>
      <c r="N257" s="7"/>
      <c r="O257" s="7">
        <v>0</v>
      </c>
      <c r="P257" s="7"/>
      <c r="Q257" s="7">
        <v>856611</v>
      </c>
      <c r="R257" s="7"/>
      <c r="S257" s="7">
        <v>0</v>
      </c>
      <c r="T257" s="7"/>
      <c r="U257" s="7">
        <v>150971</v>
      </c>
      <c r="V257" s="7"/>
      <c r="W257" s="7">
        <f t="shared" si="20"/>
        <v>10116348</v>
      </c>
      <c r="X257" s="7"/>
      <c r="Y257" s="7">
        <v>19795842</v>
      </c>
      <c r="Z257" s="7"/>
      <c r="AA257" s="7">
        <f>+'Stmt net assets'!AC257</f>
        <v>18113268</v>
      </c>
      <c r="AB257" s="7"/>
      <c r="AC257" s="7">
        <f>+Y257+'Stmt of activities-GA rev'!AC257-'Stmt of activities-GAexp'!W257-AA257</f>
        <v>0</v>
      </c>
    </row>
    <row r="258" spans="1:29" ht="12.75" customHeight="1" x14ac:dyDescent="0.2">
      <c r="A258" s="10" t="s">
        <v>270</v>
      </c>
      <c r="C258" s="10" t="s">
        <v>41</v>
      </c>
      <c r="E258" s="7">
        <v>27180283</v>
      </c>
      <c r="F258" s="7"/>
      <c r="G258" s="7">
        <v>75580</v>
      </c>
      <c r="H258" s="7"/>
      <c r="I258" s="7">
        <v>9969402</v>
      </c>
      <c r="J258" s="7"/>
      <c r="K258" s="7">
        <v>2838362</v>
      </c>
      <c r="L258" s="7"/>
      <c r="M258" s="7">
        <v>9382151</v>
      </c>
      <c r="N258" s="7"/>
      <c r="O258" s="7">
        <v>1283310</v>
      </c>
      <c r="P258" s="7"/>
      <c r="Q258" s="7">
        <v>12072576</v>
      </c>
      <c r="R258" s="7"/>
      <c r="S258" s="7">
        <v>0</v>
      </c>
      <c r="T258" s="7"/>
      <c r="U258" s="7">
        <v>1855028</v>
      </c>
      <c r="V258" s="7"/>
      <c r="W258" s="7">
        <f t="shared" si="20"/>
        <v>64656692</v>
      </c>
      <c r="X258" s="7"/>
      <c r="Y258" s="7">
        <v>248897898</v>
      </c>
      <c r="Z258" s="7"/>
      <c r="AA258" s="7">
        <f>+'Stmt net assets'!AC258</f>
        <v>256316442</v>
      </c>
      <c r="AB258" s="7"/>
      <c r="AC258" s="7">
        <f>+Y258+'Stmt of activities-GA rev'!AC258-'Stmt of activities-GAexp'!W258-AA258</f>
        <v>0</v>
      </c>
    </row>
    <row r="259" spans="1:29" ht="12.75" customHeight="1" x14ac:dyDescent="0.2">
      <c r="A259" s="10" t="s">
        <v>271</v>
      </c>
      <c r="C259" s="10" t="s">
        <v>25</v>
      </c>
      <c r="E259" s="7">
        <v>15029667</v>
      </c>
      <c r="F259" s="7"/>
      <c r="G259" s="7">
        <v>1072055</v>
      </c>
      <c r="H259" s="7"/>
      <c r="I259" s="7">
        <v>3756334</v>
      </c>
      <c r="J259" s="7"/>
      <c r="K259" s="7">
        <v>1477029</v>
      </c>
      <c r="L259" s="7"/>
      <c r="M259" s="7">
        <v>10627988</v>
      </c>
      <c r="N259" s="7"/>
      <c r="O259" s="7">
        <v>1922281</v>
      </c>
      <c r="P259" s="7"/>
      <c r="Q259" s="7">
        <v>7372150</v>
      </c>
      <c r="R259" s="7"/>
      <c r="S259" s="7">
        <v>0</v>
      </c>
      <c r="T259" s="7"/>
      <c r="U259" s="7">
        <v>1253224</v>
      </c>
      <c r="V259" s="7"/>
      <c r="W259" s="7">
        <f t="shared" si="20"/>
        <v>42510728</v>
      </c>
      <c r="X259" s="7"/>
      <c r="Y259" s="7">
        <v>192846156</v>
      </c>
      <c r="Z259" s="7"/>
      <c r="AA259" s="7">
        <f>+'Stmt net assets'!AC259</f>
        <v>197670672</v>
      </c>
      <c r="AB259" s="7"/>
      <c r="AC259" s="7">
        <f>+Y259+'Stmt of activities-GA rev'!AC259-'Stmt of activities-GAexp'!W259-AA259</f>
        <v>0</v>
      </c>
    </row>
    <row r="260" spans="1:29" ht="12.75" customHeight="1" x14ac:dyDescent="0.2">
      <c r="A260" s="10" t="s">
        <v>272</v>
      </c>
      <c r="C260" s="10" t="s">
        <v>41</v>
      </c>
      <c r="E260" s="7">
        <v>13085319</v>
      </c>
      <c r="F260" s="7"/>
      <c r="G260" s="7">
        <v>110644</v>
      </c>
      <c r="H260" s="7"/>
      <c r="I260" s="7">
        <v>908997</v>
      </c>
      <c r="J260" s="7"/>
      <c r="K260" s="7">
        <f>29538+253708</f>
        <v>283246</v>
      </c>
      <c r="L260" s="7"/>
      <c r="M260" s="7">
        <v>2876440</v>
      </c>
      <c r="N260" s="7"/>
      <c r="O260" s="7">
        <v>1236778</v>
      </c>
      <c r="P260" s="7"/>
      <c r="Q260" s="7">
        <v>8319726</v>
      </c>
      <c r="R260" s="7"/>
      <c r="S260" s="7">
        <v>0</v>
      </c>
      <c r="T260" s="7"/>
      <c r="U260" s="7">
        <v>59595</v>
      </c>
      <c r="V260" s="7"/>
      <c r="W260" s="7">
        <f t="shared" si="20"/>
        <v>26880745</v>
      </c>
      <c r="X260" s="7"/>
      <c r="Y260" s="7">
        <v>35470266</v>
      </c>
      <c r="Z260" s="7"/>
      <c r="AA260" s="7">
        <f>+'Stmt net assets'!AC260</f>
        <v>36972029</v>
      </c>
      <c r="AB260" s="7"/>
      <c r="AC260" s="7">
        <f>+Y260+'Stmt of activities-GA rev'!AC260-'Stmt of activities-GAexp'!W260-AA260</f>
        <v>0</v>
      </c>
    </row>
    <row r="261" spans="1:29" ht="12.75" customHeight="1" x14ac:dyDescent="0.2">
      <c r="A261" s="10" t="s">
        <v>273</v>
      </c>
      <c r="C261" s="10" t="s">
        <v>90</v>
      </c>
      <c r="E261" s="7">
        <v>7264877</v>
      </c>
      <c r="F261" s="7"/>
      <c r="G261" s="7">
        <v>79610</v>
      </c>
      <c r="H261" s="7"/>
      <c r="I261" s="7">
        <v>1665074</v>
      </c>
      <c r="J261" s="7"/>
      <c r="K261" s="7">
        <v>302881</v>
      </c>
      <c r="L261" s="7"/>
      <c r="M261" s="7">
        <v>6524796</v>
      </c>
      <c r="N261" s="7"/>
      <c r="O261" s="7">
        <v>1219558</v>
      </c>
      <c r="P261" s="7"/>
      <c r="Q261" s="7">
        <v>4880216</v>
      </c>
      <c r="R261" s="7"/>
      <c r="S261" s="7">
        <v>0</v>
      </c>
      <c r="T261" s="7"/>
      <c r="U261" s="7">
        <v>87940</v>
      </c>
      <c r="V261" s="7"/>
      <c r="W261" s="7">
        <f t="shared" si="20"/>
        <v>22024952</v>
      </c>
      <c r="X261" s="7"/>
      <c r="Y261" s="7">
        <v>98944013</v>
      </c>
      <c r="Z261" s="7"/>
      <c r="AA261" s="7">
        <f>+'Stmt net assets'!AC261</f>
        <v>94860776</v>
      </c>
      <c r="AB261" s="7"/>
      <c r="AC261" s="7">
        <f>+Y261+'Stmt of activities-GA rev'!AC261-'Stmt of activities-GAexp'!W261-AA261</f>
        <v>0</v>
      </c>
    </row>
    <row r="262" spans="1:29" ht="12.75" customHeight="1" x14ac:dyDescent="0.2">
      <c r="A262" s="10" t="s">
        <v>274</v>
      </c>
      <c r="C262" s="10" t="s">
        <v>36</v>
      </c>
      <c r="E262" s="7">
        <v>2677914</v>
      </c>
      <c r="F262" s="7"/>
      <c r="G262" s="7">
        <v>46048</v>
      </c>
      <c r="H262" s="7"/>
      <c r="I262" s="7">
        <v>337173</v>
      </c>
      <c r="J262" s="7"/>
      <c r="K262" s="7">
        <v>282247</v>
      </c>
      <c r="L262" s="7"/>
      <c r="M262" s="7">
        <v>916755</v>
      </c>
      <c r="N262" s="7"/>
      <c r="O262" s="7">
        <v>0</v>
      </c>
      <c r="P262" s="7"/>
      <c r="Q262" s="7">
        <v>798385</v>
      </c>
      <c r="R262" s="7"/>
      <c r="S262" s="7">
        <v>0</v>
      </c>
      <c r="T262" s="7"/>
      <c r="U262" s="7">
        <v>32636</v>
      </c>
      <c r="V262" s="7"/>
      <c r="W262" s="7">
        <f t="shared" si="20"/>
        <v>5091158</v>
      </c>
      <c r="X262" s="7"/>
      <c r="Y262" s="7">
        <v>15394086</v>
      </c>
      <c r="Z262" s="7"/>
      <c r="AA262" s="7">
        <f>+'Stmt net assets'!AC262</f>
        <v>15081870</v>
      </c>
      <c r="AB262" s="7"/>
      <c r="AC262" s="7">
        <f>+Y262+'Stmt of activities-GA rev'!AC262-'Stmt of activities-GAexp'!W262-AA262</f>
        <v>0</v>
      </c>
    </row>
    <row r="263" spans="1:29" ht="12.75" customHeight="1" x14ac:dyDescent="0.2">
      <c r="A263" s="10" t="s">
        <v>275</v>
      </c>
      <c r="C263" s="10" t="s">
        <v>90</v>
      </c>
      <c r="E263" s="7">
        <v>14516764</v>
      </c>
      <c r="F263" s="7"/>
      <c r="G263" s="7">
        <v>400280</v>
      </c>
      <c r="H263" s="7"/>
      <c r="I263" s="7">
        <v>2005597</v>
      </c>
      <c r="J263" s="7"/>
      <c r="K263" s="7">
        <v>843269</v>
      </c>
      <c r="L263" s="7"/>
      <c r="M263" s="7">
        <v>3529728</v>
      </c>
      <c r="N263" s="7"/>
      <c r="O263" s="7">
        <v>1121995</v>
      </c>
      <c r="P263" s="7"/>
      <c r="Q263" s="7">
        <v>6799745</v>
      </c>
      <c r="R263" s="7"/>
      <c r="S263" s="7">
        <v>0</v>
      </c>
      <c r="T263" s="7"/>
      <c r="U263" s="7">
        <v>626291</v>
      </c>
      <c r="V263" s="7"/>
      <c r="W263" s="7">
        <f t="shared" si="20"/>
        <v>29843669</v>
      </c>
      <c r="X263" s="7"/>
      <c r="Y263" s="7">
        <v>67195751</v>
      </c>
      <c r="Z263" s="7"/>
      <c r="AA263" s="7">
        <f>+'Stmt net assets'!AC263</f>
        <v>65908268</v>
      </c>
      <c r="AB263" s="7"/>
      <c r="AC263" s="7">
        <f>+Y263+'Stmt of activities-GA rev'!AC263-'Stmt of activities-GAexp'!W263-AA263</f>
        <v>0</v>
      </c>
    </row>
    <row r="264" spans="1:29" ht="12.75" customHeight="1" x14ac:dyDescent="0.2">
      <c r="A264" s="10" t="s">
        <v>276</v>
      </c>
      <c r="C264" s="10" t="s">
        <v>90</v>
      </c>
      <c r="E264" s="7">
        <f>3418600+2223451</f>
        <v>5642051</v>
      </c>
      <c r="F264" s="7"/>
      <c r="G264" s="7">
        <v>0</v>
      </c>
      <c r="H264" s="7"/>
      <c r="I264" s="7">
        <v>362578</v>
      </c>
      <c r="J264" s="7"/>
      <c r="K264" s="7">
        <v>163006</v>
      </c>
      <c r="L264" s="7"/>
      <c r="M264" s="7">
        <v>1614898</v>
      </c>
      <c r="N264" s="7"/>
      <c r="O264" s="7">
        <v>0</v>
      </c>
      <c r="P264" s="7"/>
      <c r="Q264" s="7">
        <v>2874318</v>
      </c>
      <c r="R264" s="7"/>
      <c r="S264" s="7">
        <v>0</v>
      </c>
      <c r="T264" s="7"/>
      <c r="U264" s="7">
        <v>414169</v>
      </c>
      <c r="V264" s="7"/>
      <c r="W264" s="7">
        <f t="shared" si="20"/>
        <v>11071020</v>
      </c>
      <c r="X264" s="7"/>
      <c r="Y264" s="7">
        <v>16127954</v>
      </c>
      <c r="Z264" s="7"/>
      <c r="AA264" s="7">
        <f>+'Stmt net assets'!AC264</f>
        <v>14276474</v>
      </c>
      <c r="AB264" s="7"/>
      <c r="AC264" s="7">
        <f>+Y264+'Stmt of activities-GA rev'!AC264-'Stmt of activities-GAexp'!W264-AA264</f>
        <v>0</v>
      </c>
    </row>
    <row r="265" spans="1:29" ht="12.75" customHeight="1" x14ac:dyDescent="0.2">
      <c r="A265" s="10" t="s">
        <v>277</v>
      </c>
      <c r="C265" s="10" t="s">
        <v>90</v>
      </c>
      <c r="E265" s="7">
        <v>5245649</v>
      </c>
      <c r="F265" s="7"/>
      <c r="G265" s="7">
        <v>102327</v>
      </c>
      <c r="H265" s="7"/>
      <c r="I265" s="7">
        <v>1083744</v>
      </c>
      <c r="J265" s="7"/>
      <c r="K265" s="7">
        <v>456791</v>
      </c>
      <c r="L265" s="7"/>
      <c r="M265" s="7">
        <v>2468433</v>
      </c>
      <c r="N265" s="7"/>
      <c r="O265" s="7">
        <v>1313505</v>
      </c>
      <c r="P265" s="7"/>
      <c r="Q265" s="7">
        <v>2118033</v>
      </c>
      <c r="R265" s="7"/>
      <c r="S265" s="7">
        <v>0</v>
      </c>
      <c r="T265" s="7"/>
      <c r="U265" s="7">
        <v>24930</v>
      </c>
      <c r="V265" s="7"/>
      <c r="W265" s="7">
        <f t="shared" si="20"/>
        <v>12813412</v>
      </c>
      <c r="X265" s="7"/>
      <c r="Y265" s="7">
        <v>37023738</v>
      </c>
      <c r="Z265" s="7"/>
      <c r="AA265" s="7">
        <f>+'Stmt net assets'!AC265</f>
        <v>34929304</v>
      </c>
      <c r="AB265" s="7"/>
      <c r="AC265" s="7">
        <f>+Y265+'Stmt of activities-GA rev'!AC265-'Stmt of activities-GAexp'!W265-AA265</f>
        <v>0</v>
      </c>
    </row>
    <row r="266" spans="1:29" ht="12.75" customHeight="1" x14ac:dyDescent="0.2">
      <c r="A266" s="10" t="s">
        <v>278</v>
      </c>
      <c r="C266" s="10" t="s">
        <v>279</v>
      </c>
      <c r="E266" s="7">
        <v>4644830</v>
      </c>
      <c r="F266" s="7"/>
      <c r="G266" s="7">
        <v>659974</v>
      </c>
      <c r="H266" s="7"/>
      <c r="I266" s="7">
        <v>619138</v>
      </c>
      <c r="J266" s="7"/>
      <c r="K266" s="7">
        <v>0</v>
      </c>
      <c r="L266" s="7"/>
      <c r="M266" s="7">
        <v>2319855</v>
      </c>
      <c r="N266" s="7"/>
      <c r="O266" s="7">
        <v>0</v>
      </c>
      <c r="P266" s="7"/>
      <c r="Q266" s="7">
        <v>3911686</v>
      </c>
      <c r="R266" s="7"/>
      <c r="S266" s="7">
        <v>0</v>
      </c>
      <c r="T266" s="7"/>
      <c r="U266" s="7">
        <v>286639</v>
      </c>
      <c r="V266" s="7"/>
      <c r="W266" s="7">
        <f t="shared" si="20"/>
        <v>12442122</v>
      </c>
      <c r="X266" s="7"/>
      <c r="Y266" s="7">
        <v>14245651</v>
      </c>
      <c r="Z266" s="7"/>
      <c r="AA266" s="7">
        <f>+'Stmt net assets'!AC266</f>
        <v>15232358</v>
      </c>
      <c r="AB266" s="7"/>
      <c r="AC266" s="7">
        <f>+Y266+'Stmt of activities-GA rev'!AC266-'Stmt of activities-GAexp'!W266-AA266</f>
        <v>0</v>
      </c>
    </row>
    <row r="267" spans="1:29" ht="12.75" customHeight="1" x14ac:dyDescent="0.2">
      <c r="A267" s="10" t="s">
        <v>280</v>
      </c>
      <c r="C267" s="10" t="s">
        <v>197</v>
      </c>
      <c r="E267" s="7">
        <f>10556246+1083933</f>
        <v>11640179</v>
      </c>
      <c r="F267" s="7"/>
      <c r="G267" s="7">
        <v>135615</v>
      </c>
      <c r="H267" s="7"/>
      <c r="I267" s="7">
        <f>1495211+240348</f>
        <v>1735559</v>
      </c>
      <c r="J267" s="7"/>
      <c r="K267" s="7">
        <f>1217641+4231</f>
        <v>1221872</v>
      </c>
      <c r="L267" s="7"/>
      <c r="M267" s="7">
        <f>3403221+203960</f>
        <v>3607181</v>
      </c>
      <c r="N267" s="7"/>
      <c r="O267" s="7">
        <v>0</v>
      </c>
      <c r="P267" s="7"/>
      <c r="Q267" s="7">
        <f>3062425-2654295</f>
        <v>408130</v>
      </c>
      <c r="R267" s="7"/>
      <c r="S267" s="7">
        <f>229137-354090</f>
        <v>-124953</v>
      </c>
      <c r="T267" s="7"/>
      <c r="U267" s="7">
        <v>136556</v>
      </c>
      <c r="V267" s="7"/>
      <c r="W267" s="7">
        <f t="shared" si="20"/>
        <v>18760139</v>
      </c>
      <c r="X267" s="7"/>
      <c r="Y267" s="7">
        <v>63467008</v>
      </c>
      <c r="Z267" s="7"/>
      <c r="AA267" s="7">
        <f>+'Stmt net assets'!AC267</f>
        <v>65178512</v>
      </c>
      <c r="AB267" s="7"/>
      <c r="AC267" s="7">
        <f>+Y267+'Stmt of activities-GA rev'!AC267-'Stmt of activities-GAexp'!W267-AA267</f>
        <v>0</v>
      </c>
    </row>
    <row r="268" spans="1:29" ht="12.75" customHeight="1" x14ac:dyDescent="0.2">
      <c r="A268" s="10" t="s">
        <v>281</v>
      </c>
      <c r="C268" s="10" t="s">
        <v>41</v>
      </c>
      <c r="E268" s="7">
        <v>11091440</v>
      </c>
      <c r="F268" s="7"/>
      <c r="G268" s="7">
        <v>96968</v>
      </c>
      <c r="H268" s="7"/>
      <c r="I268" s="7">
        <v>4630827</v>
      </c>
      <c r="J268" s="7"/>
      <c r="K268" s="7">
        <v>1013734</v>
      </c>
      <c r="L268" s="7"/>
      <c r="M268" s="7">
        <v>4112457</v>
      </c>
      <c r="N268" s="7"/>
      <c r="O268" s="7">
        <v>1878232</v>
      </c>
      <c r="P268" s="7"/>
      <c r="Q268" s="7">
        <v>6633481</v>
      </c>
      <c r="R268" s="7"/>
      <c r="S268" s="7">
        <v>26848</v>
      </c>
      <c r="T268" s="7"/>
      <c r="U268" s="7">
        <v>325729</v>
      </c>
      <c r="V268" s="7"/>
      <c r="W268" s="7">
        <f t="shared" si="20"/>
        <v>29809716</v>
      </c>
      <c r="X268" s="7"/>
      <c r="Y268" s="7">
        <v>47810648</v>
      </c>
      <c r="Z268" s="7"/>
      <c r="AA268" s="7">
        <f>+'Stmt net assets'!AC268</f>
        <v>48878892</v>
      </c>
      <c r="AB268" s="7"/>
      <c r="AC268" s="7">
        <f>+Y268+'Stmt of activities-GA rev'!AC268-'Stmt of activities-GAexp'!W268-AA268</f>
        <v>0</v>
      </c>
    </row>
    <row r="269" spans="1:29" ht="12.75" customHeight="1" x14ac:dyDescent="0.2">
      <c r="A269" s="10" t="s">
        <v>282</v>
      </c>
      <c r="C269" s="10" t="s">
        <v>43</v>
      </c>
      <c r="E269" s="7">
        <v>2882757</v>
      </c>
      <c r="F269" s="7"/>
      <c r="G269" s="7">
        <v>67294</v>
      </c>
      <c r="H269" s="7"/>
      <c r="I269" s="7">
        <v>1619481</v>
      </c>
      <c r="J269" s="7"/>
      <c r="K269" s="7">
        <v>533910</v>
      </c>
      <c r="L269" s="7"/>
      <c r="M269" s="7">
        <v>1481496</v>
      </c>
      <c r="N269" s="7"/>
      <c r="O269" s="7">
        <v>559625</v>
      </c>
      <c r="P269" s="7"/>
      <c r="Q269" s="7">
        <v>2805362</v>
      </c>
      <c r="R269" s="7"/>
      <c r="S269" s="7">
        <v>0</v>
      </c>
      <c r="T269" s="7"/>
      <c r="U269" s="7">
        <v>408194</v>
      </c>
      <c r="V269" s="7"/>
      <c r="W269" s="7">
        <f t="shared" si="20"/>
        <v>10358119</v>
      </c>
      <c r="X269" s="7"/>
      <c r="Y269" s="7">
        <v>24687548</v>
      </c>
      <c r="Z269" s="7"/>
      <c r="AA269" s="7">
        <f>+'Stmt net assets'!AC269</f>
        <v>25222593</v>
      </c>
      <c r="AB269" s="7"/>
      <c r="AC269" s="7">
        <f>+Y269+'Stmt of activities-GA rev'!AC269-'Stmt of activities-GAexp'!W269-AA269</f>
        <v>0</v>
      </c>
    </row>
    <row r="270" spans="1:29" ht="12.75" customHeight="1" x14ac:dyDescent="0.2">
      <c r="A270" s="10" t="s">
        <v>283</v>
      </c>
      <c r="C270" s="10" t="s">
        <v>28</v>
      </c>
      <c r="E270" s="7">
        <v>12526166</v>
      </c>
      <c r="F270" s="7"/>
      <c r="G270" s="7">
        <v>0</v>
      </c>
      <c r="H270" s="7"/>
      <c r="I270" s="7">
        <v>527634</v>
      </c>
      <c r="J270" s="7"/>
      <c r="K270" s="7">
        <f>112822+468359</f>
        <v>581181</v>
      </c>
      <c r="L270" s="7"/>
      <c r="M270" s="7">
        <v>2057537</v>
      </c>
      <c r="N270" s="7"/>
      <c r="O270" s="7">
        <v>0</v>
      </c>
      <c r="P270" s="7"/>
      <c r="Q270" s="7">
        <v>3567483</v>
      </c>
      <c r="R270" s="7"/>
      <c r="S270" s="7">
        <v>0</v>
      </c>
      <c r="T270" s="7"/>
      <c r="U270" s="7">
        <v>69614</v>
      </c>
      <c r="V270" s="7"/>
      <c r="W270" s="7">
        <f t="shared" si="20"/>
        <v>19329615</v>
      </c>
      <c r="X270" s="7"/>
      <c r="Y270" s="7">
        <v>44589452</v>
      </c>
      <c r="Z270" s="7"/>
      <c r="AA270" s="7">
        <f>+'Stmt net assets'!AC270</f>
        <v>46074530</v>
      </c>
      <c r="AB270" s="7"/>
      <c r="AC270" s="7">
        <f>+Y270+'Stmt of activities-GA rev'!AC270-'Stmt of activities-GAexp'!W270-AA270</f>
        <v>0</v>
      </c>
    </row>
    <row r="271" spans="1:29" ht="12.75" customHeight="1" x14ac:dyDescent="0.2">
      <c r="A271" s="10" t="s">
        <v>284</v>
      </c>
      <c r="C271" s="10" t="s">
        <v>59</v>
      </c>
      <c r="E271" s="7">
        <v>36778390</v>
      </c>
      <c r="F271" s="7"/>
      <c r="G271" s="7">
        <v>2633661</v>
      </c>
      <c r="H271" s="7"/>
      <c r="I271" s="7">
        <v>3340685</v>
      </c>
      <c r="J271" s="7"/>
      <c r="K271" s="7">
        <v>6780523</v>
      </c>
      <c r="L271" s="7"/>
      <c r="M271" s="7">
        <v>9914132</v>
      </c>
      <c r="N271" s="7"/>
      <c r="O271" s="7">
        <v>2499893</v>
      </c>
      <c r="P271" s="7"/>
      <c r="Q271" s="7">
        <v>11794151</v>
      </c>
      <c r="R271" s="7"/>
      <c r="S271" s="7">
        <v>0</v>
      </c>
      <c r="T271" s="7"/>
      <c r="U271" s="7">
        <v>1735037</v>
      </c>
      <c r="V271" s="7"/>
      <c r="W271" s="7">
        <f t="shared" si="20"/>
        <v>75476472</v>
      </c>
      <c r="X271" s="7"/>
      <c r="Y271" s="7">
        <v>95338674</v>
      </c>
      <c r="Z271" s="7"/>
      <c r="AA271" s="7">
        <f>+'Stmt net assets'!AC271</f>
        <v>99979587</v>
      </c>
      <c r="AB271" s="7"/>
      <c r="AC271" s="7">
        <f>+Y271+'Stmt of activities-GA rev'!AC271-'Stmt of activities-GAexp'!W271-AA271</f>
        <v>0</v>
      </c>
    </row>
    <row r="272" spans="1:29" ht="12.75" customHeight="1" x14ac:dyDescent="0.2">
      <c r="A272" s="10" t="s">
        <v>285</v>
      </c>
      <c r="C272" s="10" t="s">
        <v>286</v>
      </c>
      <c r="E272" s="7">
        <f>7598241+5022244+137215</f>
        <v>12757700</v>
      </c>
      <c r="F272" s="7"/>
      <c r="G272" s="7">
        <v>352041</v>
      </c>
      <c r="H272" s="7"/>
      <c r="I272" s="7">
        <v>753395</v>
      </c>
      <c r="J272" s="7"/>
      <c r="K272" s="7">
        <v>1308457</v>
      </c>
      <c r="L272" s="7"/>
      <c r="M272" s="7">
        <v>2852925</v>
      </c>
      <c r="N272" s="7"/>
      <c r="O272" s="7">
        <v>0</v>
      </c>
      <c r="P272" s="7"/>
      <c r="Q272" s="7">
        <f>3966033+490367</f>
        <v>4456400</v>
      </c>
      <c r="R272" s="7"/>
      <c r="S272" s="7">
        <v>0</v>
      </c>
      <c r="T272" s="7"/>
      <c r="U272" s="7">
        <v>268218</v>
      </c>
      <c r="V272" s="7"/>
      <c r="W272" s="7">
        <f t="shared" si="20"/>
        <v>22749136</v>
      </c>
      <c r="X272" s="7"/>
      <c r="Y272" s="7">
        <v>22703488</v>
      </c>
      <c r="Z272" s="7"/>
      <c r="AA272" s="7">
        <f>+'Stmt net assets'!AC272</f>
        <v>26664864</v>
      </c>
      <c r="AB272" s="7"/>
      <c r="AC272" s="7">
        <f>+Y272+'Stmt of activities-GA rev'!AC272-'Stmt of activities-GAexp'!W272-AA272</f>
        <v>0</v>
      </c>
    </row>
    <row r="273" spans="1:3" ht="12.75" customHeight="1" x14ac:dyDescent="0.2">
      <c r="A273" s="12"/>
      <c r="C273" s="12"/>
    </row>
  </sheetData>
  <mergeCells count="2">
    <mergeCell ref="E5:P5"/>
    <mergeCell ref="E92:P92"/>
  </mergeCells>
  <phoneticPr fontId="4" type="noConversion"/>
  <pageMargins left="0.75" right="0.75" top="0.5" bottom="0.5" header="0" footer="0.25"/>
  <pageSetup scale="74" firstPageNumber="20" pageOrder="overThenDown" orientation="portrait" useFirstPageNumber="1" r:id="rId1"/>
  <headerFooter alignWithMargins="0">
    <oddFooter>&amp;C&amp;"Times New Roman,Regular"&amp;P</oddFooter>
  </headerFooter>
  <colBreaks count="1" manualBreakCount="1">
    <brk id="14" max="272" man="1"/>
  </colBreaks>
  <ignoredErrors>
    <ignoredError sqref="W253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75"/>
  <sheetViews>
    <sheetView view="pageBreakPreview" zoomScaleNormal="120" zoomScaleSheetLayoutView="100" workbookViewId="0">
      <pane xSplit="3" ySplit="8" topLeftCell="D85" activePane="bottomRight" state="frozen"/>
      <selection pane="topRight" activeCell="D1" sqref="D1"/>
      <selection pane="bottomLeft" activeCell="A9" sqref="A9"/>
      <selection pane="bottomRight" activeCell="E243" sqref="E243:W243"/>
    </sheetView>
  </sheetViews>
  <sheetFormatPr defaultColWidth="9.140625" defaultRowHeight="12.75" customHeight="1" x14ac:dyDescent="0.2"/>
  <cols>
    <col min="1" max="1" width="18.140625" style="7" customWidth="1"/>
    <col min="2" max="2" width="1.7109375" style="14" customWidth="1"/>
    <col min="3" max="3" width="11" style="7" customWidth="1"/>
    <col min="4" max="4" width="1.7109375" style="7" customWidth="1"/>
    <col min="5" max="5" width="11.7109375" style="7" customWidth="1"/>
    <col min="6" max="6" width="1.7109375" style="7" customWidth="1"/>
    <col min="7" max="7" width="11.7109375" style="7" customWidth="1"/>
    <col min="8" max="8" width="1.7109375" style="7" customWidth="1"/>
    <col min="9" max="9" width="9.7109375" style="7" bestFit="1" customWidth="1"/>
    <col min="10" max="10" width="1.7109375" style="7" customWidth="1"/>
    <col min="11" max="11" width="11.7109375" style="7" customWidth="1"/>
    <col min="12" max="12" width="1.7109375" style="7" customWidth="1"/>
    <col min="13" max="13" width="11.7109375" style="7" customWidth="1"/>
    <col min="14" max="14" width="1.7109375" style="7" customWidth="1"/>
    <col min="15" max="15" width="11.7109375" style="7" bestFit="1" customWidth="1"/>
    <col min="16" max="16" width="1.7109375" style="7" customWidth="1"/>
    <col min="17" max="17" width="11.7109375" style="7" customWidth="1"/>
    <col min="18" max="18" width="1.7109375" style="7" customWidth="1"/>
    <col min="19" max="19" width="11.7109375" style="7" customWidth="1"/>
    <col min="20" max="20" width="1.7109375" style="7" customWidth="1"/>
    <col min="21" max="21" width="11.7109375" style="7" customWidth="1"/>
    <col min="22" max="22" width="1.7109375" style="7" customWidth="1"/>
    <col min="23" max="23" width="11.7109375" style="7" customWidth="1"/>
    <col min="24" max="24" width="1.7109375" style="7" customWidth="1"/>
    <col min="25" max="25" width="10.7109375" style="7" hidden="1" customWidth="1"/>
    <col min="26" max="26" width="10" style="7" customWidth="1"/>
    <col min="27" max="27" width="9.28515625" style="7" bestFit="1" customWidth="1"/>
    <col min="28" max="16384" width="9.140625" style="7"/>
  </cols>
  <sheetData>
    <row r="1" spans="1:27" ht="12.75" customHeight="1" x14ac:dyDescent="0.2">
      <c r="A1" s="69" t="s">
        <v>414</v>
      </c>
      <c r="C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</row>
    <row r="2" spans="1:27" ht="12.75" customHeight="1" x14ac:dyDescent="0.2">
      <c r="A2" s="69" t="s">
        <v>504</v>
      </c>
      <c r="C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</row>
    <row r="3" spans="1:27" ht="12.75" customHeight="1" x14ac:dyDescent="0.2">
      <c r="A3" s="24" t="s">
        <v>287</v>
      </c>
      <c r="C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</row>
    <row r="4" spans="1:27" ht="12.75" customHeight="1" x14ac:dyDescent="0.2">
      <c r="A4" s="24"/>
      <c r="C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1:27" ht="12.75" customHeight="1" x14ac:dyDescent="0.2">
      <c r="S5" s="68" t="s">
        <v>316</v>
      </c>
      <c r="T5" s="68"/>
      <c r="U5" s="68" t="s">
        <v>316</v>
      </c>
    </row>
    <row r="6" spans="1:27" ht="12.75" customHeight="1" x14ac:dyDescent="0.2">
      <c r="A6" s="6"/>
      <c r="C6" s="6"/>
      <c r="D6" s="63"/>
      <c r="E6" s="68"/>
      <c r="F6" s="68"/>
      <c r="G6" s="68"/>
      <c r="H6" s="68"/>
      <c r="I6" s="68" t="s">
        <v>4</v>
      </c>
      <c r="J6" s="68"/>
      <c r="K6" s="68"/>
      <c r="L6" s="68"/>
      <c r="M6" s="68"/>
      <c r="N6" s="68"/>
      <c r="O6" s="68" t="s">
        <v>4</v>
      </c>
      <c r="P6" s="68"/>
      <c r="Q6" s="68" t="s">
        <v>315</v>
      </c>
      <c r="R6" s="68"/>
      <c r="S6" s="68" t="s">
        <v>434</v>
      </c>
      <c r="T6" s="68"/>
      <c r="U6" s="68" t="s">
        <v>319</v>
      </c>
      <c r="V6" s="68"/>
      <c r="W6" s="68" t="s">
        <v>5</v>
      </c>
      <c r="X6" s="6"/>
    </row>
    <row r="7" spans="1:27" ht="12.75" customHeight="1" x14ac:dyDescent="0.2">
      <c r="A7" s="6"/>
      <c r="C7" s="6"/>
      <c r="D7" s="6"/>
      <c r="E7" s="68" t="s">
        <v>317</v>
      </c>
      <c r="F7" s="68"/>
      <c r="G7" s="68" t="s">
        <v>5</v>
      </c>
      <c r="H7" s="68"/>
      <c r="I7" s="68" t="s">
        <v>506</v>
      </c>
      <c r="J7" s="68"/>
      <c r="K7" s="68" t="s">
        <v>4</v>
      </c>
      <c r="L7" s="68"/>
      <c r="M7" s="68" t="s">
        <v>5</v>
      </c>
      <c r="N7" s="68"/>
      <c r="O7" s="68" t="s">
        <v>508</v>
      </c>
      <c r="P7" s="68"/>
      <c r="Q7" s="68" t="s">
        <v>318</v>
      </c>
      <c r="R7" s="68"/>
      <c r="S7" s="63" t="s">
        <v>491</v>
      </c>
      <c r="T7" s="63"/>
      <c r="U7" s="63" t="s">
        <v>492</v>
      </c>
      <c r="V7" s="68"/>
      <c r="W7" s="68" t="s">
        <v>318</v>
      </c>
      <c r="X7" s="6"/>
      <c r="Z7" s="63" t="s">
        <v>425</v>
      </c>
    </row>
    <row r="8" spans="1:27" ht="12.75" customHeight="1" x14ac:dyDescent="0.2">
      <c r="A8" s="27" t="s">
        <v>6</v>
      </c>
      <c r="C8" s="27" t="s">
        <v>7</v>
      </c>
      <c r="D8" s="6"/>
      <c r="E8" s="27" t="s">
        <v>320</v>
      </c>
      <c r="F8" s="68"/>
      <c r="G8" s="27" t="s">
        <v>0</v>
      </c>
      <c r="H8" s="68"/>
      <c r="I8" s="87" t="s">
        <v>507</v>
      </c>
      <c r="J8" s="68"/>
      <c r="K8" s="27" t="s">
        <v>321</v>
      </c>
      <c r="L8" s="68"/>
      <c r="M8" s="27" t="s">
        <v>1</v>
      </c>
      <c r="N8" s="68"/>
      <c r="O8" s="87" t="s">
        <v>507</v>
      </c>
      <c r="P8" s="68"/>
      <c r="Q8" s="27" t="s">
        <v>322</v>
      </c>
      <c r="R8" s="68"/>
      <c r="S8" s="27" t="s">
        <v>323</v>
      </c>
      <c r="T8" s="68"/>
      <c r="U8" s="27" t="s">
        <v>323</v>
      </c>
      <c r="V8" s="68"/>
      <c r="W8" s="27" t="s">
        <v>322</v>
      </c>
      <c r="X8" s="6"/>
      <c r="Z8" s="50" t="s">
        <v>427</v>
      </c>
    </row>
    <row r="9" spans="1:27" ht="12.75" customHeight="1" x14ac:dyDescent="0.2">
      <c r="A9" s="68"/>
      <c r="C9" s="68"/>
      <c r="D9" s="6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"/>
    </row>
    <row r="10" spans="1:27" s="9" customFormat="1" ht="12.75" hidden="1" customHeight="1" x14ac:dyDescent="0.2">
      <c r="A10" s="7" t="s">
        <v>10</v>
      </c>
      <c r="B10" s="14"/>
      <c r="C10" s="7" t="s">
        <v>11</v>
      </c>
      <c r="D10" s="6"/>
      <c r="E10" s="40">
        <v>1624795</v>
      </c>
      <c r="F10" s="40"/>
      <c r="G10" s="40">
        <v>51635482</v>
      </c>
      <c r="H10" s="40"/>
      <c r="I10" s="40">
        <v>0</v>
      </c>
      <c r="J10" s="40"/>
      <c r="K10" s="40">
        <v>0</v>
      </c>
      <c r="L10" s="40"/>
      <c r="M10" s="40">
        <v>11883243</v>
      </c>
      <c r="N10" s="40"/>
      <c r="O10" s="40">
        <v>33146452</v>
      </c>
      <c r="P10" s="40"/>
      <c r="Q10" s="40">
        <v>266687</v>
      </c>
      <c r="R10" s="40"/>
      <c r="S10" s="40">
        <v>1236966</v>
      </c>
      <c r="T10" s="40"/>
      <c r="U10" s="40">
        <v>5102134</v>
      </c>
      <c r="V10" s="40"/>
      <c r="W10" s="40">
        <f t="shared" ref="W10:W48" si="0">+U10+S10+Q10</f>
        <v>6605787</v>
      </c>
      <c r="X10" s="8"/>
      <c r="Y10" s="9">
        <f t="shared" ref="Y10:Y42" si="1">+G10-M10-W10</f>
        <v>33146452</v>
      </c>
      <c r="Z10" s="7">
        <f>+G10-M10-W10+I10-O10</f>
        <v>0</v>
      </c>
    </row>
    <row r="11" spans="1:27" s="9" customFormat="1" ht="12.75" customHeight="1" x14ac:dyDescent="0.2">
      <c r="A11" s="7" t="s">
        <v>12</v>
      </c>
      <c r="B11" s="14"/>
      <c r="C11" s="7" t="s">
        <v>13</v>
      </c>
      <c r="D11" s="6"/>
      <c r="E11" s="40">
        <v>1950254</v>
      </c>
      <c r="F11" s="40"/>
      <c r="G11" s="40">
        <v>6415581</v>
      </c>
      <c r="H11" s="40"/>
      <c r="I11" s="40">
        <v>0</v>
      </c>
      <c r="J11" s="40"/>
      <c r="K11" s="40">
        <v>0</v>
      </c>
      <c r="L11" s="40"/>
      <c r="M11" s="40">
        <v>602240</v>
      </c>
      <c r="N11" s="40"/>
      <c r="O11" s="40">
        <v>2780549</v>
      </c>
      <c r="P11" s="40"/>
      <c r="Q11" s="40">
        <v>90479</v>
      </c>
      <c r="R11" s="40"/>
      <c r="S11" s="40">
        <f>134581+135180</f>
        <v>269761</v>
      </c>
      <c r="T11" s="40"/>
      <c r="U11" s="40">
        <v>2672552</v>
      </c>
      <c r="V11" s="40"/>
      <c r="W11" s="40">
        <f>+U11+S11+Q11</f>
        <v>3032792</v>
      </c>
      <c r="X11" s="8"/>
      <c r="Y11" s="9">
        <f t="shared" si="1"/>
        <v>2780549</v>
      </c>
      <c r="Z11" s="7">
        <f t="shared" ref="Z11:Z67" si="2">+G11-M11-W11+I11-O11</f>
        <v>0</v>
      </c>
    </row>
    <row r="12" spans="1:27" ht="12.75" customHeight="1" x14ac:dyDescent="0.2">
      <c r="A12" s="7" t="s">
        <v>14</v>
      </c>
      <c r="C12" s="7" t="s">
        <v>15</v>
      </c>
      <c r="D12" s="6"/>
      <c r="E12" s="8">
        <v>1929452</v>
      </c>
      <c r="F12" s="8"/>
      <c r="G12" s="8">
        <v>4180106</v>
      </c>
      <c r="H12" s="8"/>
      <c r="I12" s="8">
        <v>0</v>
      </c>
      <c r="J12" s="8"/>
      <c r="K12" s="8">
        <v>0</v>
      </c>
      <c r="L12" s="8"/>
      <c r="M12" s="8">
        <v>232482</v>
      </c>
      <c r="N12" s="8"/>
      <c r="O12" s="8">
        <v>1265381</v>
      </c>
      <c r="P12" s="8"/>
      <c r="Q12" s="8">
        <v>154041</v>
      </c>
      <c r="R12" s="8"/>
      <c r="S12" s="8">
        <v>16106</v>
      </c>
      <c r="T12" s="8"/>
      <c r="U12" s="8">
        <v>2512096</v>
      </c>
      <c r="V12" s="8"/>
      <c r="W12" s="8">
        <f t="shared" si="0"/>
        <v>2682243</v>
      </c>
      <c r="X12" s="8"/>
      <c r="Y12" s="7">
        <f t="shared" si="1"/>
        <v>1265381</v>
      </c>
      <c r="Z12" s="7">
        <f t="shared" si="2"/>
        <v>0</v>
      </c>
      <c r="AA12" s="9"/>
    </row>
    <row r="13" spans="1:27" ht="12.75" customHeight="1" x14ac:dyDescent="0.2">
      <c r="A13" s="7" t="s">
        <v>16</v>
      </c>
      <c r="C13" s="7" t="s">
        <v>16</v>
      </c>
      <c r="D13" s="6"/>
      <c r="E13" s="8">
        <v>955628</v>
      </c>
      <c r="F13" s="8"/>
      <c r="G13" s="8">
        <v>3987224</v>
      </c>
      <c r="H13" s="8"/>
      <c r="I13" s="8">
        <v>0</v>
      </c>
      <c r="J13" s="8"/>
      <c r="K13" s="8">
        <v>1914233</v>
      </c>
      <c r="L13" s="8"/>
      <c r="M13" s="8">
        <v>2551554</v>
      </c>
      <c r="N13" s="8"/>
      <c r="O13" s="8">
        <v>0</v>
      </c>
      <c r="P13" s="8"/>
      <c r="Q13" s="8">
        <v>81683</v>
      </c>
      <c r="R13" s="8"/>
      <c r="S13" s="8">
        <f>4758+1360086</f>
        <v>1364844</v>
      </c>
      <c r="T13" s="8"/>
      <c r="U13" s="8">
        <v>-10857</v>
      </c>
      <c r="V13" s="8"/>
      <c r="W13" s="8">
        <f t="shared" si="0"/>
        <v>1435670</v>
      </c>
      <c r="X13" s="8"/>
      <c r="Y13" s="7">
        <f t="shared" si="1"/>
        <v>0</v>
      </c>
      <c r="Z13" s="7">
        <f t="shared" si="2"/>
        <v>0</v>
      </c>
      <c r="AA13" s="9"/>
    </row>
    <row r="14" spans="1:27" ht="12.75" customHeight="1" x14ac:dyDescent="0.2">
      <c r="A14" s="7" t="s">
        <v>17</v>
      </c>
      <c r="C14" s="7" t="s">
        <v>17</v>
      </c>
      <c r="D14" s="6"/>
      <c r="E14" s="8">
        <f>313184+75784+19915</f>
        <v>408883</v>
      </c>
      <c r="F14" s="8"/>
      <c r="G14" s="8">
        <v>3569408</v>
      </c>
      <c r="H14" s="8"/>
      <c r="I14" s="8">
        <v>0</v>
      </c>
      <c r="J14" s="8"/>
      <c r="K14" s="8">
        <v>0</v>
      </c>
      <c r="L14" s="8"/>
      <c r="M14" s="8">
        <v>514361</v>
      </c>
      <c r="N14" s="8"/>
      <c r="O14" s="8">
        <v>2410257</v>
      </c>
      <c r="P14" s="8"/>
      <c r="Q14" s="8">
        <v>82872</v>
      </c>
      <c r="R14" s="8"/>
      <c r="S14" s="8">
        <v>70852</v>
      </c>
      <c r="T14" s="8"/>
      <c r="U14" s="8">
        <v>491066</v>
      </c>
      <c r="V14" s="8"/>
      <c r="W14" s="8">
        <f t="shared" si="0"/>
        <v>644790</v>
      </c>
      <c r="X14" s="8"/>
      <c r="Y14" s="7">
        <f t="shared" si="1"/>
        <v>2410257</v>
      </c>
      <c r="Z14" s="7">
        <f t="shared" si="2"/>
        <v>0</v>
      </c>
      <c r="AA14" s="9"/>
    </row>
    <row r="15" spans="1:27" ht="12.75" customHeight="1" x14ac:dyDescent="0.2">
      <c r="A15" s="7" t="s">
        <v>18</v>
      </c>
      <c r="C15" s="7" t="s">
        <v>18</v>
      </c>
      <c r="D15" s="6"/>
      <c r="E15" s="8">
        <v>2249872</v>
      </c>
      <c r="F15" s="8"/>
      <c r="G15" s="8">
        <v>3918351</v>
      </c>
      <c r="H15" s="8"/>
      <c r="I15" s="8">
        <v>0</v>
      </c>
      <c r="J15" s="8"/>
      <c r="K15" s="8">
        <v>0</v>
      </c>
      <c r="L15" s="8"/>
      <c r="M15" s="8">
        <v>1165668</v>
      </c>
      <c r="N15" s="8"/>
      <c r="O15" s="8">
        <v>911363</v>
      </c>
      <c r="P15" s="8"/>
      <c r="Q15" s="8">
        <v>76570</v>
      </c>
      <c r="R15" s="8"/>
      <c r="S15" s="8">
        <v>547379</v>
      </c>
      <c r="T15" s="8"/>
      <c r="U15" s="8">
        <v>1217371</v>
      </c>
      <c r="V15" s="8"/>
      <c r="W15" s="8">
        <f t="shared" si="0"/>
        <v>1841320</v>
      </c>
      <c r="X15" s="8"/>
      <c r="Y15" s="7">
        <f t="shared" si="1"/>
        <v>911363</v>
      </c>
      <c r="Z15" s="7">
        <f t="shared" si="2"/>
        <v>0</v>
      </c>
      <c r="AA15" s="9"/>
    </row>
    <row r="16" spans="1:27" ht="12.75" customHeight="1" x14ac:dyDescent="0.2">
      <c r="A16" s="7" t="s">
        <v>19</v>
      </c>
      <c r="B16" s="7"/>
      <c r="C16" s="7" t="s">
        <v>20</v>
      </c>
      <c r="D16" s="6"/>
      <c r="E16" s="8">
        <v>7618124</v>
      </c>
      <c r="F16" s="8"/>
      <c r="G16" s="8">
        <v>13326891</v>
      </c>
      <c r="H16" s="8"/>
      <c r="I16" s="8">
        <v>0</v>
      </c>
      <c r="J16" s="8"/>
      <c r="K16" s="8">
        <v>0</v>
      </c>
      <c r="L16" s="8"/>
      <c r="M16" s="8">
        <v>944280</v>
      </c>
      <c r="N16" s="8"/>
      <c r="O16" s="8">
        <v>3507161</v>
      </c>
      <c r="P16" s="8"/>
      <c r="Q16" s="8">
        <v>133965</v>
      </c>
      <c r="R16" s="8"/>
      <c r="S16" s="8">
        <f>781609+223775</f>
        <v>1005384</v>
      </c>
      <c r="T16" s="8"/>
      <c r="U16" s="8">
        <v>7736101</v>
      </c>
      <c r="V16" s="8"/>
      <c r="W16" s="8">
        <f t="shared" si="0"/>
        <v>8875450</v>
      </c>
      <c r="X16" s="8"/>
      <c r="Y16" s="7">
        <f t="shared" si="1"/>
        <v>3507161</v>
      </c>
      <c r="Z16" s="7">
        <f t="shared" si="2"/>
        <v>0</v>
      </c>
    </row>
    <row r="17" spans="1:26" ht="12.75" customHeight="1" x14ac:dyDescent="0.2">
      <c r="A17" s="7" t="s">
        <v>21</v>
      </c>
      <c r="C17" s="7" t="s">
        <v>15</v>
      </c>
      <c r="D17" s="6"/>
      <c r="E17" s="8">
        <f>3737327+971816</f>
        <v>4709143</v>
      </c>
      <c r="F17" s="8"/>
      <c r="G17" s="8">
        <v>11978853</v>
      </c>
      <c r="H17" s="8"/>
      <c r="I17" s="8">
        <v>0</v>
      </c>
      <c r="J17" s="8"/>
      <c r="K17" s="8">
        <v>0</v>
      </c>
      <c r="L17" s="8"/>
      <c r="M17" s="8">
        <v>260066</v>
      </c>
      <c r="N17" s="8"/>
      <c r="O17" s="8">
        <v>2747673</v>
      </c>
      <c r="P17" s="8"/>
      <c r="Q17" s="8">
        <v>1170558</v>
      </c>
      <c r="R17" s="8"/>
      <c r="S17" s="8">
        <v>1742480</v>
      </c>
      <c r="T17" s="8"/>
      <c r="U17" s="8">
        <v>6058076</v>
      </c>
      <c r="V17" s="8"/>
      <c r="W17" s="8">
        <f t="shared" si="0"/>
        <v>8971114</v>
      </c>
      <c r="X17" s="8"/>
      <c r="Y17" s="7">
        <f t="shared" si="1"/>
        <v>2747673</v>
      </c>
      <c r="Z17" s="7">
        <f t="shared" si="2"/>
        <v>0</v>
      </c>
    </row>
    <row r="18" spans="1:26" ht="12.75" customHeight="1" x14ac:dyDescent="0.2">
      <c r="A18" s="7" t="s">
        <v>22</v>
      </c>
      <c r="C18" s="7" t="s">
        <v>15</v>
      </c>
      <c r="D18" s="6"/>
      <c r="E18" s="8">
        <v>4675779</v>
      </c>
      <c r="F18" s="8"/>
      <c r="G18" s="8">
        <v>7713667</v>
      </c>
      <c r="H18" s="8"/>
      <c r="I18" s="8">
        <v>0</v>
      </c>
      <c r="J18" s="8"/>
      <c r="K18" s="8">
        <v>1947170</v>
      </c>
      <c r="L18" s="8"/>
      <c r="M18" s="8">
        <v>2129046</v>
      </c>
      <c r="N18" s="8"/>
      <c r="O18" s="8">
        <v>0</v>
      </c>
      <c r="P18" s="8"/>
      <c r="Q18" s="8">
        <v>27802</v>
      </c>
      <c r="R18" s="8"/>
      <c r="S18" s="8">
        <v>0</v>
      </c>
      <c r="T18" s="8"/>
      <c r="U18" s="8">
        <v>5556819</v>
      </c>
      <c r="V18" s="8"/>
      <c r="W18" s="8">
        <f t="shared" ref="W18" si="3">+U18+S18+Q18</f>
        <v>5584621</v>
      </c>
      <c r="X18" s="8"/>
      <c r="Y18" s="7">
        <f t="shared" si="1"/>
        <v>0</v>
      </c>
      <c r="Z18" s="7">
        <f t="shared" si="2"/>
        <v>0</v>
      </c>
    </row>
    <row r="19" spans="1:26" ht="12.75" customHeight="1" x14ac:dyDescent="0.2">
      <c r="A19" s="7" t="s">
        <v>23</v>
      </c>
      <c r="B19" s="7"/>
      <c r="C19" s="7" t="s">
        <v>11</v>
      </c>
      <c r="D19" s="6"/>
      <c r="E19" s="8">
        <f>2485914+201481</f>
        <v>2687395</v>
      </c>
      <c r="F19" s="8"/>
      <c r="G19" s="8">
        <v>7181228</v>
      </c>
      <c r="H19" s="8"/>
      <c r="I19" s="8">
        <v>0</v>
      </c>
      <c r="J19" s="8"/>
      <c r="K19" s="8">
        <v>0</v>
      </c>
      <c r="L19" s="8"/>
      <c r="M19" s="8">
        <v>968335</v>
      </c>
      <c r="N19" s="8"/>
      <c r="O19" s="8">
        <v>1971861</v>
      </c>
      <c r="P19" s="8"/>
      <c r="Q19" s="8">
        <v>60328</v>
      </c>
      <c r="R19" s="8"/>
      <c r="S19" s="8">
        <f>21271+1257550</f>
        <v>1278821</v>
      </c>
      <c r="T19" s="8"/>
      <c r="U19" s="8">
        <v>2901883</v>
      </c>
      <c r="V19" s="8"/>
      <c r="W19" s="8">
        <f t="shared" si="0"/>
        <v>4241032</v>
      </c>
      <c r="X19" s="8"/>
      <c r="Y19" s="7">
        <f t="shared" si="1"/>
        <v>1971861</v>
      </c>
      <c r="Z19" s="7">
        <f t="shared" si="2"/>
        <v>0</v>
      </c>
    </row>
    <row r="20" spans="1:26" ht="12.75" customHeight="1" x14ac:dyDescent="0.2">
      <c r="A20" s="7" t="s">
        <v>24</v>
      </c>
      <c r="C20" s="7" t="s">
        <v>25</v>
      </c>
      <c r="D20" s="6"/>
      <c r="E20" s="8">
        <v>1144541</v>
      </c>
      <c r="F20" s="8"/>
      <c r="G20" s="8">
        <v>7661861</v>
      </c>
      <c r="H20" s="8"/>
      <c r="I20" s="8">
        <v>0</v>
      </c>
      <c r="J20" s="8"/>
      <c r="K20" s="8">
        <v>0</v>
      </c>
      <c r="L20" s="8"/>
      <c r="M20" s="8">
        <v>397719</v>
      </c>
      <c r="N20" s="8"/>
      <c r="O20" s="8">
        <v>4972684</v>
      </c>
      <c r="P20" s="8"/>
      <c r="Q20" s="8">
        <v>214993</v>
      </c>
      <c r="R20" s="8"/>
      <c r="S20" s="8">
        <v>73026</v>
      </c>
      <c r="T20" s="8"/>
      <c r="U20" s="8">
        <v>2003439</v>
      </c>
      <c r="V20" s="8"/>
      <c r="W20" s="8">
        <f t="shared" si="0"/>
        <v>2291458</v>
      </c>
      <c r="X20" s="8"/>
      <c r="Y20" s="7">
        <f t="shared" si="1"/>
        <v>4972684</v>
      </c>
      <c r="Z20" s="7">
        <f t="shared" si="2"/>
        <v>0</v>
      </c>
    </row>
    <row r="21" spans="1:26" ht="12.75" customHeight="1" x14ac:dyDescent="0.2">
      <c r="A21" s="7" t="s">
        <v>26</v>
      </c>
      <c r="C21" s="7" t="s">
        <v>25</v>
      </c>
      <c r="D21" s="6"/>
      <c r="E21" s="8">
        <f>23567780+2375+20368</f>
        <v>23590523</v>
      </c>
      <c r="F21" s="8"/>
      <c r="G21" s="8">
        <v>36249148</v>
      </c>
      <c r="H21" s="8"/>
      <c r="I21" s="8">
        <v>0</v>
      </c>
      <c r="J21" s="8"/>
      <c r="K21" s="8">
        <v>0</v>
      </c>
      <c r="L21" s="8"/>
      <c r="M21" s="8">
        <v>1704830</v>
      </c>
      <c r="N21" s="8"/>
      <c r="O21" s="8">
        <v>5683152</v>
      </c>
      <c r="P21" s="8"/>
      <c r="Q21" s="8">
        <v>1057697</v>
      </c>
      <c r="R21" s="8"/>
      <c r="S21" s="8">
        <f>233569+1195872</f>
        <v>1429441</v>
      </c>
      <c r="T21" s="8"/>
      <c r="U21" s="8">
        <v>26374028</v>
      </c>
      <c r="V21" s="8"/>
      <c r="W21" s="8">
        <f t="shared" si="0"/>
        <v>28861166</v>
      </c>
      <c r="X21" s="8"/>
      <c r="Y21" s="7">
        <f t="shared" si="1"/>
        <v>5683152</v>
      </c>
      <c r="Z21" s="7">
        <f t="shared" si="2"/>
        <v>0</v>
      </c>
    </row>
    <row r="22" spans="1:26" ht="12.75" customHeight="1" x14ac:dyDescent="0.2">
      <c r="A22" s="7" t="s">
        <v>27</v>
      </c>
      <c r="C22" s="7" t="s">
        <v>28</v>
      </c>
      <c r="D22" s="6"/>
      <c r="E22" s="8">
        <f>719155+158760</f>
        <v>877915</v>
      </c>
      <c r="F22" s="8"/>
      <c r="G22" s="8">
        <v>4448403</v>
      </c>
      <c r="H22" s="8"/>
      <c r="I22" s="8">
        <v>0</v>
      </c>
      <c r="J22" s="8"/>
      <c r="K22" s="8">
        <v>0</v>
      </c>
      <c r="L22" s="8"/>
      <c r="M22" s="8">
        <v>202362</v>
      </c>
      <c r="N22" s="8"/>
      <c r="O22" s="8">
        <v>1796859</v>
      </c>
      <c r="P22" s="8"/>
      <c r="Q22" s="8">
        <v>163598</v>
      </c>
      <c r="R22" s="8"/>
      <c r="S22" s="8">
        <v>0</v>
      </c>
      <c r="T22" s="8"/>
      <c r="U22" s="8">
        <v>2285584</v>
      </c>
      <c r="V22" s="8"/>
      <c r="W22" s="8">
        <f t="shared" si="0"/>
        <v>2449182</v>
      </c>
      <c r="X22" s="8"/>
      <c r="Y22" s="7">
        <f t="shared" si="1"/>
        <v>1796859</v>
      </c>
      <c r="Z22" s="7">
        <f t="shared" si="2"/>
        <v>0</v>
      </c>
    </row>
    <row r="23" spans="1:26" ht="12.75" customHeight="1" x14ac:dyDescent="0.2">
      <c r="A23" s="7" t="s">
        <v>29</v>
      </c>
      <c r="C23" s="7" t="s">
        <v>25</v>
      </c>
      <c r="D23" s="6"/>
      <c r="E23" s="8">
        <v>9126250</v>
      </c>
      <c r="F23" s="8"/>
      <c r="G23" s="8">
        <v>15156812</v>
      </c>
      <c r="H23" s="8"/>
      <c r="I23" s="8">
        <v>0</v>
      </c>
      <c r="J23" s="8"/>
      <c r="K23" s="8">
        <v>0</v>
      </c>
      <c r="L23" s="8"/>
      <c r="M23" s="8">
        <v>576269</v>
      </c>
      <c r="N23" s="8"/>
      <c r="O23" s="8">
        <v>4108258</v>
      </c>
      <c r="P23" s="8"/>
      <c r="Q23" s="8">
        <v>180077</v>
      </c>
      <c r="R23" s="8"/>
      <c r="S23" s="8">
        <f>24374+74306</f>
        <v>98680</v>
      </c>
      <c r="T23" s="8"/>
      <c r="U23" s="8">
        <v>10193528</v>
      </c>
      <c r="V23" s="8"/>
      <c r="W23" s="8">
        <f t="shared" si="0"/>
        <v>10472285</v>
      </c>
      <c r="X23" s="8"/>
      <c r="Y23" s="7">
        <f t="shared" si="1"/>
        <v>4108258</v>
      </c>
      <c r="Z23" s="7">
        <f t="shared" si="2"/>
        <v>0</v>
      </c>
    </row>
    <row r="24" spans="1:26" ht="12.75" customHeight="1" x14ac:dyDescent="0.2">
      <c r="A24" s="7" t="s">
        <v>30</v>
      </c>
      <c r="C24" s="7" t="s">
        <v>25</v>
      </c>
      <c r="D24" s="6"/>
      <c r="E24" s="8">
        <v>2229071</v>
      </c>
      <c r="F24" s="8"/>
      <c r="G24" s="8">
        <v>5892276</v>
      </c>
      <c r="H24" s="8"/>
      <c r="I24" s="8">
        <v>0</v>
      </c>
      <c r="J24" s="8"/>
      <c r="K24" s="8">
        <v>1850654</v>
      </c>
      <c r="L24" s="8"/>
      <c r="M24" s="8">
        <v>2250353</v>
      </c>
      <c r="N24" s="8"/>
      <c r="O24" s="8">
        <v>0</v>
      </c>
      <c r="P24" s="8"/>
      <c r="Q24" s="8">
        <f>77176+217535</f>
        <v>294711</v>
      </c>
      <c r="R24" s="8"/>
      <c r="S24" s="8">
        <f>163+59056</f>
        <v>59219</v>
      </c>
      <c r="T24" s="8"/>
      <c r="U24" s="8">
        <v>3287993</v>
      </c>
      <c r="V24" s="8"/>
      <c r="W24" s="8">
        <f t="shared" si="0"/>
        <v>3641923</v>
      </c>
      <c r="X24" s="8"/>
      <c r="Y24" s="7">
        <f t="shared" si="1"/>
        <v>0</v>
      </c>
      <c r="Z24" s="7">
        <f t="shared" si="2"/>
        <v>0</v>
      </c>
    </row>
    <row r="25" spans="1:26" ht="12.75" customHeight="1" x14ac:dyDescent="0.2">
      <c r="A25" s="7" t="s">
        <v>32</v>
      </c>
      <c r="C25" s="7" t="s">
        <v>28</v>
      </c>
      <c r="D25" s="6"/>
      <c r="E25" s="8">
        <v>1115400</v>
      </c>
      <c r="F25" s="8"/>
      <c r="G25" s="8">
        <v>1828898</v>
      </c>
      <c r="H25" s="8"/>
      <c r="I25" s="8">
        <v>0</v>
      </c>
      <c r="J25" s="8"/>
      <c r="K25" s="8">
        <v>661840</v>
      </c>
      <c r="L25" s="8"/>
      <c r="M25" s="8">
        <v>686680</v>
      </c>
      <c r="N25" s="8"/>
      <c r="O25" s="8">
        <v>0</v>
      </c>
      <c r="P25" s="8"/>
      <c r="Q25" s="8">
        <v>1231</v>
      </c>
      <c r="R25" s="8"/>
      <c r="S25" s="8">
        <v>0</v>
      </c>
      <c r="T25" s="8"/>
      <c r="U25" s="8">
        <v>1140987</v>
      </c>
      <c r="V25" s="80"/>
      <c r="W25" s="80">
        <f t="shared" si="0"/>
        <v>1142218</v>
      </c>
      <c r="X25" s="8"/>
      <c r="Y25" s="7">
        <f t="shared" si="1"/>
        <v>0</v>
      </c>
      <c r="Z25" s="7">
        <f t="shared" si="2"/>
        <v>0</v>
      </c>
    </row>
    <row r="26" spans="1:26" ht="12.75" customHeight="1" x14ac:dyDescent="0.2">
      <c r="A26" s="7" t="s">
        <v>33</v>
      </c>
      <c r="C26" s="7" t="s">
        <v>34</v>
      </c>
      <c r="D26" s="6"/>
      <c r="E26" s="8">
        <v>2551710</v>
      </c>
      <c r="F26" s="8"/>
      <c r="G26" s="8">
        <v>4143962</v>
      </c>
      <c r="H26" s="8"/>
      <c r="I26" s="8">
        <v>0</v>
      </c>
      <c r="J26" s="8"/>
      <c r="K26" s="8">
        <v>0</v>
      </c>
      <c r="L26" s="8"/>
      <c r="M26" s="8">
        <v>465657</v>
      </c>
      <c r="N26" s="8"/>
      <c r="O26" s="8">
        <v>896568</v>
      </c>
      <c r="P26" s="8"/>
      <c r="Q26" s="8">
        <v>37037</v>
      </c>
      <c r="R26" s="8"/>
      <c r="S26" s="8">
        <f>19429+64988+52863+57244+216+25306</f>
        <v>220046</v>
      </c>
      <c r="T26" s="8"/>
      <c r="U26" s="8">
        <v>2524654</v>
      </c>
      <c r="V26" s="8"/>
      <c r="W26" s="8">
        <f t="shared" si="0"/>
        <v>2781737</v>
      </c>
      <c r="X26" s="8"/>
      <c r="Y26" s="7">
        <f t="shared" si="1"/>
        <v>896568</v>
      </c>
      <c r="Z26" s="7">
        <f t="shared" si="2"/>
        <v>0</v>
      </c>
    </row>
    <row r="27" spans="1:26" ht="12.75" customHeight="1" x14ac:dyDescent="0.2">
      <c r="A27" s="7" t="s">
        <v>35</v>
      </c>
      <c r="C27" s="7" t="s">
        <v>36</v>
      </c>
      <c r="D27" s="6"/>
      <c r="E27" s="8">
        <f>1691171+495</f>
        <v>1691666</v>
      </c>
      <c r="F27" s="8"/>
      <c r="G27" s="8">
        <v>3148899</v>
      </c>
      <c r="H27" s="8"/>
      <c r="I27" s="8">
        <v>0</v>
      </c>
      <c r="J27" s="8"/>
      <c r="K27" s="8">
        <v>0</v>
      </c>
      <c r="L27" s="8"/>
      <c r="M27" s="8">
        <v>210149</v>
      </c>
      <c r="N27" s="8"/>
      <c r="O27" s="8">
        <v>1216369</v>
      </c>
      <c r="P27" s="8"/>
      <c r="Q27" s="8">
        <v>7943</v>
      </c>
      <c r="R27" s="8"/>
      <c r="S27" s="8">
        <v>33262</v>
      </c>
      <c r="T27" s="8"/>
      <c r="U27" s="8">
        <v>1681176</v>
      </c>
      <c r="V27" s="8"/>
      <c r="W27" s="8">
        <f t="shared" si="0"/>
        <v>1722381</v>
      </c>
      <c r="X27" s="8"/>
      <c r="Y27" s="7">
        <f t="shared" si="1"/>
        <v>1216369</v>
      </c>
      <c r="Z27" s="7">
        <f t="shared" si="2"/>
        <v>0</v>
      </c>
    </row>
    <row r="28" spans="1:26" ht="12.75" customHeight="1" x14ac:dyDescent="0.2">
      <c r="A28" s="7" t="s">
        <v>37</v>
      </c>
      <c r="B28" s="7"/>
      <c r="C28" s="7" t="s">
        <v>38</v>
      </c>
      <c r="D28" s="6"/>
      <c r="E28" s="8">
        <f>1738861+5786+21084</f>
        <v>1765731</v>
      </c>
      <c r="F28" s="8"/>
      <c r="G28" s="8">
        <v>2762759</v>
      </c>
      <c r="H28" s="8"/>
      <c r="I28" s="8">
        <v>0</v>
      </c>
      <c r="J28" s="8"/>
      <c r="K28" s="8">
        <v>0</v>
      </c>
      <c r="L28" s="8"/>
      <c r="M28" s="8">
        <v>101447</v>
      </c>
      <c r="N28" s="8"/>
      <c r="O28" s="8">
        <v>636485</v>
      </c>
      <c r="P28" s="8"/>
      <c r="Q28" s="8">
        <f>16754+21084</f>
        <v>37838</v>
      </c>
      <c r="R28" s="8"/>
      <c r="S28" s="8">
        <v>604628</v>
      </c>
      <c r="T28" s="8"/>
      <c r="U28" s="8">
        <v>1382361</v>
      </c>
      <c r="V28" s="8"/>
      <c r="W28" s="8">
        <f t="shared" si="0"/>
        <v>2024827</v>
      </c>
      <c r="X28" s="8"/>
      <c r="Y28" s="7">
        <f t="shared" si="1"/>
        <v>636485</v>
      </c>
      <c r="Z28" s="7">
        <f t="shared" si="2"/>
        <v>0</v>
      </c>
    </row>
    <row r="29" spans="1:26" ht="12.75" customHeight="1" x14ac:dyDescent="0.2">
      <c r="A29" s="7" t="s">
        <v>39</v>
      </c>
      <c r="C29" s="7" t="s">
        <v>25</v>
      </c>
      <c r="D29" s="6"/>
      <c r="E29" s="8">
        <v>2679536</v>
      </c>
      <c r="F29" s="8"/>
      <c r="G29" s="8">
        <v>8278759</v>
      </c>
      <c r="H29" s="8"/>
      <c r="I29" s="8">
        <v>0</v>
      </c>
      <c r="J29" s="8"/>
      <c r="K29" s="8">
        <v>3107056</v>
      </c>
      <c r="L29" s="8"/>
      <c r="M29" s="8">
        <v>3740454</v>
      </c>
      <c r="N29" s="8"/>
      <c r="O29" s="8">
        <v>0</v>
      </c>
      <c r="P29" s="8"/>
      <c r="Q29" s="8">
        <v>43383</v>
      </c>
      <c r="R29" s="8"/>
      <c r="S29" s="8">
        <f>1274241+174933</f>
        <v>1449174</v>
      </c>
      <c r="T29" s="8"/>
      <c r="U29" s="8">
        <v>3045748</v>
      </c>
      <c r="V29" s="8"/>
      <c r="W29" s="8">
        <f t="shared" si="0"/>
        <v>4538305</v>
      </c>
      <c r="X29" s="8"/>
      <c r="Y29" s="7">
        <f t="shared" si="1"/>
        <v>0</v>
      </c>
      <c r="Z29" s="7">
        <f t="shared" si="2"/>
        <v>0</v>
      </c>
    </row>
    <row r="30" spans="1:26" ht="11.25" customHeight="1" x14ac:dyDescent="0.2">
      <c r="A30" s="7" t="s">
        <v>40</v>
      </c>
      <c r="C30" s="7" t="s">
        <v>41</v>
      </c>
      <c r="D30" s="6"/>
      <c r="E30" s="8">
        <f>3966699+2712</f>
        <v>3969411</v>
      </c>
      <c r="F30" s="8"/>
      <c r="G30" s="8">
        <v>8813883</v>
      </c>
      <c r="H30" s="8"/>
      <c r="I30" s="8">
        <v>0</v>
      </c>
      <c r="J30" s="8"/>
      <c r="K30" s="8">
        <v>0</v>
      </c>
      <c r="L30" s="8"/>
      <c r="M30" s="8">
        <v>2422122</v>
      </c>
      <c r="N30" s="8"/>
      <c r="O30" s="8">
        <v>2907057</v>
      </c>
      <c r="P30" s="8"/>
      <c r="Q30" s="8">
        <v>15173</v>
      </c>
      <c r="R30" s="8"/>
      <c r="S30" s="8">
        <v>1059906</v>
      </c>
      <c r="T30" s="8"/>
      <c r="U30" s="8">
        <v>2409625</v>
      </c>
      <c r="V30" s="8"/>
      <c r="W30" s="8">
        <f t="shared" si="0"/>
        <v>3484704</v>
      </c>
      <c r="X30" s="8"/>
      <c r="Y30" s="7">
        <f t="shared" si="1"/>
        <v>2907057</v>
      </c>
      <c r="Z30" s="7">
        <f t="shared" si="2"/>
        <v>0</v>
      </c>
    </row>
    <row r="31" spans="1:26" ht="12.75" customHeight="1" x14ac:dyDescent="0.2">
      <c r="A31" s="7" t="s">
        <v>42</v>
      </c>
      <c r="C31" s="7" t="s">
        <v>43</v>
      </c>
      <c r="D31" s="6"/>
      <c r="E31" s="8">
        <v>29555708</v>
      </c>
      <c r="F31" s="8"/>
      <c r="G31" s="8">
        <v>39507727</v>
      </c>
      <c r="H31" s="8"/>
      <c r="I31" s="8">
        <v>0</v>
      </c>
      <c r="J31" s="8"/>
      <c r="K31" s="8">
        <v>0</v>
      </c>
      <c r="L31" s="8"/>
      <c r="M31" s="8">
        <v>1475449</v>
      </c>
      <c r="N31" s="8"/>
      <c r="O31" s="8">
        <v>4975875</v>
      </c>
      <c r="P31" s="8"/>
      <c r="Q31" s="8">
        <v>69202</v>
      </c>
      <c r="R31" s="8"/>
      <c r="S31" s="8">
        <v>490568</v>
      </c>
      <c r="T31" s="8"/>
      <c r="U31" s="8">
        <v>32496633</v>
      </c>
      <c r="V31" s="8"/>
      <c r="W31" s="8">
        <f t="shared" si="0"/>
        <v>33056403</v>
      </c>
      <c r="X31" s="8"/>
      <c r="Y31" s="7">
        <f t="shared" si="1"/>
        <v>4975875</v>
      </c>
      <c r="Z31" s="7">
        <f t="shared" si="2"/>
        <v>0</v>
      </c>
    </row>
    <row r="32" spans="1:26" ht="12.75" customHeight="1" x14ac:dyDescent="0.2">
      <c r="A32" s="7" t="s">
        <v>44</v>
      </c>
      <c r="C32" s="7" t="s">
        <v>45</v>
      </c>
      <c r="D32" s="6"/>
      <c r="E32" s="8">
        <v>3404584</v>
      </c>
      <c r="F32" s="8"/>
      <c r="G32" s="8">
        <v>8364301</v>
      </c>
      <c r="H32" s="8"/>
      <c r="I32" s="8">
        <v>0</v>
      </c>
      <c r="J32" s="8"/>
      <c r="K32" s="8">
        <v>0</v>
      </c>
      <c r="L32" s="8"/>
      <c r="M32" s="8">
        <v>1005555</v>
      </c>
      <c r="N32" s="8"/>
      <c r="O32" s="8">
        <v>3201385</v>
      </c>
      <c r="P32" s="8"/>
      <c r="Q32" s="8">
        <v>125140</v>
      </c>
      <c r="R32" s="8"/>
      <c r="S32" s="8">
        <f>362192+183924</f>
        <v>546116</v>
      </c>
      <c r="T32" s="8"/>
      <c r="U32" s="8">
        <v>3486105</v>
      </c>
      <c r="V32" s="8"/>
      <c r="W32" s="8">
        <f t="shared" si="0"/>
        <v>4157361</v>
      </c>
      <c r="X32" s="8"/>
      <c r="Y32" s="7">
        <f t="shared" si="1"/>
        <v>3201385</v>
      </c>
      <c r="Z32" s="7">
        <f t="shared" si="2"/>
        <v>0</v>
      </c>
    </row>
    <row r="33" spans="1:26" ht="12.75" customHeight="1" x14ac:dyDescent="0.2">
      <c r="A33" s="7" t="s">
        <v>46</v>
      </c>
      <c r="B33" s="7"/>
      <c r="C33" s="7" t="s">
        <v>25</v>
      </c>
      <c r="D33" s="6"/>
      <c r="E33" s="8">
        <f>7750026+47080+5449</f>
        <v>7802555</v>
      </c>
      <c r="F33" s="8"/>
      <c r="G33" s="8">
        <v>14234315</v>
      </c>
      <c r="H33" s="8"/>
      <c r="I33" s="8">
        <v>0</v>
      </c>
      <c r="J33" s="8"/>
      <c r="K33" s="8">
        <v>0</v>
      </c>
      <c r="L33" s="8"/>
      <c r="M33" s="8">
        <v>841560</v>
      </c>
      <c r="N33" s="8"/>
      <c r="O33" s="8">
        <v>4042756</v>
      </c>
      <c r="P33" s="8"/>
      <c r="Q33" s="8">
        <v>307263</v>
      </c>
      <c r="R33" s="8"/>
      <c r="S33" s="8">
        <f>114187+544608</f>
        <v>658795</v>
      </c>
      <c r="T33" s="8"/>
      <c r="U33" s="8">
        <v>8383941</v>
      </c>
      <c r="V33" s="8"/>
      <c r="W33" s="8">
        <f t="shared" si="0"/>
        <v>9349999</v>
      </c>
      <c r="X33" s="8"/>
      <c r="Y33" s="7">
        <f t="shared" si="1"/>
        <v>4042756</v>
      </c>
      <c r="Z33" s="7">
        <f t="shared" si="2"/>
        <v>0</v>
      </c>
    </row>
    <row r="34" spans="1:26" ht="12.75" customHeight="1" x14ac:dyDescent="0.2">
      <c r="A34" s="7" t="s">
        <v>47</v>
      </c>
      <c r="B34" s="7"/>
      <c r="C34" s="7" t="s">
        <v>25</v>
      </c>
      <c r="D34" s="6"/>
      <c r="E34" s="8">
        <v>3455118</v>
      </c>
      <c r="F34" s="8"/>
      <c r="G34" s="8">
        <v>8172236</v>
      </c>
      <c r="H34" s="8"/>
      <c r="I34" s="8">
        <v>0</v>
      </c>
      <c r="J34" s="8"/>
      <c r="K34" s="8">
        <v>2903081</v>
      </c>
      <c r="L34" s="8"/>
      <c r="M34" s="8">
        <v>4637923</v>
      </c>
      <c r="N34" s="8"/>
      <c r="O34" s="8">
        <v>0</v>
      </c>
      <c r="P34" s="8"/>
      <c r="Q34" s="8">
        <v>64068</v>
      </c>
      <c r="R34" s="8"/>
      <c r="S34" s="8">
        <v>568938</v>
      </c>
      <c r="T34" s="8"/>
      <c r="U34" s="8">
        <v>2901307</v>
      </c>
      <c r="V34" s="8"/>
      <c r="W34" s="8">
        <f t="shared" si="0"/>
        <v>3534313</v>
      </c>
      <c r="X34" s="8"/>
      <c r="Y34" s="7">
        <f t="shared" si="1"/>
        <v>0</v>
      </c>
      <c r="Z34" s="7">
        <f t="shared" si="2"/>
        <v>0</v>
      </c>
    </row>
    <row r="35" spans="1:26" ht="12.75" customHeight="1" x14ac:dyDescent="0.2">
      <c r="A35" s="7" t="s">
        <v>48</v>
      </c>
      <c r="C35" s="7" t="s">
        <v>25</v>
      </c>
      <c r="D35" s="6"/>
      <c r="E35" s="8">
        <v>3567745</v>
      </c>
      <c r="F35" s="8"/>
      <c r="G35" s="8">
        <v>8326757</v>
      </c>
      <c r="H35" s="8"/>
      <c r="I35" s="8">
        <v>0</v>
      </c>
      <c r="J35" s="8"/>
      <c r="K35" s="8">
        <v>0</v>
      </c>
      <c r="L35" s="8"/>
      <c r="M35" s="8">
        <v>1294423</v>
      </c>
      <c r="N35" s="8"/>
      <c r="O35" s="8">
        <v>2548603</v>
      </c>
      <c r="P35" s="8"/>
      <c r="Q35" s="8">
        <v>266001</v>
      </c>
      <c r="R35" s="8"/>
      <c r="S35" s="8">
        <f>2767778+277395</f>
        <v>3045173</v>
      </c>
      <c r="T35" s="8"/>
      <c r="U35" s="8">
        <v>1172557</v>
      </c>
      <c r="V35" s="8"/>
      <c r="W35" s="8">
        <f t="shared" si="0"/>
        <v>4483731</v>
      </c>
      <c r="X35" s="8"/>
      <c r="Y35" s="7">
        <f t="shared" si="1"/>
        <v>2548603</v>
      </c>
      <c r="Z35" s="7">
        <f t="shared" si="2"/>
        <v>0</v>
      </c>
    </row>
    <row r="36" spans="1:26" ht="12.75" customHeight="1" x14ac:dyDescent="0.2">
      <c r="A36" s="7" t="s">
        <v>49</v>
      </c>
      <c r="C36" s="7" t="s">
        <v>25</v>
      </c>
      <c r="D36" s="6"/>
      <c r="E36" s="8">
        <f>8127406+38700+1456650+2862826</f>
        <v>12485582</v>
      </c>
      <c r="F36" s="8"/>
      <c r="G36" s="8">
        <v>16779195</v>
      </c>
      <c r="H36" s="8"/>
      <c r="I36" s="8">
        <v>0</v>
      </c>
      <c r="J36" s="8"/>
      <c r="K36" s="8">
        <v>0</v>
      </c>
      <c r="L36" s="8"/>
      <c r="M36" s="8">
        <v>997060</v>
      </c>
      <c r="N36" s="8"/>
      <c r="O36" s="8">
        <v>1900198</v>
      </c>
      <c r="P36" s="8"/>
      <c r="Q36" s="8">
        <f>201253+3986706</f>
        <v>4187959</v>
      </c>
      <c r="R36" s="8"/>
      <c r="S36" s="8">
        <f>93526+692919</f>
        <v>786445</v>
      </c>
      <c r="T36" s="8"/>
      <c r="U36" s="8">
        <v>8907533</v>
      </c>
      <c r="V36" s="8"/>
      <c r="W36" s="8">
        <f t="shared" si="0"/>
        <v>13881937</v>
      </c>
      <c r="X36" s="8"/>
      <c r="Y36" s="7">
        <f t="shared" si="1"/>
        <v>1900198</v>
      </c>
      <c r="Z36" s="7">
        <f t="shared" si="2"/>
        <v>0</v>
      </c>
    </row>
    <row r="37" spans="1:26" ht="12.75" customHeight="1" x14ac:dyDescent="0.2">
      <c r="A37" s="7" t="s">
        <v>458</v>
      </c>
      <c r="C37" s="7" t="s">
        <v>64</v>
      </c>
      <c r="D37" s="6"/>
      <c r="E37" s="8">
        <v>1372625</v>
      </c>
      <c r="F37" s="8"/>
      <c r="G37" s="8">
        <v>2223075</v>
      </c>
      <c r="H37" s="8"/>
      <c r="I37" s="8">
        <v>0</v>
      </c>
      <c r="J37" s="8"/>
      <c r="K37" s="8">
        <v>0</v>
      </c>
      <c r="L37" s="8"/>
      <c r="M37" s="8">
        <v>166468</v>
      </c>
      <c r="N37" s="8"/>
      <c r="O37" s="8">
        <v>440501</v>
      </c>
      <c r="P37" s="8"/>
      <c r="Q37" s="8">
        <v>52301</v>
      </c>
      <c r="R37" s="8"/>
      <c r="S37" s="8">
        <v>492016</v>
      </c>
      <c r="T37" s="8"/>
      <c r="U37" s="8">
        <v>1071789</v>
      </c>
      <c r="V37" s="8"/>
      <c r="W37" s="8">
        <f t="shared" si="0"/>
        <v>1616106</v>
      </c>
      <c r="X37" s="8"/>
      <c r="Y37" s="7">
        <f t="shared" si="1"/>
        <v>440501</v>
      </c>
      <c r="Z37" s="7">
        <f t="shared" si="2"/>
        <v>0</v>
      </c>
    </row>
    <row r="38" spans="1:26" ht="12.75" customHeight="1" x14ac:dyDescent="0.2">
      <c r="A38" s="7" t="s">
        <v>50</v>
      </c>
      <c r="C38" s="7" t="s">
        <v>51</v>
      </c>
      <c r="D38" s="6"/>
      <c r="E38" s="8">
        <f>6424359+2775+1890</f>
        <v>6429024</v>
      </c>
      <c r="F38" s="8"/>
      <c r="G38" s="8">
        <v>12187662</v>
      </c>
      <c r="H38" s="8"/>
      <c r="I38" s="8">
        <v>0</v>
      </c>
      <c r="J38" s="8"/>
      <c r="K38" s="8">
        <v>0</v>
      </c>
      <c r="L38" s="8"/>
      <c r="M38" s="8">
        <v>192540</v>
      </c>
      <c r="N38" s="8"/>
      <c r="O38" s="8">
        <v>2709314</v>
      </c>
      <c r="P38" s="8"/>
      <c r="Q38" s="8">
        <v>1430246</v>
      </c>
      <c r="R38" s="8"/>
      <c r="S38" s="8">
        <f>562778+4260198</f>
        <v>4822976</v>
      </c>
      <c r="T38" s="8"/>
      <c r="U38" s="8">
        <v>3032586</v>
      </c>
      <c r="V38" s="8"/>
      <c r="W38" s="8">
        <f t="shared" si="0"/>
        <v>9285808</v>
      </c>
      <c r="X38" s="8"/>
      <c r="Y38" s="7">
        <f t="shared" si="1"/>
        <v>2709314</v>
      </c>
      <c r="Z38" s="7">
        <f t="shared" si="2"/>
        <v>0</v>
      </c>
    </row>
    <row r="39" spans="1:26" ht="12.75" customHeight="1" x14ac:dyDescent="0.2">
      <c r="A39" s="7" t="s">
        <v>52</v>
      </c>
      <c r="C39" s="7" t="s">
        <v>53</v>
      </c>
      <c r="D39" s="6"/>
      <c r="E39" s="8">
        <v>5958825</v>
      </c>
      <c r="F39" s="8"/>
      <c r="G39" s="8">
        <v>7705727</v>
      </c>
      <c r="H39" s="8"/>
      <c r="I39" s="8">
        <v>0</v>
      </c>
      <c r="J39" s="8"/>
      <c r="K39" s="8">
        <v>0</v>
      </c>
      <c r="L39" s="8"/>
      <c r="M39" s="8">
        <v>261468</v>
      </c>
      <c r="N39" s="8"/>
      <c r="O39" s="8">
        <v>769735</v>
      </c>
      <c r="P39" s="8"/>
      <c r="Q39" s="8">
        <v>28935</v>
      </c>
      <c r="R39" s="8"/>
      <c r="S39" s="8">
        <v>1290539</v>
      </c>
      <c r="T39" s="8"/>
      <c r="U39" s="8">
        <v>5355050</v>
      </c>
      <c r="V39" s="8"/>
      <c r="W39" s="8">
        <f t="shared" si="0"/>
        <v>6674524</v>
      </c>
      <c r="X39" s="8"/>
      <c r="Y39" s="7">
        <f t="shared" si="1"/>
        <v>769735</v>
      </c>
      <c r="Z39" s="7">
        <f t="shared" si="2"/>
        <v>0</v>
      </c>
    </row>
    <row r="40" spans="1:26" ht="12.75" customHeight="1" x14ac:dyDescent="0.2">
      <c r="A40" s="7" t="s">
        <v>54</v>
      </c>
      <c r="C40" s="7" t="s">
        <v>55</v>
      </c>
      <c r="D40" s="6"/>
      <c r="E40" s="8">
        <v>435963</v>
      </c>
      <c r="F40" s="8"/>
      <c r="G40" s="8">
        <v>2389288</v>
      </c>
      <c r="H40" s="8"/>
      <c r="I40" s="8">
        <v>0</v>
      </c>
      <c r="J40" s="8"/>
      <c r="K40" s="8">
        <v>0</v>
      </c>
      <c r="L40" s="8"/>
      <c r="M40" s="8">
        <v>244789</v>
      </c>
      <c r="N40" s="8"/>
      <c r="O40" s="8">
        <v>1152411</v>
      </c>
      <c r="P40" s="8"/>
      <c r="Q40" s="8">
        <v>46174</v>
      </c>
      <c r="R40" s="8"/>
      <c r="S40" s="8">
        <v>22485</v>
      </c>
      <c r="T40" s="8"/>
      <c r="U40" s="8">
        <v>923429</v>
      </c>
      <c r="V40" s="8"/>
      <c r="W40" s="8">
        <f t="shared" si="0"/>
        <v>992088</v>
      </c>
      <c r="X40" s="8"/>
      <c r="Y40" s="7">
        <f t="shared" si="1"/>
        <v>1152411</v>
      </c>
      <c r="Z40" s="7">
        <f t="shared" si="2"/>
        <v>0</v>
      </c>
    </row>
    <row r="41" spans="1:26" ht="12.75" customHeight="1" x14ac:dyDescent="0.2">
      <c r="A41" s="7" t="s">
        <v>56</v>
      </c>
      <c r="C41" s="7" t="s">
        <v>57</v>
      </c>
      <c r="D41" s="6"/>
      <c r="E41" s="8">
        <f>835944+37859</f>
        <v>873803</v>
      </c>
      <c r="F41" s="8"/>
      <c r="G41" s="8">
        <v>2994803</v>
      </c>
      <c r="H41" s="8"/>
      <c r="I41" s="8">
        <v>0</v>
      </c>
      <c r="J41" s="8"/>
      <c r="K41" s="8">
        <v>812739</v>
      </c>
      <c r="L41" s="8"/>
      <c r="M41" s="8">
        <v>1177429</v>
      </c>
      <c r="N41" s="8"/>
      <c r="O41" s="8">
        <v>0</v>
      </c>
      <c r="P41" s="8"/>
      <c r="Q41" s="8">
        <v>43515</v>
      </c>
      <c r="R41" s="8"/>
      <c r="S41" s="8">
        <v>630470</v>
      </c>
      <c r="T41" s="8"/>
      <c r="U41" s="8">
        <v>1143389</v>
      </c>
      <c r="V41" s="8"/>
      <c r="W41" s="8">
        <f t="shared" si="0"/>
        <v>1817374</v>
      </c>
      <c r="X41" s="8"/>
      <c r="Y41" s="7">
        <f t="shared" si="1"/>
        <v>0</v>
      </c>
      <c r="Z41" s="7">
        <f t="shared" si="2"/>
        <v>0</v>
      </c>
    </row>
    <row r="42" spans="1:26" ht="12.75" customHeight="1" x14ac:dyDescent="0.2">
      <c r="A42" s="7" t="s">
        <v>509</v>
      </c>
      <c r="C42" s="7" t="s">
        <v>59</v>
      </c>
      <c r="D42" s="6"/>
      <c r="E42" s="8">
        <f>1119973+13498</f>
        <v>1133471</v>
      </c>
      <c r="F42" s="8"/>
      <c r="G42" s="8">
        <v>2819432</v>
      </c>
      <c r="H42" s="8"/>
      <c r="I42" s="8">
        <v>0</v>
      </c>
      <c r="J42" s="8"/>
      <c r="K42" s="8">
        <v>0</v>
      </c>
      <c r="L42" s="8"/>
      <c r="M42" s="8">
        <v>161426</v>
      </c>
      <c r="N42" s="8"/>
      <c r="O42" s="8">
        <v>1425160</v>
      </c>
      <c r="P42" s="8"/>
      <c r="Q42" s="8">
        <v>13498</v>
      </c>
      <c r="R42" s="8"/>
      <c r="S42" s="8">
        <v>107912</v>
      </c>
      <c r="T42" s="8"/>
      <c r="U42" s="8">
        <v>1111436</v>
      </c>
      <c r="V42" s="8"/>
      <c r="W42" s="8">
        <f>+U42+S42+Q42</f>
        <v>1232846</v>
      </c>
      <c r="X42" s="8"/>
      <c r="Y42" s="7">
        <f t="shared" si="1"/>
        <v>1425160</v>
      </c>
      <c r="Z42" s="7">
        <f t="shared" ref="Z42" si="4">+G42-M42-W42+I42-O42</f>
        <v>0</v>
      </c>
    </row>
    <row r="43" spans="1:26" ht="12.75" customHeight="1" x14ac:dyDescent="0.2">
      <c r="A43" s="7" t="s">
        <v>470</v>
      </c>
      <c r="C43" s="7" t="s">
        <v>13</v>
      </c>
      <c r="D43" s="6"/>
      <c r="E43" s="8">
        <f>922470+2825</f>
        <v>925295</v>
      </c>
      <c r="F43" s="8"/>
      <c r="G43" s="8">
        <v>1806622</v>
      </c>
      <c r="H43" s="8"/>
      <c r="I43" s="8">
        <v>0</v>
      </c>
      <c r="J43" s="8"/>
      <c r="K43" s="8">
        <v>0</v>
      </c>
      <c r="L43" s="8"/>
      <c r="M43" s="8">
        <v>22555</v>
      </c>
      <c r="N43" s="8"/>
      <c r="O43" s="8">
        <v>571839</v>
      </c>
      <c r="P43" s="8"/>
      <c r="Q43" s="8">
        <v>2825</v>
      </c>
      <c r="R43" s="8"/>
      <c r="S43" s="8">
        <v>2509</v>
      </c>
      <c r="T43" s="8"/>
      <c r="U43" s="8">
        <v>1206894</v>
      </c>
      <c r="V43" s="8"/>
      <c r="W43" s="8">
        <f>+U43+S43+Q43</f>
        <v>1212228</v>
      </c>
      <c r="X43" s="8"/>
      <c r="Y43" s="7">
        <f t="shared" ref="Y43:Y61" si="5">+G43-M43-W43</f>
        <v>571839</v>
      </c>
      <c r="Z43" s="7">
        <f t="shared" si="2"/>
        <v>0</v>
      </c>
    </row>
    <row r="44" spans="1:26" ht="12.75" customHeight="1" x14ac:dyDescent="0.2">
      <c r="A44" s="7" t="s">
        <v>493</v>
      </c>
      <c r="B44" s="10"/>
      <c r="C44" s="7" t="s">
        <v>41</v>
      </c>
      <c r="D44" s="6"/>
      <c r="E44" s="8">
        <v>2939121</v>
      </c>
      <c r="F44" s="8"/>
      <c r="G44" s="8">
        <v>4579482</v>
      </c>
      <c r="H44" s="8"/>
      <c r="I44" s="8">
        <v>0</v>
      </c>
      <c r="J44" s="8"/>
      <c r="K44" s="8">
        <v>0</v>
      </c>
      <c r="L44" s="8"/>
      <c r="M44" s="8">
        <v>595744</v>
      </c>
      <c r="N44" s="8"/>
      <c r="O44" s="8">
        <v>1235752</v>
      </c>
      <c r="P44" s="8"/>
      <c r="Q44" s="8">
        <v>22650</v>
      </c>
      <c r="R44" s="8"/>
      <c r="S44" s="8">
        <v>208411</v>
      </c>
      <c r="T44" s="8"/>
      <c r="U44" s="8">
        <v>2516925</v>
      </c>
      <c r="V44" s="8"/>
      <c r="W44" s="8">
        <f t="shared" ref="W44" si="6">+U44+S44+Q44</f>
        <v>2747986</v>
      </c>
      <c r="X44" s="8"/>
      <c r="Y44" s="7">
        <f t="shared" si="5"/>
        <v>1235752</v>
      </c>
      <c r="Z44" s="7">
        <f t="shared" si="2"/>
        <v>0</v>
      </c>
    </row>
    <row r="45" spans="1:26" ht="12.75" customHeight="1" x14ac:dyDescent="0.2">
      <c r="A45" s="7" t="s">
        <v>58</v>
      </c>
      <c r="C45" s="7" t="s">
        <v>59</v>
      </c>
      <c r="D45" s="6"/>
      <c r="E45" s="8">
        <v>1153543</v>
      </c>
      <c r="F45" s="8"/>
      <c r="G45" s="8">
        <v>2288721</v>
      </c>
      <c r="H45" s="8"/>
      <c r="I45" s="8">
        <v>0</v>
      </c>
      <c r="J45" s="8"/>
      <c r="K45" s="8">
        <v>0</v>
      </c>
      <c r="L45" s="8"/>
      <c r="M45" s="8">
        <v>325791</v>
      </c>
      <c r="N45" s="8"/>
      <c r="O45" s="8">
        <v>542605</v>
      </c>
      <c r="P45" s="8"/>
      <c r="Q45" s="8">
        <v>71287</v>
      </c>
      <c r="R45" s="8"/>
      <c r="S45" s="8">
        <f>2782+887611</f>
        <v>890393</v>
      </c>
      <c r="T45" s="8"/>
      <c r="U45" s="8">
        <v>458645</v>
      </c>
      <c r="V45" s="8"/>
      <c r="W45" s="8">
        <f t="shared" si="0"/>
        <v>1420325</v>
      </c>
      <c r="X45" s="8"/>
      <c r="Y45" s="7">
        <f t="shared" si="5"/>
        <v>542605</v>
      </c>
      <c r="Z45" s="7">
        <f t="shared" si="2"/>
        <v>0</v>
      </c>
    </row>
    <row r="46" spans="1:26" ht="12.75" hidden="1" customHeight="1" x14ac:dyDescent="0.2">
      <c r="A46" s="7" t="s">
        <v>60</v>
      </c>
      <c r="C46" s="7" t="s">
        <v>13</v>
      </c>
      <c r="D46" s="6"/>
      <c r="E46" s="8">
        <v>5680196</v>
      </c>
      <c r="F46" s="8"/>
      <c r="G46" s="8">
        <v>21775776</v>
      </c>
      <c r="H46" s="8"/>
      <c r="I46" s="8">
        <v>0</v>
      </c>
      <c r="J46" s="8"/>
      <c r="K46" s="8">
        <v>0</v>
      </c>
      <c r="L46" s="8"/>
      <c r="M46" s="8">
        <v>4471713</v>
      </c>
      <c r="N46" s="8"/>
      <c r="O46" s="8">
        <v>7582184</v>
      </c>
      <c r="P46" s="8"/>
      <c r="Q46" s="8">
        <f>289197+89191</f>
        <v>378388</v>
      </c>
      <c r="R46" s="8"/>
      <c r="S46" s="8">
        <v>1081844</v>
      </c>
      <c r="T46" s="8"/>
      <c r="U46" s="8">
        <v>8261647</v>
      </c>
      <c r="V46" s="8"/>
      <c r="W46" s="8">
        <f t="shared" si="0"/>
        <v>9721879</v>
      </c>
      <c r="X46" s="8"/>
      <c r="Y46" s="7">
        <f t="shared" si="5"/>
        <v>7582184</v>
      </c>
      <c r="Z46" s="7">
        <f t="shared" si="2"/>
        <v>0</v>
      </c>
    </row>
    <row r="47" spans="1:26" ht="12.75" hidden="1" customHeight="1" x14ac:dyDescent="0.2">
      <c r="A47" s="7" t="s">
        <v>479</v>
      </c>
      <c r="C47" s="7" t="s">
        <v>109</v>
      </c>
      <c r="D47" s="6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>
        <f>+U47+S47+Q47</f>
        <v>0</v>
      </c>
      <c r="X47" s="8"/>
      <c r="Y47" s="7">
        <f t="shared" si="5"/>
        <v>0</v>
      </c>
      <c r="Z47" s="7">
        <f t="shared" si="2"/>
        <v>0</v>
      </c>
    </row>
    <row r="48" spans="1:26" ht="12.75" customHeight="1" x14ac:dyDescent="0.2">
      <c r="A48" s="7" t="s">
        <v>61</v>
      </c>
      <c r="C48" s="7" t="s">
        <v>62</v>
      </c>
      <c r="D48" s="6"/>
      <c r="E48" s="8">
        <f>2836160+14238</f>
        <v>2850398</v>
      </c>
      <c r="F48" s="8"/>
      <c r="G48" s="8">
        <v>4593280</v>
      </c>
      <c r="H48" s="8"/>
      <c r="I48" s="8">
        <v>0</v>
      </c>
      <c r="J48" s="8"/>
      <c r="K48" s="8">
        <v>0</v>
      </c>
      <c r="L48" s="8"/>
      <c r="M48" s="8">
        <v>361438</v>
      </c>
      <c r="N48" s="8"/>
      <c r="O48" s="8">
        <v>1005970</v>
      </c>
      <c r="P48" s="8"/>
      <c r="Q48" s="8">
        <v>49780</v>
      </c>
      <c r="R48" s="8"/>
      <c r="S48" s="8">
        <v>37660</v>
      </c>
      <c r="T48" s="8"/>
      <c r="U48" s="8">
        <v>3138432</v>
      </c>
      <c r="V48" s="8"/>
      <c r="W48" s="8">
        <f t="shared" si="0"/>
        <v>3225872</v>
      </c>
      <c r="X48" s="8"/>
      <c r="Y48" s="7">
        <f t="shared" si="5"/>
        <v>1005970</v>
      </c>
      <c r="Z48" s="7">
        <f t="shared" si="2"/>
        <v>0</v>
      </c>
    </row>
    <row r="49" spans="1:26" ht="12.75" customHeight="1" x14ac:dyDescent="0.2">
      <c r="A49" s="7" t="s">
        <v>63</v>
      </c>
      <c r="C49" s="7" t="s">
        <v>64</v>
      </c>
      <c r="D49" s="6"/>
      <c r="E49" s="8">
        <v>11713092</v>
      </c>
      <c r="F49" s="8"/>
      <c r="G49" s="8">
        <v>17456040</v>
      </c>
      <c r="H49" s="8"/>
      <c r="I49" s="8">
        <v>0</v>
      </c>
      <c r="J49" s="8"/>
      <c r="K49" s="8">
        <v>3792070</v>
      </c>
      <c r="L49" s="8"/>
      <c r="M49" s="8">
        <v>4590727</v>
      </c>
      <c r="N49" s="8"/>
      <c r="O49" s="8">
        <v>0</v>
      </c>
      <c r="P49" s="8"/>
      <c r="Q49" s="8">
        <v>71031</v>
      </c>
      <c r="R49" s="8"/>
      <c r="S49" s="8">
        <v>2237654</v>
      </c>
      <c r="T49" s="8"/>
      <c r="U49" s="8">
        <v>10556628</v>
      </c>
      <c r="V49" s="8"/>
      <c r="W49" s="8">
        <f>+U49+S49+Q49</f>
        <v>12865313</v>
      </c>
      <c r="X49" s="8"/>
      <c r="Y49" s="7">
        <f t="shared" si="5"/>
        <v>0</v>
      </c>
      <c r="Z49" s="7">
        <f t="shared" si="2"/>
        <v>0</v>
      </c>
    </row>
    <row r="50" spans="1:26" ht="12.75" hidden="1" customHeight="1" x14ac:dyDescent="0.2">
      <c r="A50" s="7" t="s">
        <v>65</v>
      </c>
      <c r="C50" s="7" t="s">
        <v>373</v>
      </c>
      <c r="D50" s="6"/>
      <c r="E50" s="8">
        <v>2142443</v>
      </c>
      <c r="F50" s="8"/>
      <c r="G50" s="8">
        <v>4170109</v>
      </c>
      <c r="H50" s="8"/>
      <c r="I50" s="8"/>
      <c r="J50" s="8"/>
      <c r="K50" s="8">
        <v>806935</v>
      </c>
      <c r="L50" s="8"/>
      <c r="M50" s="8">
        <v>1098565</v>
      </c>
      <c r="N50" s="8"/>
      <c r="O50" s="8"/>
      <c r="P50" s="8"/>
      <c r="Q50" s="8">
        <v>286113</v>
      </c>
      <c r="R50" s="8"/>
      <c r="S50" s="8">
        <v>756868</v>
      </c>
      <c r="T50" s="8"/>
      <c r="U50" s="8">
        <v>2028563</v>
      </c>
      <c r="V50" s="8"/>
      <c r="W50" s="8">
        <f t="shared" ref="W50:W55" si="7">+U50+S50+Q50</f>
        <v>3071544</v>
      </c>
      <c r="X50" s="8"/>
      <c r="Y50" s="7">
        <f t="shared" si="5"/>
        <v>0</v>
      </c>
      <c r="Z50" s="7">
        <f t="shared" si="2"/>
        <v>0</v>
      </c>
    </row>
    <row r="51" spans="1:26" ht="12.75" customHeight="1" x14ac:dyDescent="0.2">
      <c r="A51" s="7" t="s">
        <v>66</v>
      </c>
      <c r="C51" s="7" t="s">
        <v>43</v>
      </c>
      <c r="D51" s="6"/>
      <c r="E51" s="8">
        <v>661439</v>
      </c>
      <c r="F51" s="8"/>
      <c r="G51" s="8">
        <v>3025871</v>
      </c>
      <c r="H51" s="8"/>
      <c r="I51" s="8">
        <v>0</v>
      </c>
      <c r="J51" s="8"/>
      <c r="K51" s="8">
        <v>0</v>
      </c>
      <c r="L51" s="8"/>
      <c r="M51" s="8">
        <v>308855</v>
      </c>
      <c r="N51" s="8"/>
      <c r="O51" s="8">
        <v>2001706</v>
      </c>
      <c r="P51" s="8"/>
      <c r="Q51" s="8">
        <v>31109</v>
      </c>
      <c r="R51" s="8"/>
      <c r="S51" s="8">
        <v>44051</v>
      </c>
      <c r="T51" s="8"/>
      <c r="U51" s="8">
        <v>640150</v>
      </c>
      <c r="V51" s="8"/>
      <c r="W51" s="8">
        <f t="shared" si="7"/>
        <v>715310</v>
      </c>
      <c r="X51" s="8"/>
      <c r="Y51" s="7">
        <f t="shared" si="5"/>
        <v>2001706</v>
      </c>
      <c r="Z51" s="7">
        <f t="shared" si="2"/>
        <v>0</v>
      </c>
    </row>
    <row r="52" spans="1:26" ht="12.75" hidden="1" customHeight="1" x14ac:dyDescent="0.2">
      <c r="A52" s="7" t="s">
        <v>67</v>
      </c>
      <c r="C52" s="7" t="s">
        <v>68</v>
      </c>
      <c r="D52" s="6"/>
      <c r="E52" s="8">
        <f>3175054+74554</f>
        <v>3249608</v>
      </c>
      <c r="F52" s="8"/>
      <c r="G52" s="8">
        <v>6421769</v>
      </c>
      <c r="H52" s="8"/>
      <c r="I52" s="8"/>
      <c r="J52" s="8"/>
      <c r="K52" s="8">
        <v>2000000</v>
      </c>
      <c r="L52" s="8"/>
      <c r="M52" s="8">
        <v>4344460</v>
      </c>
      <c r="N52" s="8"/>
      <c r="O52" s="8"/>
      <c r="P52" s="8"/>
      <c r="Q52" s="8">
        <f>252251+159667</f>
        <v>411918</v>
      </c>
      <c r="R52" s="8"/>
      <c r="S52" s="8">
        <v>46264</v>
      </c>
      <c r="T52" s="8"/>
      <c r="U52" s="8">
        <v>1619127</v>
      </c>
      <c r="V52" s="8"/>
      <c r="W52" s="8">
        <f t="shared" si="7"/>
        <v>2077309</v>
      </c>
      <c r="X52" s="8"/>
      <c r="Y52" s="7">
        <f t="shared" si="5"/>
        <v>0</v>
      </c>
      <c r="Z52" s="7">
        <f t="shared" si="2"/>
        <v>0</v>
      </c>
    </row>
    <row r="53" spans="1:26" ht="12.75" customHeight="1" x14ac:dyDescent="0.2">
      <c r="A53" s="9" t="s">
        <v>69</v>
      </c>
      <c r="B53" s="9"/>
      <c r="C53" s="9" t="s">
        <v>43</v>
      </c>
      <c r="D53" s="19"/>
      <c r="E53" s="8">
        <f>30000+80711000+153000</f>
        <v>80894000</v>
      </c>
      <c r="F53" s="8"/>
      <c r="G53" s="8">
        <v>173661000</v>
      </c>
      <c r="H53" s="8"/>
      <c r="I53" s="8">
        <v>0</v>
      </c>
      <c r="J53" s="8"/>
      <c r="K53" s="8">
        <v>0</v>
      </c>
      <c r="L53" s="8"/>
      <c r="M53" s="8">
        <v>23778000</v>
      </c>
      <c r="N53" s="8"/>
      <c r="O53" s="8">
        <v>50302000</v>
      </c>
      <c r="P53" s="8"/>
      <c r="Q53" s="8">
        <v>6415000</v>
      </c>
      <c r="R53" s="8"/>
      <c r="S53" s="8">
        <f>6828000+24548000</f>
        <v>31376000</v>
      </c>
      <c r="T53" s="8"/>
      <c r="U53" s="8">
        <v>61790000</v>
      </c>
      <c r="V53" s="8"/>
      <c r="W53" s="8">
        <f t="shared" si="7"/>
        <v>99581000</v>
      </c>
      <c r="X53" s="8"/>
      <c r="Y53" s="7">
        <f t="shared" si="5"/>
        <v>50302000</v>
      </c>
      <c r="Z53" s="7">
        <f t="shared" si="2"/>
        <v>0</v>
      </c>
    </row>
    <row r="54" spans="1:26" ht="12.75" customHeight="1" x14ac:dyDescent="0.2">
      <c r="A54" s="7" t="s">
        <v>459</v>
      </c>
      <c r="B54" s="7"/>
      <c r="C54" s="7" t="s">
        <v>460</v>
      </c>
      <c r="D54" s="6"/>
      <c r="E54" s="8">
        <v>977680</v>
      </c>
      <c r="F54" s="8"/>
      <c r="G54" s="8">
        <v>2746288</v>
      </c>
      <c r="H54" s="8"/>
      <c r="I54" s="8">
        <v>0</v>
      </c>
      <c r="J54" s="8"/>
      <c r="K54" s="8">
        <v>0</v>
      </c>
      <c r="L54" s="8"/>
      <c r="M54" s="8">
        <v>221398</v>
      </c>
      <c r="N54" s="8"/>
      <c r="O54" s="8">
        <v>1528078</v>
      </c>
      <c r="P54" s="8"/>
      <c r="Q54" s="8">
        <v>45618</v>
      </c>
      <c r="R54" s="8"/>
      <c r="S54" s="8">
        <f>1745+934166</f>
        <v>935911</v>
      </c>
      <c r="T54" s="8"/>
      <c r="U54" s="8">
        <v>15283</v>
      </c>
      <c r="V54" s="8"/>
      <c r="W54" s="8">
        <f t="shared" si="7"/>
        <v>996812</v>
      </c>
      <c r="X54" s="8"/>
      <c r="Y54" s="7">
        <f t="shared" si="5"/>
        <v>1528078</v>
      </c>
      <c r="Z54" s="7">
        <f t="shared" si="2"/>
        <v>0</v>
      </c>
    </row>
    <row r="55" spans="1:26" ht="12.75" customHeight="1" x14ac:dyDescent="0.2">
      <c r="A55" s="9" t="s">
        <v>70</v>
      </c>
      <c r="B55" s="9"/>
      <c r="C55" s="9" t="s">
        <v>64</v>
      </c>
      <c r="D55" s="19"/>
      <c r="E55" s="8">
        <v>3784419</v>
      </c>
      <c r="F55" s="8"/>
      <c r="G55" s="8">
        <v>5714393</v>
      </c>
      <c r="H55" s="8"/>
      <c r="I55" s="8">
        <v>0</v>
      </c>
      <c r="J55" s="8"/>
      <c r="K55" s="8">
        <v>0</v>
      </c>
      <c r="L55" s="8"/>
      <c r="M55" s="8">
        <v>108709</v>
      </c>
      <c r="N55" s="8"/>
      <c r="O55" s="8">
        <v>1425915</v>
      </c>
      <c r="P55" s="8"/>
      <c r="Q55" s="8">
        <v>27652</v>
      </c>
      <c r="R55" s="8"/>
      <c r="S55" s="8">
        <v>132142</v>
      </c>
      <c r="T55" s="8"/>
      <c r="U55" s="8">
        <v>4019975</v>
      </c>
      <c r="V55" s="8"/>
      <c r="W55" s="8">
        <f t="shared" si="7"/>
        <v>4179769</v>
      </c>
      <c r="X55" s="8"/>
      <c r="Y55" s="7">
        <f t="shared" si="5"/>
        <v>1425915</v>
      </c>
      <c r="Z55" s="7">
        <f t="shared" si="2"/>
        <v>0</v>
      </c>
    </row>
    <row r="56" spans="1:26" ht="12.75" customHeight="1" x14ac:dyDescent="0.2">
      <c r="A56" s="7" t="s">
        <v>71</v>
      </c>
      <c r="B56" s="7"/>
      <c r="C56" s="7" t="s">
        <v>25</v>
      </c>
      <c r="D56" s="6"/>
      <c r="E56" s="8">
        <v>84869000</v>
      </c>
      <c r="F56" s="8"/>
      <c r="G56" s="8">
        <v>216518000</v>
      </c>
      <c r="H56" s="8"/>
      <c r="I56" s="8">
        <v>0</v>
      </c>
      <c r="J56" s="8"/>
      <c r="K56" s="8">
        <v>89117000</v>
      </c>
      <c r="L56" s="8"/>
      <c r="M56" s="8">
        <v>144768000</v>
      </c>
      <c r="N56" s="8"/>
      <c r="O56" s="8">
        <v>0</v>
      </c>
      <c r="P56" s="8"/>
      <c r="Q56" s="8">
        <v>632000</v>
      </c>
      <c r="R56" s="8"/>
      <c r="S56" s="8">
        <v>9239000</v>
      </c>
      <c r="T56" s="8"/>
      <c r="U56" s="8">
        <v>61879000</v>
      </c>
      <c r="V56" s="8"/>
      <c r="W56" s="8">
        <f t="shared" ref="W56:W59" si="8">+U56+S56+Q56</f>
        <v>71750000</v>
      </c>
      <c r="X56" s="8"/>
      <c r="Y56" s="7">
        <f t="shared" si="5"/>
        <v>0</v>
      </c>
      <c r="Z56" s="7">
        <f t="shared" si="2"/>
        <v>0</v>
      </c>
    </row>
    <row r="57" spans="1:26" ht="12.75" customHeight="1" x14ac:dyDescent="0.2">
      <c r="A57" s="7" t="s">
        <v>72</v>
      </c>
      <c r="C57" s="7" t="s">
        <v>25</v>
      </c>
      <c r="D57" s="6"/>
      <c r="E57" s="8">
        <v>4348297</v>
      </c>
      <c r="F57" s="8"/>
      <c r="G57" s="8">
        <v>27510230</v>
      </c>
      <c r="H57" s="8"/>
      <c r="I57" s="8">
        <v>0</v>
      </c>
      <c r="J57" s="8"/>
      <c r="K57" s="8">
        <v>0</v>
      </c>
      <c r="L57" s="8"/>
      <c r="M57" s="8">
        <v>2016880</v>
      </c>
      <c r="N57" s="8"/>
      <c r="O57" s="8">
        <v>18747513</v>
      </c>
      <c r="P57" s="8"/>
      <c r="Q57" s="8">
        <v>380439</v>
      </c>
      <c r="R57" s="8"/>
      <c r="S57" s="8">
        <v>2960821</v>
      </c>
      <c r="T57" s="8"/>
      <c r="U57" s="8">
        <v>3404577</v>
      </c>
      <c r="V57" s="8"/>
      <c r="W57" s="8">
        <f t="shared" si="8"/>
        <v>6745837</v>
      </c>
      <c r="X57" s="8"/>
      <c r="Y57" s="7">
        <f t="shared" si="5"/>
        <v>18747513</v>
      </c>
      <c r="Z57" s="7">
        <f t="shared" si="2"/>
        <v>0</v>
      </c>
    </row>
    <row r="58" spans="1:26" ht="12.75" customHeight="1" x14ac:dyDescent="0.2">
      <c r="A58" s="7" t="s">
        <v>73</v>
      </c>
      <c r="C58" s="7" t="s">
        <v>74</v>
      </c>
      <c r="D58" s="6"/>
      <c r="E58" s="8">
        <v>1254008</v>
      </c>
      <c r="F58" s="8"/>
      <c r="G58" s="8">
        <v>2435786</v>
      </c>
      <c r="H58" s="8"/>
      <c r="I58" s="8">
        <v>0</v>
      </c>
      <c r="J58" s="8"/>
      <c r="K58" s="8">
        <v>0</v>
      </c>
      <c r="L58" s="8"/>
      <c r="M58" s="8">
        <v>170299</v>
      </c>
      <c r="N58" s="8"/>
      <c r="O58" s="8">
        <v>708879</v>
      </c>
      <c r="P58" s="8"/>
      <c r="Q58" s="8">
        <v>29476</v>
      </c>
      <c r="R58" s="8"/>
      <c r="S58" s="8">
        <f>11000+606732</f>
        <v>617732</v>
      </c>
      <c r="T58" s="8"/>
      <c r="U58" s="8">
        <v>909400</v>
      </c>
      <c r="V58" s="8"/>
      <c r="W58" s="8">
        <f t="shared" si="8"/>
        <v>1556608</v>
      </c>
      <c r="X58" s="8"/>
      <c r="Y58" s="7">
        <f t="shared" si="5"/>
        <v>708879</v>
      </c>
      <c r="Z58" s="7">
        <f t="shared" si="2"/>
        <v>0</v>
      </c>
    </row>
    <row r="59" spans="1:26" ht="12.75" hidden="1" customHeight="1" x14ac:dyDescent="0.2">
      <c r="A59" s="7" t="s">
        <v>75</v>
      </c>
      <c r="C59" s="7" t="s">
        <v>41</v>
      </c>
      <c r="D59" s="6"/>
      <c r="E59" s="8">
        <v>132570000</v>
      </c>
      <c r="F59" s="8"/>
      <c r="G59" s="8">
        <v>255074000</v>
      </c>
      <c r="H59" s="8"/>
      <c r="I59" s="8">
        <v>0</v>
      </c>
      <c r="J59" s="8"/>
      <c r="K59" s="8">
        <v>0</v>
      </c>
      <c r="L59" s="8"/>
      <c r="M59" s="8">
        <v>37950000</v>
      </c>
      <c r="N59" s="8"/>
      <c r="O59" s="8">
        <v>96643000</v>
      </c>
      <c r="P59" s="8"/>
      <c r="Q59" s="8">
        <v>15466000</v>
      </c>
      <c r="R59" s="8"/>
      <c r="S59" s="8">
        <v>9217000</v>
      </c>
      <c r="T59" s="8"/>
      <c r="U59" s="8">
        <v>95798000</v>
      </c>
      <c r="V59" s="8"/>
      <c r="W59" s="8">
        <f t="shared" si="8"/>
        <v>120481000</v>
      </c>
      <c r="X59" s="8"/>
      <c r="Y59" s="7">
        <f t="shared" si="5"/>
        <v>96643000</v>
      </c>
      <c r="Z59" s="7">
        <f t="shared" si="2"/>
        <v>0</v>
      </c>
    </row>
    <row r="60" spans="1:26" ht="12.75" customHeight="1" x14ac:dyDescent="0.2">
      <c r="A60" s="7" t="s">
        <v>92</v>
      </c>
      <c r="C60" s="7" t="s">
        <v>92</v>
      </c>
      <c r="D60" s="6"/>
      <c r="E60" s="8">
        <v>1121358</v>
      </c>
      <c r="F60" s="8"/>
      <c r="G60" s="8">
        <v>1967478</v>
      </c>
      <c r="H60" s="8"/>
      <c r="I60" s="8">
        <v>0</v>
      </c>
      <c r="J60" s="8"/>
      <c r="K60" s="8">
        <v>0</v>
      </c>
      <c r="L60" s="8"/>
      <c r="M60" s="8">
        <v>106727</v>
      </c>
      <c r="N60" s="8"/>
      <c r="O60" s="8">
        <v>361503</v>
      </c>
      <c r="P60" s="8"/>
      <c r="Q60" s="8">
        <v>24559</v>
      </c>
      <c r="R60" s="8"/>
      <c r="S60" s="8">
        <v>22296</v>
      </c>
      <c r="T60" s="8"/>
      <c r="U60" s="8">
        <v>1452393</v>
      </c>
      <c r="V60" s="8"/>
      <c r="W60" s="8">
        <f>+U60+S60+Q60</f>
        <v>1499248</v>
      </c>
      <c r="X60" s="8"/>
      <c r="Y60" s="7">
        <f t="shared" si="5"/>
        <v>361503</v>
      </c>
      <c r="Z60" s="7">
        <f t="shared" si="2"/>
        <v>0</v>
      </c>
    </row>
    <row r="61" spans="1:26" ht="12.75" customHeight="1" x14ac:dyDescent="0.2">
      <c r="A61" s="7" t="s">
        <v>76</v>
      </c>
      <c r="C61" s="7" t="s">
        <v>17</v>
      </c>
      <c r="D61" s="6"/>
      <c r="E61" s="8">
        <f>1096586+20376</f>
        <v>1116962</v>
      </c>
      <c r="F61" s="8"/>
      <c r="G61" s="8">
        <v>3106850</v>
      </c>
      <c r="H61" s="8"/>
      <c r="I61" s="8">
        <v>0</v>
      </c>
      <c r="J61" s="8"/>
      <c r="K61" s="8">
        <v>0</v>
      </c>
      <c r="L61" s="8"/>
      <c r="M61" s="8">
        <v>337808</v>
      </c>
      <c r="N61" s="8"/>
      <c r="O61" s="8">
        <v>1419032</v>
      </c>
      <c r="P61" s="8"/>
      <c r="Q61" s="8">
        <v>40845</v>
      </c>
      <c r="R61" s="8"/>
      <c r="S61" s="8">
        <v>343253</v>
      </c>
      <c r="T61" s="8"/>
      <c r="U61" s="8">
        <v>965912</v>
      </c>
      <c r="V61" s="8"/>
      <c r="W61" s="8">
        <f>+U61+S61+Q61</f>
        <v>1350010</v>
      </c>
      <c r="X61" s="8"/>
      <c r="Y61" s="7">
        <f t="shared" si="5"/>
        <v>1419032</v>
      </c>
      <c r="Z61" s="7">
        <f t="shared" si="2"/>
        <v>0</v>
      </c>
    </row>
    <row r="62" spans="1:26" ht="12.75" customHeight="1" x14ac:dyDescent="0.2">
      <c r="A62" s="7" t="s">
        <v>77</v>
      </c>
      <c r="C62" s="7" t="s">
        <v>78</v>
      </c>
      <c r="D62" s="6"/>
      <c r="E62" s="8">
        <v>278525</v>
      </c>
      <c r="F62" s="8"/>
      <c r="G62" s="8">
        <v>941010</v>
      </c>
      <c r="H62" s="8"/>
      <c r="I62" s="8">
        <v>0</v>
      </c>
      <c r="J62" s="8"/>
      <c r="K62" s="8">
        <v>0</v>
      </c>
      <c r="L62" s="8"/>
      <c r="M62" s="8">
        <v>20866</v>
      </c>
      <c r="N62" s="8"/>
      <c r="O62" s="8">
        <v>597427</v>
      </c>
      <c r="P62" s="8"/>
      <c r="Q62" s="8">
        <v>10059</v>
      </c>
      <c r="R62" s="8"/>
      <c r="S62" s="8">
        <v>1143</v>
      </c>
      <c r="T62" s="8"/>
      <c r="U62" s="8">
        <v>311515</v>
      </c>
      <c r="V62" s="8"/>
      <c r="W62" s="8">
        <f>+U62+S62+Q62</f>
        <v>322717</v>
      </c>
      <c r="X62" s="8"/>
      <c r="Y62" s="7">
        <f t="shared" ref="Y62:Y103" si="9">+G62-M62-W62</f>
        <v>597427</v>
      </c>
      <c r="Z62" s="7">
        <f t="shared" si="2"/>
        <v>0</v>
      </c>
    </row>
    <row r="63" spans="1:26" ht="12.75" customHeight="1" x14ac:dyDescent="0.2">
      <c r="A63" s="7" t="s">
        <v>79</v>
      </c>
      <c r="C63" s="7" t="s">
        <v>79</v>
      </c>
      <c r="D63" s="6"/>
      <c r="E63" s="8">
        <v>236745</v>
      </c>
      <c r="F63" s="8"/>
      <c r="G63" s="8">
        <v>1440540</v>
      </c>
      <c r="H63" s="8"/>
      <c r="I63" s="8">
        <v>0</v>
      </c>
      <c r="J63" s="8"/>
      <c r="K63" s="8">
        <v>0</v>
      </c>
      <c r="L63" s="8"/>
      <c r="M63" s="8">
        <v>112289</v>
      </c>
      <c r="N63" s="8"/>
      <c r="O63" s="8">
        <v>873379</v>
      </c>
      <c r="P63" s="8"/>
      <c r="Q63" s="8">
        <v>8691</v>
      </c>
      <c r="R63" s="8"/>
      <c r="S63" s="8">
        <v>2714</v>
      </c>
      <c r="T63" s="8"/>
      <c r="U63" s="8">
        <v>443467</v>
      </c>
      <c r="V63" s="8"/>
      <c r="W63" s="8">
        <f>+U63+S63+Q63</f>
        <v>454872</v>
      </c>
      <c r="X63" s="8"/>
      <c r="Y63" s="7">
        <f t="shared" si="9"/>
        <v>873379</v>
      </c>
      <c r="Z63" s="7">
        <f t="shared" si="2"/>
        <v>0</v>
      </c>
    </row>
    <row r="64" spans="1:26" s="9" customFormat="1" ht="12.75" hidden="1" customHeight="1" x14ac:dyDescent="0.2">
      <c r="A64" s="10" t="s">
        <v>461</v>
      </c>
      <c r="B64" s="10"/>
      <c r="C64" s="10" t="s">
        <v>55</v>
      </c>
      <c r="D64" s="6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>
        <f>+U64+S64+Q64</f>
        <v>0</v>
      </c>
      <c r="X64" s="8"/>
      <c r="Y64" s="7">
        <f t="shared" si="9"/>
        <v>0</v>
      </c>
      <c r="Z64" s="7">
        <f t="shared" si="2"/>
        <v>0</v>
      </c>
    </row>
    <row r="65" spans="1:26" ht="12.75" hidden="1" customHeight="1" x14ac:dyDescent="0.2">
      <c r="A65" s="7" t="s">
        <v>80</v>
      </c>
      <c r="C65" s="7" t="s">
        <v>11</v>
      </c>
      <c r="D65" s="6"/>
      <c r="E65" s="8">
        <v>7830734</v>
      </c>
      <c r="F65" s="8"/>
      <c r="G65" s="8">
        <v>20256279</v>
      </c>
      <c r="H65" s="8"/>
      <c r="I65" s="8">
        <v>0</v>
      </c>
      <c r="J65" s="8"/>
      <c r="K65" s="8">
        <v>10083411</v>
      </c>
      <c r="L65" s="8"/>
      <c r="M65" s="8">
        <v>11058364</v>
      </c>
      <c r="N65" s="8"/>
      <c r="O65" s="8">
        <v>0</v>
      </c>
      <c r="P65" s="8"/>
      <c r="Q65" s="8">
        <f>201219+113975</f>
        <v>315194</v>
      </c>
      <c r="R65" s="8"/>
      <c r="S65" s="8">
        <v>2127354</v>
      </c>
      <c r="T65" s="8"/>
      <c r="U65" s="8">
        <v>6755367</v>
      </c>
      <c r="V65" s="8"/>
      <c r="W65" s="8">
        <f t="shared" ref="W65:W67" si="10">+U65+S65+Q65</f>
        <v>9197915</v>
      </c>
      <c r="X65" s="8"/>
      <c r="Y65" s="7">
        <f t="shared" si="9"/>
        <v>0</v>
      </c>
      <c r="Z65" s="7">
        <f t="shared" si="2"/>
        <v>0</v>
      </c>
    </row>
    <row r="66" spans="1:26" ht="12.75" customHeight="1" x14ac:dyDescent="0.2">
      <c r="A66" s="7" t="s">
        <v>81</v>
      </c>
      <c r="C66" s="7" t="s">
        <v>64</v>
      </c>
      <c r="D66" s="6"/>
      <c r="E66" s="8">
        <f>46903776+675</f>
        <v>46904451</v>
      </c>
      <c r="F66" s="8"/>
      <c r="G66" s="8">
        <v>93067416</v>
      </c>
      <c r="H66" s="8"/>
      <c r="I66" s="8">
        <v>0</v>
      </c>
      <c r="J66" s="8"/>
      <c r="K66" s="8">
        <v>0</v>
      </c>
      <c r="L66" s="8"/>
      <c r="M66" s="8">
        <v>11021728</v>
      </c>
      <c r="N66" s="8"/>
      <c r="O66" s="8">
        <v>20080840</v>
      </c>
      <c r="P66" s="8"/>
      <c r="Q66" s="8">
        <v>10166112</v>
      </c>
      <c r="R66" s="8"/>
      <c r="S66" s="8">
        <f>2952023+17106981</f>
        <v>20059004</v>
      </c>
      <c r="T66" s="8"/>
      <c r="U66" s="8">
        <v>31739732</v>
      </c>
      <c r="V66" s="8"/>
      <c r="W66" s="8">
        <f t="shared" si="10"/>
        <v>61964848</v>
      </c>
      <c r="X66" s="8"/>
      <c r="Y66" s="7">
        <f t="shared" si="9"/>
        <v>20080840</v>
      </c>
      <c r="Z66" s="7">
        <f t="shared" si="2"/>
        <v>0</v>
      </c>
    </row>
    <row r="67" spans="1:26" ht="12" customHeight="1" x14ac:dyDescent="0.2">
      <c r="A67" s="7" t="s">
        <v>82</v>
      </c>
      <c r="C67" s="7" t="s">
        <v>43</v>
      </c>
      <c r="D67" s="6"/>
      <c r="E67" s="8">
        <v>1444225</v>
      </c>
      <c r="F67" s="8"/>
      <c r="G67" s="8">
        <v>3118713</v>
      </c>
      <c r="H67" s="8"/>
      <c r="I67" s="8">
        <v>0</v>
      </c>
      <c r="J67" s="8"/>
      <c r="K67" s="8">
        <v>1384829</v>
      </c>
      <c r="L67" s="8"/>
      <c r="M67" s="8">
        <v>1618943</v>
      </c>
      <c r="N67" s="8"/>
      <c r="O67" s="8">
        <v>0</v>
      </c>
      <c r="P67" s="8"/>
      <c r="Q67" s="8">
        <v>0</v>
      </c>
      <c r="R67" s="8"/>
      <c r="S67" s="8">
        <v>0</v>
      </c>
      <c r="T67" s="8"/>
      <c r="U67" s="8">
        <v>1499770</v>
      </c>
      <c r="V67" s="8"/>
      <c r="W67" s="8">
        <f t="shared" si="10"/>
        <v>1499770</v>
      </c>
      <c r="X67" s="8"/>
      <c r="Y67" s="7">
        <f t="shared" si="9"/>
        <v>0</v>
      </c>
      <c r="Z67" s="7">
        <f t="shared" si="2"/>
        <v>0</v>
      </c>
    </row>
    <row r="68" spans="1:26" s="9" customFormat="1" ht="12.75" customHeight="1" x14ac:dyDescent="0.2">
      <c r="A68" s="7" t="s">
        <v>83</v>
      </c>
      <c r="B68" s="14"/>
      <c r="C68" s="7" t="s">
        <v>83</v>
      </c>
      <c r="D68" s="6"/>
      <c r="E68" s="8">
        <f>1165285+1314+106890</f>
        <v>1273489</v>
      </c>
      <c r="F68" s="8"/>
      <c r="G68" s="8">
        <v>2991140</v>
      </c>
      <c r="H68" s="8"/>
      <c r="I68" s="8">
        <v>0</v>
      </c>
      <c r="J68" s="8"/>
      <c r="K68" s="8">
        <v>0</v>
      </c>
      <c r="L68" s="8"/>
      <c r="M68" s="8">
        <v>586851</v>
      </c>
      <c r="N68" s="8"/>
      <c r="O68" s="8">
        <v>809201</v>
      </c>
      <c r="P68" s="8"/>
      <c r="Q68" s="8">
        <v>93</v>
      </c>
      <c r="R68" s="8"/>
      <c r="S68" s="8">
        <f>8165+535956</f>
        <v>544121</v>
      </c>
      <c r="T68" s="8"/>
      <c r="U68" s="8">
        <v>1050874</v>
      </c>
      <c r="V68" s="8"/>
      <c r="W68" s="8">
        <f t="shared" ref="W68:W74" si="11">+U68+S68+Q68</f>
        <v>1595088</v>
      </c>
      <c r="X68" s="8"/>
      <c r="Y68" s="9">
        <f t="shared" ref="Y68:Y86" si="12">+G68-M68-W68</f>
        <v>809201</v>
      </c>
      <c r="Z68" s="7">
        <f t="shared" ref="Z68:Z86" si="13">+G68-M68-W68+I68-O68</f>
        <v>0</v>
      </c>
    </row>
    <row r="69" spans="1:26" s="9" customFormat="1" ht="12.75" hidden="1" customHeight="1" x14ac:dyDescent="0.2">
      <c r="A69" s="7" t="s">
        <v>84</v>
      </c>
      <c r="B69" s="14"/>
      <c r="C69" s="7" t="s">
        <v>84</v>
      </c>
      <c r="D69" s="6"/>
      <c r="E69" s="8">
        <v>4425052</v>
      </c>
      <c r="F69" s="8"/>
      <c r="G69" s="8">
        <v>9986926</v>
      </c>
      <c r="H69" s="8"/>
      <c r="I69" s="8"/>
      <c r="J69" s="8"/>
      <c r="K69" s="8">
        <v>3097950</v>
      </c>
      <c r="L69" s="8"/>
      <c r="M69" s="8">
        <v>3971670</v>
      </c>
      <c r="N69" s="8"/>
      <c r="O69" s="8"/>
      <c r="P69" s="8"/>
      <c r="Q69" s="8">
        <f>74900+166948+300000+433570</f>
        <v>975418</v>
      </c>
      <c r="R69" s="8"/>
      <c r="S69" s="8">
        <v>171094</v>
      </c>
      <c r="T69" s="8"/>
      <c r="U69" s="8">
        <v>4868744</v>
      </c>
      <c r="V69" s="8"/>
      <c r="W69" s="8">
        <f t="shared" si="11"/>
        <v>6015256</v>
      </c>
      <c r="X69" s="8"/>
      <c r="Y69" s="7">
        <f t="shared" si="12"/>
        <v>0</v>
      </c>
      <c r="Z69" s="7">
        <f t="shared" si="13"/>
        <v>0</v>
      </c>
    </row>
    <row r="70" spans="1:26" s="9" customFormat="1" ht="12.75" customHeight="1" x14ac:dyDescent="0.2">
      <c r="A70" s="9" t="s">
        <v>85</v>
      </c>
      <c r="C70" s="9" t="s">
        <v>86</v>
      </c>
      <c r="D70" s="6"/>
      <c r="E70" s="8">
        <v>183569</v>
      </c>
      <c r="F70" s="8"/>
      <c r="G70" s="8">
        <v>1509587</v>
      </c>
      <c r="H70" s="8"/>
      <c r="I70" s="8">
        <v>0</v>
      </c>
      <c r="J70" s="8"/>
      <c r="K70" s="8">
        <v>943169</v>
      </c>
      <c r="L70" s="8"/>
      <c r="M70" s="8">
        <v>1081693</v>
      </c>
      <c r="N70" s="8"/>
      <c r="O70" s="8">
        <v>0</v>
      </c>
      <c r="P70" s="8"/>
      <c r="Q70" s="8">
        <v>26071</v>
      </c>
      <c r="R70" s="8"/>
      <c r="S70" s="8">
        <v>150474</v>
      </c>
      <c r="T70" s="8"/>
      <c r="U70" s="8">
        <v>251349</v>
      </c>
      <c r="V70" s="8"/>
      <c r="W70" s="8">
        <f t="shared" si="11"/>
        <v>427894</v>
      </c>
      <c r="X70" s="8"/>
      <c r="Y70" s="7">
        <f t="shared" si="12"/>
        <v>0</v>
      </c>
      <c r="Z70" s="7">
        <f t="shared" si="13"/>
        <v>0</v>
      </c>
    </row>
    <row r="71" spans="1:26" ht="12.75" customHeight="1" x14ac:dyDescent="0.2">
      <c r="A71" s="7" t="s">
        <v>392</v>
      </c>
      <c r="B71" s="42"/>
      <c r="C71" s="7" t="s">
        <v>87</v>
      </c>
      <c r="D71" s="6"/>
      <c r="E71" s="8">
        <v>1664972</v>
      </c>
      <c r="F71" s="8"/>
      <c r="G71" s="8">
        <v>3808407</v>
      </c>
      <c r="H71" s="8"/>
      <c r="I71" s="8">
        <v>0</v>
      </c>
      <c r="J71" s="8"/>
      <c r="K71" s="8">
        <v>0</v>
      </c>
      <c r="L71" s="8"/>
      <c r="M71" s="8">
        <v>292943</v>
      </c>
      <c r="N71" s="8"/>
      <c r="O71" s="8">
        <v>1577479</v>
      </c>
      <c r="P71" s="8"/>
      <c r="Q71" s="8">
        <v>103704</v>
      </c>
      <c r="R71" s="8"/>
      <c r="S71" s="8">
        <v>1042593</v>
      </c>
      <c r="T71" s="8"/>
      <c r="U71" s="8">
        <v>791688</v>
      </c>
      <c r="V71" s="8"/>
      <c r="W71" s="8">
        <f t="shared" si="11"/>
        <v>1937985</v>
      </c>
      <c r="X71" s="8"/>
      <c r="Y71" s="7">
        <f t="shared" si="12"/>
        <v>1577479</v>
      </c>
      <c r="Z71" s="7">
        <f t="shared" si="13"/>
        <v>0</v>
      </c>
    </row>
    <row r="72" spans="1:26" ht="12.75" customHeight="1" x14ac:dyDescent="0.2">
      <c r="A72" s="7" t="s">
        <v>88</v>
      </c>
      <c r="B72" s="42"/>
      <c r="C72" s="7" t="s">
        <v>41</v>
      </c>
      <c r="D72" s="6"/>
      <c r="E72" s="8">
        <v>52340350</v>
      </c>
      <c r="F72" s="8"/>
      <c r="G72" s="8">
        <v>66759748</v>
      </c>
      <c r="H72" s="8"/>
      <c r="I72" s="8">
        <v>0</v>
      </c>
      <c r="J72" s="8"/>
      <c r="K72" s="8">
        <v>0</v>
      </c>
      <c r="L72" s="8"/>
      <c r="M72" s="8">
        <v>8001216</v>
      </c>
      <c r="N72" s="8"/>
      <c r="O72" s="8">
        <v>5940056</v>
      </c>
      <c r="P72" s="8"/>
      <c r="Q72" s="8">
        <v>977898</v>
      </c>
      <c r="R72" s="8"/>
      <c r="S72" s="8">
        <v>1206378</v>
      </c>
      <c r="T72" s="8"/>
      <c r="U72" s="8">
        <v>50634200</v>
      </c>
      <c r="V72" s="8"/>
      <c r="W72" s="8">
        <f t="shared" si="11"/>
        <v>52818476</v>
      </c>
      <c r="X72" s="8"/>
      <c r="Y72" s="7">
        <f t="shared" si="12"/>
        <v>5940056</v>
      </c>
      <c r="Z72" s="7">
        <f t="shared" si="13"/>
        <v>0</v>
      </c>
    </row>
    <row r="73" spans="1:26" ht="12.75" customHeight="1" x14ac:dyDescent="0.2">
      <c r="A73" s="10" t="s">
        <v>482</v>
      </c>
      <c r="B73" s="10"/>
      <c r="C73" s="10" t="s">
        <v>25</v>
      </c>
      <c r="D73" s="6"/>
      <c r="E73" s="8">
        <v>0</v>
      </c>
      <c r="F73" s="8"/>
      <c r="G73" s="8">
        <v>7392605</v>
      </c>
      <c r="H73" s="8"/>
      <c r="I73" s="8">
        <v>0</v>
      </c>
      <c r="J73" s="8"/>
      <c r="K73" s="8">
        <v>0</v>
      </c>
      <c r="L73" s="8"/>
      <c r="M73" s="8">
        <v>2584436</v>
      </c>
      <c r="N73" s="8"/>
      <c r="O73" s="8">
        <v>6379266</v>
      </c>
      <c r="P73" s="8"/>
      <c r="Q73" s="8">
        <v>17164</v>
      </c>
      <c r="R73" s="8"/>
      <c r="S73" s="8">
        <v>126144</v>
      </c>
      <c r="T73" s="8"/>
      <c r="U73" s="8">
        <v>-1714405</v>
      </c>
      <c r="V73" s="8"/>
      <c r="W73" s="8">
        <f t="shared" si="11"/>
        <v>-1571097</v>
      </c>
      <c r="X73" s="8"/>
      <c r="Y73" s="7">
        <f t="shared" si="12"/>
        <v>6379266</v>
      </c>
      <c r="Z73" s="7">
        <f t="shared" si="13"/>
        <v>0</v>
      </c>
    </row>
    <row r="74" spans="1:26" ht="12.75" customHeight="1" x14ac:dyDescent="0.2">
      <c r="A74" s="7" t="s">
        <v>91</v>
      </c>
      <c r="B74" s="10"/>
      <c r="C74" s="7" t="s">
        <v>92</v>
      </c>
      <c r="D74" s="6"/>
      <c r="E74" s="8">
        <v>1119464</v>
      </c>
      <c r="F74" s="8"/>
      <c r="G74" s="8">
        <v>2339845</v>
      </c>
      <c r="H74" s="8"/>
      <c r="I74" s="8">
        <v>0</v>
      </c>
      <c r="J74" s="8"/>
      <c r="K74" s="8">
        <v>0</v>
      </c>
      <c r="L74" s="8"/>
      <c r="M74" s="8">
        <v>105217</v>
      </c>
      <c r="N74" s="8"/>
      <c r="O74" s="8">
        <v>599232</v>
      </c>
      <c r="P74" s="8"/>
      <c r="Q74" s="8">
        <v>30663</v>
      </c>
      <c r="R74" s="8"/>
      <c r="S74" s="8">
        <v>28163</v>
      </c>
      <c r="T74" s="8"/>
      <c r="U74" s="8">
        <v>1576570</v>
      </c>
      <c r="V74" s="8"/>
      <c r="W74" s="8">
        <f t="shared" si="11"/>
        <v>1635396</v>
      </c>
      <c r="X74" s="8"/>
      <c r="Y74" s="7">
        <f t="shared" si="12"/>
        <v>599232</v>
      </c>
      <c r="Z74" s="7">
        <f t="shared" si="13"/>
        <v>0</v>
      </c>
    </row>
    <row r="75" spans="1:26" s="9" customFormat="1" ht="12.75" hidden="1" customHeight="1" x14ac:dyDescent="0.2">
      <c r="A75" s="9" t="s">
        <v>93</v>
      </c>
      <c r="B75" s="21"/>
      <c r="C75" s="9" t="s">
        <v>92</v>
      </c>
      <c r="D75" s="19"/>
      <c r="E75" s="8">
        <f>117241+100300</f>
        <v>217541</v>
      </c>
      <c r="F75" s="8"/>
      <c r="G75" s="8">
        <v>764684</v>
      </c>
      <c r="H75" s="8"/>
      <c r="I75" s="8"/>
      <c r="J75" s="8"/>
      <c r="K75" s="8">
        <v>263096</v>
      </c>
      <c r="L75" s="8"/>
      <c r="M75" s="8">
        <v>1185698</v>
      </c>
      <c r="N75" s="8"/>
      <c r="O75" s="8"/>
      <c r="P75" s="8"/>
      <c r="Q75" s="8">
        <v>21462</v>
      </c>
      <c r="R75" s="8"/>
      <c r="S75" s="8">
        <v>0</v>
      </c>
      <c r="T75" s="8"/>
      <c r="U75" s="8">
        <v>-442476</v>
      </c>
      <c r="V75" s="8"/>
      <c r="W75" s="8">
        <f t="shared" ref="W75:W81" si="14">+U75+S75+Q75</f>
        <v>-421014</v>
      </c>
      <c r="X75" s="8"/>
      <c r="Y75" s="7">
        <f t="shared" si="12"/>
        <v>0</v>
      </c>
      <c r="Z75" s="7">
        <f t="shared" si="13"/>
        <v>0</v>
      </c>
    </row>
    <row r="76" spans="1:26" ht="12.75" customHeight="1" x14ac:dyDescent="0.2">
      <c r="A76" s="7" t="s">
        <v>89</v>
      </c>
      <c r="C76" s="7" t="s">
        <v>90</v>
      </c>
      <c r="D76" s="6"/>
      <c r="E76" s="8">
        <f>1007998+11665</f>
        <v>1019663</v>
      </c>
      <c r="F76" s="8"/>
      <c r="G76" s="8">
        <v>5326471</v>
      </c>
      <c r="H76" s="8"/>
      <c r="I76" s="8">
        <v>0</v>
      </c>
      <c r="J76" s="8"/>
      <c r="K76" s="8">
        <v>0</v>
      </c>
      <c r="L76" s="8"/>
      <c r="M76" s="8">
        <v>889310</v>
      </c>
      <c r="N76" s="8"/>
      <c r="O76" s="8">
        <v>2825082</v>
      </c>
      <c r="P76" s="8"/>
      <c r="Q76" s="8">
        <v>397872</v>
      </c>
      <c r="R76" s="8"/>
      <c r="S76" s="8">
        <v>85741</v>
      </c>
      <c r="T76" s="8"/>
      <c r="U76" s="8">
        <v>1128466</v>
      </c>
      <c r="V76" s="8"/>
      <c r="W76" s="8">
        <f t="shared" si="14"/>
        <v>1612079</v>
      </c>
      <c r="X76" s="8"/>
      <c r="Y76" s="7">
        <f t="shared" si="12"/>
        <v>2825082</v>
      </c>
      <c r="Z76" s="7">
        <f t="shared" si="13"/>
        <v>0</v>
      </c>
    </row>
    <row r="77" spans="1:26" ht="12.75" customHeight="1" x14ac:dyDescent="0.2">
      <c r="A77" s="7" t="s">
        <v>94</v>
      </c>
      <c r="C77" s="7" t="s">
        <v>95</v>
      </c>
      <c r="D77" s="6"/>
      <c r="E77" s="8">
        <v>1417786</v>
      </c>
      <c r="F77" s="8"/>
      <c r="G77" s="8">
        <v>2314210</v>
      </c>
      <c r="H77" s="8"/>
      <c r="I77" s="8">
        <v>0</v>
      </c>
      <c r="J77" s="8"/>
      <c r="K77" s="8">
        <v>0</v>
      </c>
      <c r="L77" s="8"/>
      <c r="M77" s="8">
        <v>260316</v>
      </c>
      <c r="N77" s="8"/>
      <c r="O77" s="8">
        <v>640679</v>
      </c>
      <c r="P77" s="8"/>
      <c r="Q77" s="8">
        <v>25151</v>
      </c>
      <c r="R77" s="8"/>
      <c r="S77" s="8">
        <v>802425</v>
      </c>
      <c r="T77" s="8"/>
      <c r="U77" s="8">
        <v>585639</v>
      </c>
      <c r="V77" s="8"/>
      <c r="W77" s="8">
        <f t="shared" si="14"/>
        <v>1413215</v>
      </c>
      <c r="X77" s="8"/>
      <c r="Y77" s="7">
        <f t="shared" si="12"/>
        <v>640679</v>
      </c>
      <c r="Z77" s="7">
        <f t="shared" si="13"/>
        <v>0</v>
      </c>
    </row>
    <row r="78" spans="1:26" ht="12.75" customHeight="1" x14ac:dyDescent="0.2">
      <c r="A78" s="7" t="s">
        <v>96</v>
      </c>
      <c r="C78" s="7" t="s">
        <v>15</v>
      </c>
      <c r="D78" s="6"/>
      <c r="E78" s="8">
        <v>3222891</v>
      </c>
      <c r="F78" s="8"/>
      <c r="G78" s="8">
        <v>12535141</v>
      </c>
      <c r="H78" s="8"/>
      <c r="I78" s="8">
        <v>0</v>
      </c>
      <c r="J78" s="8"/>
      <c r="K78" s="8">
        <v>4281627</v>
      </c>
      <c r="L78" s="8"/>
      <c r="M78" s="8">
        <v>7604273</v>
      </c>
      <c r="N78" s="8"/>
      <c r="O78" s="8">
        <v>0</v>
      </c>
      <c r="P78" s="8"/>
      <c r="Q78" s="8">
        <v>0</v>
      </c>
      <c r="R78" s="8"/>
      <c r="S78" s="8">
        <v>257475</v>
      </c>
      <c r="T78" s="8"/>
      <c r="U78" s="8">
        <v>4673393</v>
      </c>
      <c r="V78" s="8"/>
      <c r="W78" s="8">
        <f t="shared" si="14"/>
        <v>4930868</v>
      </c>
      <c r="X78" s="8"/>
      <c r="Y78" s="7">
        <f t="shared" si="12"/>
        <v>0</v>
      </c>
      <c r="Z78" s="7">
        <f t="shared" si="13"/>
        <v>0</v>
      </c>
    </row>
    <row r="79" spans="1:26" ht="12.75" customHeight="1" x14ac:dyDescent="0.2">
      <c r="A79" s="7" t="s">
        <v>97</v>
      </c>
      <c r="C79" s="7" t="s">
        <v>64</v>
      </c>
      <c r="D79" s="6"/>
      <c r="E79" s="8">
        <v>6066868</v>
      </c>
      <c r="F79" s="8"/>
      <c r="G79" s="8">
        <v>8511405</v>
      </c>
      <c r="H79" s="8"/>
      <c r="I79" s="8">
        <v>0</v>
      </c>
      <c r="J79" s="8"/>
      <c r="K79" s="8">
        <v>0</v>
      </c>
      <c r="L79" s="8"/>
      <c r="M79" s="8">
        <v>129123</v>
      </c>
      <c r="N79" s="8"/>
      <c r="O79" s="8">
        <v>1716280</v>
      </c>
      <c r="P79" s="8"/>
      <c r="Q79" s="8">
        <v>9446</v>
      </c>
      <c r="R79" s="8"/>
      <c r="S79" s="8">
        <v>770074</v>
      </c>
      <c r="T79" s="8"/>
      <c r="U79" s="8">
        <v>5886482</v>
      </c>
      <c r="V79" s="8"/>
      <c r="W79" s="8">
        <f t="shared" si="14"/>
        <v>6666002</v>
      </c>
      <c r="X79" s="8"/>
      <c r="Y79" s="7">
        <f t="shared" si="12"/>
        <v>1716280</v>
      </c>
      <c r="Z79" s="7">
        <f t="shared" si="13"/>
        <v>0</v>
      </c>
    </row>
    <row r="80" spans="1:26" ht="12.75" customHeight="1" x14ac:dyDescent="0.2">
      <c r="A80" s="7" t="s">
        <v>98</v>
      </c>
      <c r="C80" s="7" t="s">
        <v>25</v>
      </c>
      <c r="D80" s="6"/>
      <c r="E80" s="8">
        <f>4117147+5568+50132</f>
        <v>4172847</v>
      </c>
      <c r="F80" s="8"/>
      <c r="G80" s="8">
        <v>23421523</v>
      </c>
      <c r="H80" s="8"/>
      <c r="I80" s="8">
        <v>0</v>
      </c>
      <c r="J80" s="8"/>
      <c r="K80" s="8">
        <v>0</v>
      </c>
      <c r="L80" s="8"/>
      <c r="M80" s="8">
        <v>2445750</v>
      </c>
      <c r="N80" s="8"/>
      <c r="O80" s="8">
        <v>12464735</v>
      </c>
      <c r="P80" s="8"/>
      <c r="Q80" s="8">
        <v>1323212</v>
      </c>
      <c r="R80" s="8"/>
      <c r="S80" s="8">
        <f>73615+451520</f>
        <v>525135</v>
      </c>
      <c r="T80" s="8"/>
      <c r="U80" s="8">
        <v>6662691</v>
      </c>
      <c r="V80" s="8"/>
      <c r="W80" s="8">
        <f t="shared" si="14"/>
        <v>8511038</v>
      </c>
      <c r="X80" s="8"/>
      <c r="Y80" s="7">
        <f t="shared" si="12"/>
        <v>12464735</v>
      </c>
      <c r="Z80" s="7">
        <f t="shared" si="13"/>
        <v>0</v>
      </c>
    </row>
    <row r="81" spans="1:26" ht="12.75" customHeight="1" x14ac:dyDescent="0.2">
      <c r="A81" s="7" t="s">
        <v>99</v>
      </c>
      <c r="C81" s="7" t="s">
        <v>28</v>
      </c>
      <c r="D81" s="6"/>
      <c r="E81" s="8">
        <v>7465445</v>
      </c>
      <c r="F81" s="8"/>
      <c r="G81" s="8">
        <v>12313441</v>
      </c>
      <c r="H81" s="8"/>
      <c r="I81" s="8">
        <v>0</v>
      </c>
      <c r="J81" s="8"/>
      <c r="K81" s="8">
        <v>0</v>
      </c>
      <c r="L81" s="8"/>
      <c r="M81" s="8">
        <v>530019</v>
      </c>
      <c r="N81" s="8"/>
      <c r="O81" s="8">
        <v>3571472</v>
      </c>
      <c r="P81" s="8"/>
      <c r="Q81" s="8">
        <v>54586</v>
      </c>
      <c r="R81" s="8"/>
      <c r="S81" s="8">
        <v>262679</v>
      </c>
      <c r="T81" s="8"/>
      <c r="U81" s="8">
        <v>7894685</v>
      </c>
      <c r="V81" s="8"/>
      <c r="W81" s="8">
        <f t="shared" si="14"/>
        <v>8211950</v>
      </c>
      <c r="X81" s="8"/>
      <c r="Y81" s="7">
        <f t="shared" si="12"/>
        <v>3571472</v>
      </c>
      <c r="Z81" s="7">
        <f t="shared" si="13"/>
        <v>0</v>
      </c>
    </row>
    <row r="82" spans="1:26" ht="12.75" customHeight="1" x14ac:dyDescent="0.2">
      <c r="A82" s="7" t="s">
        <v>100</v>
      </c>
      <c r="C82" s="7" t="s">
        <v>101</v>
      </c>
      <c r="D82" s="6"/>
      <c r="E82" s="8">
        <v>11272375</v>
      </c>
      <c r="F82" s="8"/>
      <c r="G82" s="8">
        <v>17980933</v>
      </c>
      <c r="H82" s="8"/>
      <c r="I82" s="8">
        <v>0</v>
      </c>
      <c r="J82" s="8"/>
      <c r="K82" s="8">
        <v>4159607</v>
      </c>
      <c r="L82" s="8"/>
      <c r="M82" s="8">
        <v>5533334</v>
      </c>
      <c r="N82" s="8"/>
      <c r="O82" s="8">
        <v>0</v>
      </c>
      <c r="P82" s="8"/>
      <c r="Q82" s="8">
        <v>0</v>
      </c>
      <c r="R82" s="8"/>
      <c r="S82" s="8">
        <v>92799</v>
      </c>
      <c r="T82" s="8"/>
      <c r="U82" s="8">
        <v>12354800</v>
      </c>
      <c r="V82" s="8"/>
      <c r="W82" s="8">
        <f>+U82+S82+Q82</f>
        <v>12447599</v>
      </c>
      <c r="X82" s="8"/>
      <c r="Y82" s="7">
        <f t="shared" si="12"/>
        <v>0</v>
      </c>
      <c r="Z82" s="7">
        <f t="shared" si="13"/>
        <v>0</v>
      </c>
    </row>
    <row r="83" spans="1:26" ht="12.75" customHeight="1" x14ac:dyDescent="0.2">
      <c r="A83" s="7" t="s">
        <v>102</v>
      </c>
      <c r="C83" s="7" t="s">
        <v>11</v>
      </c>
      <c r="D83" s="6"/>
      <c r="E83" s="8">
        <f>13030040+11665</f>
        <v>13041705</v>
      </c>
      <c r="F83" s="8"/>
      <c r="G83" s="8">
        <v>16498711</v>
      </c>
      <c r="H83" s="8"/>
      <c r="I83" s="8">
        <v>0</v>
      </c>
      <c r="J83" s="8"/>
      <c r="K83" s="8">
        <v>0</v>
      </c>
      <c r="L83" s="8"/>
      <c r="M83" s="8">
        <v>696097</v>
      </c>
      <c r="N83" s="8"/>
      <c r="O83" s="8">
        <v>1888485</v>
      </c>
      <c r="P83" s="8"/>
      <c r="Q83" s="8">
        <v>512738</v>
      </c>
      <c r="R83" s="8"/>
      <c r="S83" s="8">
        <f>5000+437294</f>
        <v>442294</v>
      </c>
      <c r="T83" s="8"/>
      <c r="U83" s="8">
        <v>12959097</v>
      </c>
      <c r="V83" s="8"/>
      <c r="W83" s="8">
        <f>+U83+S83+Q83</f>
        <v>13914129</v>
      </c>
      <c r="X83" s="8"/>
      <c r="Y83" s="7">
        <f t="shared" si="12"/>
        <v>1888485</v>
      </c>
      <c r="Z83" s="7">
        <f t="shared" si="13"/>
        <v>0</v>
      </c>
    </row>
    <row r="84" spans="1:26" ht="12.75" customHeight="1" x14ac:dyDescent="0.2">
      <c r="A84" s="7" t="s">
        <v>103</v>
      </c>
      <c r="C84" s="7" t="s">
        <v>25</v>
      </c>
      <c r="D84" s="6"/>
      <c r="E84" s="8">
        <v>1947943</v>
      </c>
      <c r="F84" s="8"/>
      <c r="G84" s="8">
        <v>7691403</v>
      </c>
      <c r="H84" s="8"/>
      <c r="I84" s="8">
        <v>0</v>
      </c>
      <c r="J84" s="8"/>
      <c r="K84" s="8">
        <v>0</v>
      </c>
      <c r="L84" s="8"/>
      <c r="M84" s="8">
        <v>463323</v>
      </c>
      <c r="N84" s="8"/>
      <c r="O84" s="8">
        <v>4776859</v>
      </c>
      <c r="P84" s="8"/>
      <c r="Q84" s="8">
        <v>87363</v>
      </c>
      <c r="R84" s="8"/>
      <c r="S84" s="8">
        <v>1338411</v>
      </c>
      <c r="T84" s="8"/>
      <c r="U84" s="8">
        <v>1025447</v>
      </c>
      <c r="V84" s="8"/>
      <c r="W84" s="8">
        <f>+U84+S84+Q84</f>
        <v>2451221</v>
      </c>
      <c r="X84" s="8"/>
      <c r="Y84" s="7">
        <f t="shared" si="12"/>
        <v>4776859</v>
      </c>
      <c r="Z84" s="7">
        <f t="shared" si="13"/>
        <v>0</v>
      </c>
    </row>
    <row r="85" spans="1:26" ht="12.75" customHeight="1" x14ac:dyDescent="0.2">
      <c r="A85" s="7" t="s">
        <v>104</v>
      </c>
      <c r="C85" s="7" t="s">
        <v>105</v>
      </c>
      <c r="D85" s="6"/>
      <c r="E85" s="8">
        <f>13643678+22919</f>
        <v>13666597</v>
      </c>
      <c r="F85" s="8"/>
      <c r="G85" s="8">
        <v>16454728</v>
      </c>
      <c r="H85" s="8"/>
      <c r="I85" s="8">
        <v>0</v>
      </c>
      <c r="J85" s="8"/>
      <c r="K85" s="8">
        <v>0</v>
      </c>
      <c r="L85" s="8"/>
      <c r="M85" s="8">
        <v>1653036</v>
      </c>
      <c r="N85" s="8"/>
      <c r="O85" s="8">
        <v>2331227</v>
      </c>
      <c r="P85" s="8"/>
      <c r="Q85" s="8">
        <f>48152+576264</f>
        <v>624416</v>
      </c>
      <c r="R85" s="8"/>
      <c r="S85" s="8">
        <f>1767446+1827722</f>
        <v>3595168</v>
      </c>
      <c r="T85" s="8"/>
      <c r="U85" s="8">
        <v>8250881</v>
      </c>
      <c r="V85" s="8"/>
      <c r="W85" s="8">
        <f>+U85+S85+Q85</f>
        <v>12470465</v>
      </c>
      <c r="X85" s="8"/>
      <c r="Y85" s="7">
        <f t="shared" si="12"/>
        <v>2331227</v>
      </c>
      <c r="Z85" s="7">
        <f t="shared" si="13"/>
        <v>0</v>
      </c>
    </row>
    <row r="86" spans="1:26" ht="12.75" customHeight="1" x14ac:dyDescent="0.2">
      <c r="A86" s="7" t="s">
        <v>106</v>
      </c>
      <c r="B86" s="20"/>
      <c r="C86" s="7" t="s">
        <v>43</v>
      </c>
      <c r="D86" s="6"/>
      <c r="E86" s="8">
        <v>2497590</v>
      </c>
      <c r="F86" s="8"/>
      <c r="G86" s="8">
        <v>8758280</v>
      </c>
      <c r="H86" s="8"/>
      <c r="I86" s="8">
        <v>0</v>
      </c>
      <c r="J86" s="8"/>
      <c r="K86" s="8">
        <v>5237440</v>
      </c>
      <c r="L86" s="8"/>
      <c r="M86" s="8">
        <v>5916099</v>
      </c>
      <c r="N86" s="8"/>
      <c r="O86" s="8">
        <v>0</v>
      </c>
      <c r="P86" s="8"/>
      <c r="Q86" s="8">
        <v>17335</v>
      </c>
      <c r="R86" s="8"/>
      <c r="S86" s="8">
        <v>910336</v>
      </c>
      <c r="T86" s="8"/>
      <c r="U86" s="8">
        <v>1914510</v>
      </c>
      <c r="V86" s="8"/>
      <c r="W86" s="8">
        <f>+U86+S86+Q86</f>
        <v>2842181</v>
      </c>
      <c r="X86" s="8"/>
      <c r="Y86" s="7">
        <f t="shared" si="12"/>
        <v>0</v>
      </c>
      <c r="Z86" s="7">
        <f t="shared" si="13"/>
        <v>0</v>
      </c>
    </row>
    <row r="87" spans="1:26" ht="12" customHeight="1" x14ac:dyDescent="0.2">
      <c r="D87" s="6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11" t="s">
        <v>478</v>
      </c>
      <c r="X87" s="8"/>
    </row>
    <row r="88" spans="1:26" ht="12.75" customHeight="1" x14ac:dyDescent="0.2">
      <c r="A88" s="69" t="s">
        <v>414</v>
      </c>
      <c r="C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</row>
    <row r="89" spans="1:26" ht="12.75" customHeight="1" x14ac:dyDescent="0.2">
      <c r="A89" s="69" t="s">
        <v>504</v>
      </c>
      <c r="C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</row>
    <row r="90" spans="1:26" ht="12.75" customHeight="1" x14ac:dyDescent="0.2">
      <c r="A90" s="24" t="s">
        <v>287</v>
      </c>
      <c r="C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</row>
    <row r="91" spans="1:26" ht="12.75" customHeight="1" x14ac:dyDescent="0.2">
      <c r="A91" s="24" t="s">
        <v>478</v>
      </c>
      <c r="C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</row>
    <row r="92" spans="1:26" ht="12.75" customHeight="1" x14ac:dyDescent="0.2">
      <c r="S92" s="88" t="s">
        <v>316</v>
      </c>
      <c r="T92" s="88"/>
      <c r="U92" s="88" t="s">
        <v>316</v>
      </c>
    </row>
    <row r="93" spans="1:26" ht="12.75" customHeight="1" x14ac:dyDescent="0.2">
      <c r="A93" s="6"/>
      <c r="C93" s="6"/>
      <c r="D93" s="63"/>
      <c r="E93" s="88"/>
      <c r="F93" s="88"/>
      <c r="G93" s="88"/>
      <c r="H93" s="88"/>
      <c r="I93" s="88" t="s">
        <v>4</v>
      </c>
      <c r="J93" s="88"/>
      <c r="K93" s="88"/>
      <c r="L93" s="88"/>
      <c r="M93" s="88"/>
      <c r="N93" s="88"/>
      <c r="O93" s="88" t="s">
        <v>4</v>
      </c>
      <c r="P93" s="88"/>
      <c r="Q93" s="88" t="s">
        <v>315</v>
      </c>
      <c r="R93" s="88"/>
      <c r="S93" s="88" t="s">
        <v>434</v>
      </c>
      <c r="T93" s="88"/>
      <c r="U93" s="88" t="s">
        <v>319</v>
      </c>
      <c r="V93" s="88"/>
      <c r="W93" s="88" t="s">
        <v>5</v>
      </c>
      <c r="X93" s="6"/>
    </row>
    <row r="94" spans="1:26" ht="12.75" customHeight="1" x14ac:dyDescent="0.2">
      <c r="A94" s="6"/>
      <c r="C94" s="6"/>
      <c r="D94" s="6"/>
      <c r="E94" s="88" t="s">
        <v>317</v>
      </c>
      <c r="F94" s="88"/>
      <c r="G94" s="88" t="s">
        <v>5</v>
      </c>
      <c r="H94" s="88"/>
      <c r="I94" s="88" t="s">
        <v>506</v>
      </c>
      <c r="J94" s="88"/>
      <c r="K94" s="88" t="s">
        <v>4</v>
      </c>
      <c r="L94" s="88"/>
      <c r="M94" s="88" t="s">
        <v>5</v>
      </c>
      <c r="N94" s="88"/>
      <c r="O94" s="88" t="s">
        <v>508</v>
      </c>
      <c r="P94" s="88"/>
      <c r="Q94" s="88" t="s">
        <v>318</v>
      </c>
      <c r="R94" s="88"/>
      <c r="S94" s="63" t="s">
        <v>491</v>
      </c>
      <c r="T94" s="63"/>
      <c r="U94" s="63" t="s">
        <v>492</v>
      </c>
      <c r="V94" s="88"/>
      <c r="W94" s="88" t="s">
        <v>318</v>
      </c>
      <c r="X94" s="6"/>
      <c r="Z94" s="63" t="s">
        <v>425</v>
      </c>
    </row>
    <row r="95" spans="1:26" ht="12.75" customHeight="1" x14ac:dyDescent="0.2">
      <c r="A95" s="27" t="s">
        <v>6</v>
      </c>
      <c r="C95" s="27" t="s">
        <v>7</v>
      </c>
      <c r="D95" s="6"/>
      <c r="E95" s="27" t="s">
        <v>320</v>
      </c>
      <c r="F95" s="88"/>
      <c r="G95" s="27" t="s">
        <v>0</v>
      </c>
      <c r="H95" s="88"/>
      <c r="I95" s="87" t="s">
        <v>507</v>
      </c>
      <c r="J95" s="88"/>
      <c r="K95" s="27" t="s">
        <v>321</v>
      </c>
      <c r="L95" s="88"/>
      <c r="M95" s="27" t="s">
        <v>1</v>
      </c>
      <c r="N95" s="88"/>
      <c r="O95" s="87" t="s">
        <v>507</v>
      </c>
      <c r="P95" s="88"/>
      <c r="Q95" s="27" t="s">
        <v>322</v>
      </c>
      <c r="R95" s="88"/>
      <c r="S95" s="27" t="s">
        <v>323</v>
      </c>
      <c r="T95" s="88"/>
      <c r="U95" s="27" t="s">
        <v>323</v>
      </c>
      <c r="V95" s="88"/>
      <c r="W95" s="27" t="s">
        <v>322</v>
      </c>
      <c r="X95" s="6"/>
      <c r="Z95" s="50" t="s">
        <v>427</v>
      </c>
    </row>
    <row r="96" spans="1:26" ht="12.75" customHeight="1" x14ac:dyDescent="0.2">
      <c r="A96" s="88"/>
      <c r="C96" s="88"/>
      <c r="D96" s="6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6"/>
    </row>
    <row r="97" spans="1:26" ht="12.75" customHeight="1" x14ac:dyDescent="0.2">
      <c r="A97" s="7" t="s">
        <v>107</v>
      </c>
      <c r="B97" s="7"/>
      <c r="C97" s="7" t="s">
        <v>108</v>
      </c>
      <c r="D97" s="6"/>
      <c r="E97" s="40">
        <v>720421</v>
      </c>
      <c r="F97" s="40"/>
      <c r="G97" s="40">
        <v>2647872</v>
      </c>
      <c r="H97" s="40"/>
      <c r="I97" s="40">
        <v>0</v>
      </c>
      <c r="J97" s="40"/>
      <c r="K97" s="40">
        <v>0</v>
      </c>
      <c r="L97" s="40"/>
      <c r="M97" s="40">
        <v>493959</v>
      </c>
      <c r="N97" s="40"/>
      <c r="O97" s="40">
        <v>1200187</v>
      </c>
      <c r="P97" s="40"/>
      <c r="Q97" s="40">
        <v>0</v>
      </c>
      <c r="R97" s="40"/>
      <c r="S97" s="40">
        <v>0</v>
      </c>
      <c r="T97" s="40"/>
      <c r="U97" s="40">
        <v>953726</v>
      </c>
      <c r="V97" s="40"/>
      <c r="W97" s="40">
        <f t="shared" ref="W97:W133" si="15">+U97+S97+Q97</f>
        <v>953726</v>
      </c>
      <c r="X97" s="8"/>
      <c r="Y97" s="7">
        <f t="shared" si="9"/>
        <v>1200187</v>
      </c>
      <c r="Z97" s="7">
        <f>+G97-M97-W97+I97-O97</f>
        <v>0</v>
      </c>
    </row>
    <row r="98" spans="1:26" ht="12.75" customHeight="1" x14ac:dyDescent="0.2">
      <c r="A98" s="9" t="s">
        <v>41</v>
      </c>
      <c r="B98" s="9"/>
      <c r="C98" s="9" t="s">
        <v>109</v>
      </c>
      <c r="D98" s="19"/>
      <c r="E98" s="8">
        <f>5113055+7223</f>
        <v>5120278</v>
      </c>
      <c r="F98" s="8"/>
      <c r="G98" s="8">
        <v>7980634</v>
      </c>
      <c r="H98" s="8"/>
      <c r="I98" s="8">
        <v>0</v>
      </c>
      <c r="J98" s="8"/>
      <c r="K98" s="8">
        <v>0</v>
      </c>
      <c r="L98" s="8"/>
      <c r="M98" s="8">
        <v>600745</v>
      </c>
      <c r="N98" s="8"/>
      <c r="O98" s="8">
        <v>2198705</v>
      </c>
      <c r="P98" s="8"/>
      <c r="Q98" s="8">
        <v>20301</v>
      </c>
      <c r="R98" s="8"/>
      <c r="S98" s="8">
        <v>115154</v>
      </c>
      <c r="T98" s="8"/>
      <c r="U98" s="8">
        <v>5045729</v>
      </c>
      <c r="V98" s="8"/>
      <c r="W98" s="8">
        <f t="shared" si="15"/>
        <v>5181184</v>
      </c>
      <c r="X98" s="8"/>
      <c r="Y98" s="7">
        <f t="shared" si="9"/>
        <v>2198705</v>
      </c>
      <c r="Z98" s="7">
        <f t="shared" ref="Z98:Z133" si="16">+G98-M98-W98+I98-O98</f>
        <v>0</v>
      </c>
    </row>
    <row r="99" spans="1:26" ht="12.75" customHeight="1" x14ac:dyDescent="0.2">
      <c r="A99" s="7" t="s">
        <v>110</v>
      </c>
      <c r="C99" s="7" t="s">
        <v>74</v>
      </c>
      <c r="D99" s="6"/>
      <c r="E99" s="8">
        <v>4957502</v>
      </c>
      <c r="F99" s="8"/>
      <c r="G99" s="8">
        <v>9023800</v>
      </c>
      <c r="H99" s="8"/>
      <c r="I99" s="8">
        <v>0</v>
      </c>
      <c r="J99" s="8"/>
      <c r="K99" s="8">
        <v>0</v>
      </c>
      <c r="L99" s="8"/>
      <c r="M99" s="8">
        <v>708989</v>
      </c>
      <c r="N99" s="8"/>
      <c r="O99" s="8">
        <v>2316718</v>
      </c>
      <c r="P99" s="8"/>
      <c r="Q99" s="8">
        <v>0</v>
      </c>
      <c r="R99" s="8"/>
      <c r="S99" s="8">
        <f>3960720+1684485</f>
        <v>5645205</v>
      </c>
      <c r="T99" s="8"/>
      <c r="U99" s="8">
        <v>352888</v>
      </c>
      <c r="V99" s="8"/>
      <c r="W99" s="8">
        <f t="shared" si="15"/>
        <v>5998093</v>
      </c>
      <c r="X99" s="8"/>
      <c r="Y99" s="7">
        <f t="shared" si="9"/>
        <v>2316718</v>
      </c>
      <c r="Z99" s="7">
        <f t="shared" si="16"/>
        <v>0</v>
      </c>
    </row>
    <row r="100" spans="1:26" ht="12.75" hidden="1" customHeight="1" x14ac:dyDescent="0.2">
      <c r="A100" s="7" t="s">
        <v>111</v>
      </c>
      <c r="B100" s="7"/>
      <c r="C100" s="7" t="s">
        <v>41</v>
      </c>
      <c r="D100" s="6"/>
      <c r="E100" s="8">
        <v>20436889</v>
      </c>
      <c r="F100" s="8"/>
      <c r="G100" s="8">
        <v>27137401</v>
      </c>
      <c r="H100" s="8"/>
      <c r="I100" s="8"/>
      <c r="J100" s="8"/>
      <c r="K100" s="8">
        <v>2909773</v>
      </c>
      <c r="L100" s="8"/>
      <c r="M100" s="8">
        <v>5214071</v>
      </c>
      <c r="N100" s="8"/>
      <c r="O100" s="8"/>
      <c r="P100" s="8"/>
      <c r="Q100" s="8">
        <f>324995+1559292</f>
        <v>1884287</v>
      </c>
      <c r="R100" s="8"/>
      <c r="S100" s="8">
        <v>3515618</v>
      </c>
      <c r="T100" s="8"/>
      <c r="U100" s="8">
        <v>16523425</v>
      </c>
      <c r="V100" s="8"/>
      <c r="W100" s="8">
        <f t="shared" si="15"/>
        <v>21923330</v>
      </c>
      <c r="X100" s="8"/>
      <c r="Y100" s="7">
        <f t="shared" si="9"/>
        <v>0</v>
      </c>
      <c r="Z100" s="7">
        <f t="shared" si="16"/>
        <v>0</v>
      </c>
    </row>
    <row r="101" spans="1:26" ht="12.75" customHeight="1" x14ac:dyDescent="0.2">
      <c r="A101" s="9" t="s">
        <v>484</v>
      </c>
      <c r="B101" s="9"/>
      <c r="C101" s="9" t="s">
        <v>55</v>
      </c>
      <c r="D101" s="19"/>
      <c r="E101" s="8">
        <f>5105234+4181+81437</f>
        <v>5190852</v>
      </c>
      <c r="F101" s="8"/>
      <c r="G101" s="8">
        <v>6917697</v>
      </c>
      <c r="H101" s="8"/>
      <c r="I101" s="8">
        <v>0</v>
      </c>
      <c r="J101" s="8"/>
      <c r="K101" s="8">
        <v>0</v>
      </c>
      <c r="L101" s="8"/>
      <c r="M101" s="8">
        <v>307553</v>
      </c>
      <c r="N101" s="8"/>
      <c r="O101" s="8">
        <v>919225</v>
      </c>
      <c r="P101" s="8"/>
      <c r="Q101" s="8">
        <f>18556+81437</f>
        <v>99993</v>
      </c>
      <c r="R101" s="8"/>
      <c r="S101" s="8">
        <v>75449</v>
      </c>
      <c r="T101" s="8"/>
      <c r="U101" s="8">
        <v>5515477</v>
      </c>
      <c r="V101" s="8"/>
      <c r="W101" s="8">
        <f>+U101+S101+Q101</f>
        <v>5690919</v>
      </c>
      <c r="X101" s="8"/>
      <c r="Y101" s="7">
        <f t="shared" si="9"/>
        <v>919225</v>
      </c>
      <c r="Z101" s="7">
        <f t="shared" si="16"/>
        <v>0</v>
      </c>
    </row>
    <row r="102" spans="1:26" ht="12.75" customHeight="1" x14ac:dyDescent="0.2">
      <c r="A102" s="7" t="s">
        <v>112</v>
      </c>
      <c r="C102" s="7" t="s">
        <v>25</v>
      </c>
      <c r="D102" s="6"/>
      <c r="E102" s="8">
        <v>1529103</v>
      </c>
      <c r="F102" s="8"/>
      <c r="G102" s="8">
        <v>17136501</v>
      </c>
      <c r="H102" s="8"/>
      <c r="I102" s="8">
        <v>0</v>
      </c>
      <c r="J102" s="8"/>
      <c r="K102" s="8">
        <v>0</v>
      </c>
      <c r="L102" s="8"/>
      <c r="M102" s="8">
        <v>3817587</v>
      </c>
      <c r="N102" s="8"/>
      <c r="O102" s="8">
        <v>13927274</v>
      </c>
      <c r="P102" s="8"/>
      <c r="Q102" s="8">
        <v>193655</v>
      </c>
      <c r="R102" s="8"/>
      <c r="S102" s="8">
        <v>3706287</v>
      </c>
      <c r="T102" s="8"/>
      <c r="U102" s="8">
        <v>-4508302</v>
      </c>
      <c r="V102" s="8"/>
      <c r="W102" s="8">
        <f>+U102+S102+Q102</f>
        <v>-608360</v>
      </c>
      <c r="X102" s="8"/>
      <c r="Y102" s="7">
        <f t="shared" si="9"/>
        <v>13927274</v>
      </c>
      <c r="Z102" s="7">
        <f t="shared" si="16"/>
        <v>0</v>
      </c>
    </row>
    <row r="103" spans="1:26" ht="12.75" customHeight="1" x14ac:dyDescent="0.2">
      <c r="A103" s="7" t="s">
        <v>113</v>
      </c>
      <c r="B103" s="7"/>
      <c r="C103" s="7" t="s">
        <v>17</v>
      </c>
      <c r="D103" s="6"/>
      <c r="E103" s="8">
        <v>1286831</v>
      </c>
      <c r="F103" s="8"/>
      <c r="G103" s="8">
        <v>2799403</v>
      </c>
      <c r="H103" s="8"/>
      <c r="I103" s="8">
        <v>0</v>
      </c>
      <c r="J103" s="8"/>
      <c r="K103" s="8">
        <v>1141560</v>
      </c>
      <c r="L103" s="8"/>
      <c r="M103" s="8">
        <v>1382820</v>
      </c>
      <c r="N103" s="8"/>
      <c r="O103" s="8">
        <v>0</v>
      </c>
      <c r="P103" s="8"/>
      <c r="Q103" s="8">
        <v>59547</v>
      </c>
      <c r="R103" s="8"/>
      <c r="S103" s="8">
        <v>61100</v>
      </c>
      <c r="T103" s="8"/>
      <c r="U103" s="8">
        <v>1295936</v>
      </c>
      <c r="V103" s="8"/>
      <c r="W103" s="8">
        <f t="shared" si="15"/>
        <v>1416583</v>
      </c>
      <c r="X103" s="8"/>
      <c r="Y103" s="7">
        <f t="shared" si="9"/>
        <v>0</v>
      </c>
      <c r="Z103" s="7">
        <f t="shared" si="16"/>
        <v>0</v>
      </c>
    </row>
    <row r="104" spans="1:26" ht="12.75" customHeight="1" x14ac:dyDescent="0.2">
      <c r="A104" s="9" t="s">
        <v>114</v>
      </c>
      <c r="B104" s="9"/>
      <c r="C104" s="9" t="s">
        <v>78</v>
      </c>
      <c r="D104" s="19"/>
      <c r="E104" s="8">
        <f>556132+25866</f>
        <v>581998</v>
      </c>
      <c r="F104" s="8"/>
      <c r="G104" s="8">
        <v>2253196</v>
      </c>
      <c r="H104" s="8"/>
      <c r="I104" s="8">
        <v>0</v>
      </c>
      <c r="J104" s="8"/>
      <c r="K104" s="8">
        <v>0</v>
      </c>
      <c r="L104" s="8"/>
      <c r="M104" s="8">
        <v>382354</v>
      </c>
      <c r="N104" s="8"/>
      <c r="O104" s="8">
        <v>1212368</v>
      </c>
      <c r="P104" s="8"/>
      <c r="Q104" s="8">
        <f>42366+32326</f>
        <v>74692</v>
      </c>
      <c r="R104" s="8"/>
      <c r="S104" s="8">
        <v>55988</v>
      </c>
      <c r="T104" s="8"/>
      <c r="U104" s="8">
        <v>527794</v>
      </c>
      <c r="V104" s="8"/>
      <c r="W104" s="8">
        <f t="shared" si="15"/>
        <v>658474</v>
      </c>
      <c r="X104" s="8"/>
      <c r="Y104" s="7">
        <f t="shared" ref="Y104:Y125" si="17">+G104-M104-W104</f>
        <v>1212368</v>
      </c>
      <c r="Z104" s="7">
        <f t="shared" si="16"/>
        <v>0</v>
      </c>
    </row>
    <row r="105" spans="1:26" ht="12.75" customHeight="1" x14ac:dyDescent="0.2">
      <c r="A105" s="7" t="s">
        <v>115</v>
      </c>
      <c r="B105" s="7"/>
      <c r="C105" s="7" t="s">
        <v>41</v>
      </c>
      <c r="D105" s="6"/>
      <c r="E105" s="8">
        <v>4139396</v>
      </c>
      <c r="F105" s="8"/>
      <c r="G105" s="8">
        <v>9088586</v>
      </c>
      <c r="H105" s="8"/>
      <c r="I105" s="8">
        <v>0</v>
      </c>
      <c r="J105" s="8"/>
      <c r="K105" s="8">
        <v>0</v>
      </c>
      <c r="L105" s="8"/>
      <c r="M105" s="8">
        <v>1061769</v>
      </c>
      <c r="N105" s="8"/>
      <c r="O105" s="8">
        <v>3569393</v>
      </c>
      <c r="P105" s="8"/>
      <c r="Q105" s="8">
        <f>43584+172000+1415</f>
        <v>216999</v>
      </c>
      <c r="R105" s="8"/>
      <c r="S105" s="8">
        <f>150000+1313928+3299+3316+205614+20122</f>
        <v>1696279</v>
      </c>
      <c r="T105" s="8"/>
      <c r="U105" s="8">
        <v>2544146</v>
      </c>
      <c r="V105" s="8"/>
      <c r="W105" s="8">
        <f t="shared" si="15"/>
        <v>4457424</v>
      </c>
      <c r="X105" s="8"/>
      <c r="Y105" s="7">
        <f t="shared" si="17"/>
        <v>3569393</v>
      </c>
      <c r="Z105" s="7">
        <f t="shared" si="16"/>
        <v>0</v>
      </c>
    </row>
    <row r="106" spans="1:26" ht="12.75" customHeight="1" x14ac:dyDescent="0.2">
      <c r="A106" s="7" t="s">
        <v>116</v>
      </c>
      <c r="C106" s="7" t="s">
        <v>11</v>
      </c>
      <c r="D106" s="6"/>
      <c r="E106" s="8">
        <f>28647596+19100</f>
        <v>28666696</v>
      </c>
      <c r="F106" s="8"/>
      <c r="G106" s="8">
        <v>36106916</v>
      </c>
      <c r="H106" s="8"/>
      <c r="I106" s="8">
        <v>0</v>
      </c>
      <c r="J106" s="8"/>
      <c r="K106" s="8">
        <v>0</v>
      </c>
      <c r="L106" s="8"/>
      <c r="M106" s="8">
        <v>776539</v>
      </c>
      <c r="N106" s="8"/>
      <c r="O106" s="8">
        <v>2900518</v>
      </c>
      <c r="P106" s="8"/>
      <c r="Q106" s="8">
        <v>117127</v>
      </c>
      <c r="R106" s="8"/>
      <c r="S106" s="8">
        <v>9572968</v>
      </c>
      <c r="T106" s="8"/>
      <c r="U106" s="8">
        <v>22739764</v>
      </c>
      <c r="V106" s="8"/>
      <c r="W106" s="8">
        <f t="shared" si="15"/>
        <v>32429859</v>
      </c>
      <c r="X106" s="8"/>
      <c r="Y106" s="7">
        <f t="shared" si="17"/>
        <v>2900518</v>
      </c>
      <c r="Z106" s="7">
        <f t="shared" si="16"/>
        <v>0</v>
      </c>
    </row>
    <row r="107" spans="1:26" ht="12.75" customHeight="1" x14ac:dyDescent="0.2">
      <c r="A107" s="7" t="s">
        <v>118</v>
      </c>
      <c r="C107" s="7" t="s">
        <v>119</v>
      </c>
      <c r="D107" s="6"/>
      <c r="E107" s="8">
        <v>3032020</v>
      </c>
      <c r="F107" s="8"/>
      <c r="G107" s="8">
        <v>6079008</v>
      </c>
      <c r="H107" s="8"/>
      <c r="I107" s="8">
        <v>0</v>
      </c>
      <c r="J107" s="8"/>
      <c r="K107" s="8">
        <v>0</v>
      </c>
      <c r="L107" s="8"/>
      <c r="M107" s="8">
        <v>678765</v>
      </c>
      <c r="N107" s="8"/>
      <c r="O107" s="8">
        <v>1817415</v>
      </c>
      <c r="P107" s="8"/>
      <c r="Q107" s="8">
        <v>119142</v>
      </c>
      <c r="R107" s="8"/>
      <c r="S107" s="8">
        <f>127627+566532</f>
        <v>694159</v>
      </c>
      <c r="T107" s="8"/>
      <c r="U107" s="8">
        <v>2769527</v>
      </c>
      <c r="V107" s="8"/>
      <c r="W107" s="8">
        <f t="shared" si="15"/>
        <v>3582828</v>
      </c>
      <c r="X107" s="8"/>
      <c r="Y107" s="7">
        <f t="shared" si="17"/>
        <v>1817415</v>
      </c>
      <c r="Z107" s="7">
        <f t="shared" si="16"/>
        <v>0</v>
      </c>
    </row>
    <row r="108" spans="1:26" ht="12.75" customHeight="1" x14ac:dyDescent="0.2">
      <c r="A108" s="7" t="s">
        <v>120</v>
      </c>
      <c r="C108" s="7" t="s">
        <v>41</v>
      </c>
      <c r="D108" s="6"/>
      <c r="E108" s="8">
        <v>20620662</v>
      </c>
      <c r="F108" s="8"/>
      <c r="G108" s="8">
        <v>28787908</v>
      </c>
      <c r="H108" s="8"/>
      <c r="I108" s="8">
        <v>0</v>
      </c>
      <c r="J108" s="8"/>
      <c r="K108" s="8">
        <v>0</v>
      </c>
      <c r="L108" s="8"/>
      <c r="M108" s="8">
        <v>885164</v>
      </c>
      <c r="N108" s="8"/>
      <c r="O108" s="8">
        <v>3423142</v>
      </c>
      <c r="P108" s="8"/>
      <c r="Q108" s="8">
        <v>405725</v>
      </c>
      <c r="R108" s="8"/>
      <c r="S108" s="8">
        <v>1668128</v>
      </c>
      <c r="T108" s="8"/>
      <c r="U108" s="8">
        <v>22405749</v>
      </c>
      <c r="V108" s="8"/>
      <c r="W108" s="8">
        <f t="shared" si="15"/>
        <v>24479602</v>
      </c>
      <c r="X108" s="8"/>
      <c r="Y108" s="7">
        <f t="shared" si="17"/>
        <v>3423142</v>
      </c>
      <c r="Z108" s="7">
        <f t="shared" si="16"/>
        <v>0</v>
      </c>
    </row>
    <row r="109" spans="1:26" ht="12.75" customHeight="1" x14ac:dyDescent="0.2">
      <c r="A109" s="6" t="s">
        <v>494</v>
      </c>
      <c r="C109" s="6" t="s">
        <v>41</v>
      </c>
      <c r="D109" s="6"/>
      <c r="E109" s="8">
        <v>3009062</v>
      </c>
      <c r="F109" s="8"/>
      <c r="G109" s="8">
        <v>4380173</v>
      </c>
      <c r="H109" s="8"/>
      <c r="I109" s="8">
        <v>0</v>
      </c>
      <c r="J109" s="8"/>
      <c r="K109" s="8">
        <v>0</v>
      </c>
      <c r="L109" s="8"/>
      <c r="M109" s="8">
        <v>449907</v>
      </c>
      <c r="N109" s="8"/>
      <c r="O109" s="8">
        <v>776492</v>
      </c>
      <c r="P109" s="8"/>
      <c r="Q109" s="8">
        <v>64013</v>
      </c>
      <c r="R109" s="8"/>
      <c r="S109" s="8">
        <v>1484152</v>
      </c>
      <c r="T109" s="8"/>
      <c r="U109" s="8">
        <v>1605609</v>
      </c>
      <c r="V109" s="8"/>
      <c r="W109" s="8">
        <f t="shared" si="15"/>
        <v>3153774</v>
      </c>
      <c r="X109" s="8"/>
      <c r="Y109" s="7">
        <f t="shared" si="17"/>
        <v>776492</v>
      </c>
      <c r="Z109" s="7">
        <f t="shared" si="16"/>
        <v>0</v>
      </c>
    </row>
    <row r="110" spans="1:26" ht="12.75" customHeight="1" x14ac:dyDescent="0.2">
      <c r="A110" s="7" t="s">
        <v>43</v>
      </c>
      <c r="C110" s="7" t="s">
        <v>101</v>
      </c>
      <c r="D110" s="6"/>
      <c r="E110" s="8">
        <v>10010786</v>
      </c>
      <c r="F110" s="8"/>
      <c r="G110" s="8">
        <v>18213058</v>
      </c>
      <c r="H110" s="8"/>
      <c r="I110" s="8">
        <v>0</v>
      </c>
      <c r="J110" s="8"/>
      <c r="K110" s="8">
        <v>0</v>
      </c>
      <c r="L110" s="8"/>
      <c r="M110" s="8">
        <v>2641492</v>
      </c>
      <c r="N110" s="8"/>
      <c r="O110" s="8">
        <v>5609395</v>
      </c>
      <c r="P110" s="8"/>
      <c r="Q110" s="8">
        <v>150276</v>
      </c>
      <c r="R110" s="8"/>
      <c r="S110" s="8">
        <v>2797712</v>
      </c>
      <c r="T110" s="8"/>
      <c r="U110" s="8">
        <v>7014183</v>
      </c>
      <c r="V110" s="8"/>
      <c r="W110" s="8">
        <f t="shared" si="15"/>
        <v>9962171</v>
      </c>
      <c r="X110" s="8"/>
      <c r="Y110" s="7">
        <f t="shared" si="17"/>
        <v>5609395</v>
      </c>
      <c r="Z110" s="7">
        <f t="shared" si="16"/>
        <v>0</v>
      </c>
    </row>
    <row r="111" spans="1:26" ht="12.75" customHeight="1" x14ac:dyDescent="0.2">
      <c r="A111" s="7" t="s">
        <v>121</v>
      </c>
      <c r="C111" s="7" t="s">
        <v>43</v>
      </c>
      <c r="D111" s="6"/>
      <c r="E111" s="8">
        <v>86776</v>
      </c>
      <c r="F111" s="8"/>
      <c r="G111" s="8">
        <v>2526870</v>
      </c>
      <c r="H111" s="8"/>
      <c r="I111" s="8">
        <v>0</v>
      </c>
      <c r="J111" s="8"/>
      <c r="K111" s="8">
        <v>1734845</v>
      </c>
      <c r="L111" s="8"/>
      <c r="M111" s="8">
        <v>1846788</v>
      </c>
      <c r="N111" s="8"/>
      <c r="O111" s="8">
        <v>0</v>
      </c>
      <c r="P111" s="8"/>
      <c r="Q111" s="8">
        <v>44307</v>
      </c>
      <c r="R111" s="8"/>
      <c r="S111" s="8">
        <v>562112</v>
      </c>
      <c r="T111" s="8"/>
      <c r="U111" s="8">
        <v>73663</v>
      </c>
      <c r="V111" s="8"/>
      <c r="W111" s="8">
        <f t="shared" si="15"/>
        <v>680082</v>
      </c>
      <c r="X111" s="8"/>
      <c r="Y111" s="7">
        <f t="shared" si="17"/>
        <v>0</v>
      </c>
      <c r="Z111" s="7">
        <f t="shared" si="16"/>
        <v>0</v>
      </c>
    </row>
    <row r="112" spans="1:26" ht="12.75" customHeight="1" x14ac:dyDescent="0.2">
      <c r="A112" s="7" t="s">
        <v>122</v>
      </c>
      <c r="C112" s="7" t="s">
        <v>123</v>
      </c>
      <c r="D112" s="6"/>
      <c r="E112" s="8">
        <f>306530+2462252</f>
        <v>2768782</v>
      </c>
      <c r="F112" s="8"/>
      <c r="G112" s="8">
        <v>4326401</v>
      </c>
      <c r="H112" s="8"/>
      <c r="I112" s="8">
        <v>0</v>
      </c>
      <c r="J112" s="8"/>
      <c r="K112" s="8">
        <v>0</v>
      </c>
      <c r="L112" s="8"/>
      <c r="M112" s="8">
        <v>207858</v>
      </c>
      <c r="N112" s="8"/>
      <c r="O112" s="8">
        <v>825448</v>
      </c>
      <c r="P112" s="8"/>
      <c r="Q112" s="8">
        <v>79556</v>
      </c>
      <c r="R112" s="8"/>
      <c r="S112" s="8">
        <v>97375</v>
      </c>
      <c r="T112" s="8"/>
      <c r="U112" s="8">
        <v>3116164</v>
      </c>
      <c r="V112" s="8"/>
      <c r="W112" s="8">
        <f t="shared" si="15"/>
        <v>3293095</v>
      </c>
      <c r="X112" s="8"/>
      <c r="Y112" s="7">
        <f t="shared" si="17"/>
        <v>825448</v>
      </c>
      <c r="Z112" s="7">
        <f t="shared" si="16"/>
        <v>0</v>
      </c>
    </row>
    <row r="113" spans="1:26" ht="12.75" customHeight="1" x14ac:dyDescent="0.2">
      <c r="A113" s="7" t="s">
        <v>124</v>
      </c>
      <c r="B113" s="7"/>
      <c r="C113" s="7" t="s">
        <v>25</v>
      </c>
      <c r="D113" s="6"/>
      <c r="E113" s="8">
        <v>7746643</v>
      </c>
      <c r="F113" s="8"/>
      <c r="G113" s="8">
        <v>11911611</v>
      </c>
      <c r="H113" s="8"/>
      <c r="I113" s="8">
        <v>0</v>
      </c>
      <c r="J113" s="8"/>
      <c r="K113" s="8">
        <v>0</v>
      </c>
      <c r="L113" s="8"/>
      <c r="M113" s="8">
        <v>777090</v>
      </c>
      <c r="N113" s="8"/>
      <c r="O113" s="8">
        <v>1976280</v>
      </c>
      <c r="P113" s="8"/>
      <c r="Q113" s="8">
        <v>166201</v>
      </c>
      <c r="R113" s="8"/>
      <c r="S113" s="8">
        <v>39273</v>
      </c>
      <c r="T113" s="8"/>
      <c r="U113" s="8">
        <v>8952767</v>
      </c>
      <c r="V113" s="8"/>
      <c r="W113" s="8">
        <f t="shared" si="15"/>
        <v>9158241</v>
      </c>
      <c r="X113" s="8"/>
      <c r="Y113" s="7">
        <f t="shared" si="17"/>
        <v>1976280</v>
      </c>
      <c r="Z113" s="7">
        <f t="shared" si="16"/>
        <v>0</v>
      </c>
    </row>
    <row r="114" spans="1:26" ht="12.75" hidden="1" customHeight="1" x14ac:dyDescent="0.2">
      <c r="A114" s="7" t="s">
        <v>125</v>
      </c>
      <c r="C114" s="7" t="s">
        <v>41</v>
      </c>
      <c r="D114" s="6"/>
      <c r="E114" s="8">
        <v>3654869</v>
      </c>
      <c r="F114" s="8"/>
      <c r="G114" s="8">
        <v>8358768</v>
      </c>
      <c r="H114" s="8"/>
      <c r="I114" s="8">
        <v>0</v>
      </c>
      <c r="J114" s="8"/>
      <c r="K114" s="8">
        <v>2551468</v>
      </c>
      <c r="L114" s="8"/>
      <c r="M114" s="8">
        <v>4549427</v>
      </c>
      <c r="N114" s="8"/>
      <c r="O114" s="8"/>
      <c r="P114" s="8"/>
      <c r="Q114" s="8">
        <f>28179+204888</f>
        <v>233067</v>
      </c>
      <c r="R114" s="8"/>
      <c r="S114" s="8">
        <v>520519</v>
      </c>
      <c r="T114" s="8"/>
      <c r="U114" s="8">
        <v>3055755</v>
      </c>
      <c r="V114" s="8"/>
      <c r="W114" s="8">
        <f t="shared" si="15"/>
        <v>3809341</v>
      </c>
      <c r="X114" s="8"/>
      <c r="Y114" s="7">
        <f t="shared" si="17"/>
        <v>0</v>
      </c>
      <c r="Z114" s="7">
        <f t="shared" si="16"/>
        <v>0</v>
      </c>
    </row>
    <row r="115" spans="1:26" ht="12.75" customHeight="1" x14ac:dyDescent="0.2">
      <c r="A115" s="7" t="s">
        <v>126</v>
      </c>
      <c r="B115" s="7"/>
      <c r="C115" s="7" t="s">
        <v>117</v>
      </c>
      <c r="D115" s="6"/>
      <c r="E115" s="8">
        <v>725227</v>
      </c>
      <c r="F115" s="8"/>
      <c r="G115" s="8">
        <v>2106882</v>
      </c>
      <c r="H115" s="8"/>
      <c r="I115" s="8">
        <v>0</v>
      </c>
      <c r="J115" s="8"/>
      <c r="K115" s="8">
        <v>0</v>
      </c>
      <c r="L115" s="8"/>
      <c r="M115" s="8">
        <v>212796</v>
      </c>
      <c r="N115" s="8"/>
      <c r="O115" s="8">
        <v>811020</v>
      </c>
      <c r="P115" s="8"/>
      <c r="Q115" s="8">
        <v>26156</v>
      </c>
      <c r="R115" s="8"/>
      <c r="S115" s="8">
        <v>145622</v>
      </c>
      <c r="T115" s="8"/>
      <c r="U115" s="8">
        <v>911288</v>
      </c>
      <c r="V115" s="8"/>
      <c r="W115" s="8">
        <f t="shared" si="15"/>
        <v>1083066</v>
      </c>
      <c r="X115" s="8"/>
      <c r="Y115" s="7">
        <f t="shared" si="17"/>
        <v>811020</v>
      </c>
      <c r="Z115" s="7">
        <f t="shared" si="16"/>
        <v>0</v>
      </c>
    </row>
    <row r="116" spans="1:26" ht="12.75" customHeight="1" x14ac:dyDescent="0.2">
      <c r="A116" s="7" t="s">
        <v>127</v>
      </c>
      <c r="C116" s="7" t="s">
        <v>78</v>
      </c>
      <c r="D116" s="6"/>
      <c r="E116" s="8">
        <f>366047+200</f>
        <v>366247</v>
      </c>
      <c r="F116" s="8"/>
      <c r="G116" s="8">
        <v>1320270</v>
      </c>
      <c r="H116" s="8"/>
      <c r="I116" s="8">
        <v>0</v>
      </c>
      <c r="J116" s="8"/>
      <c r="K116" s="8">
        <v>0</v>
      </c>
      <c r="L116" s="8"/>
      <c r="M116" s="8">
        <v>95911</v>
      </c>
      <c r="N116" s="8"/>
      <c r="O116" s="8">
        <v>527767</v>
      </c>
      <c r="P116" s="8"/>
      <c r="Q116" s="8">
        <v>11156</v>
      </c>
      <c r="R116" s="8"/>
      <c r="S116" s="8">
        <v>106519</v>
      </c>
      <c r="T116" s="8"/>
      <c r="U116" s="8">
        <v>578917</v>
      </c>
      <c r="V116" s="8"/>
      <c r="W116" s="8">
        <f t="shared" si="15"/>
        <v>696592</v>
      </c>
      <c r="X116" s="8"/>
      <c r="Y116" s="7">
        <f t="shared" si="17"/>
        <v>527767</v>
      </c>
      <c r="Z116" s="7">
        <f t="shared" si="16"/>
        <v>0</v>
      </c>
    </row>
    <row r="117" spans="1:26" ht="12.75" customHeight="1" x14ac:dyDescent="0.2">
      <c r="A117" s="9" t="s">
        <v>128</v>
      </c>
      <c r="B117" s="9"/>
      <c r="C117" s="9" t="s">
        <v>64</v>
      </c>
      <c r="D117" s="19"/>
      <c r="E117" s="8">
        <v>3542977</v>
      </c>
      <c r="F117" s="8"/>
      <c r="G117" s="8">
        <v>8542283</v>
      </c>
      <c r="H117" s="8"/>
      <c r="I117" s="8">
        <v>0</v>
      </c>
      <c r="J117" s="8"/>
      <c r="K117" s="8">
        <v>0</v>
      </c>
      <c r="L117" s="8"/>
      <c r="M117" s="8">
        <v>520818</v>
      </c>
      <c r="N117" s="8"/>
      <c r="O117" s="8">
        <v>2781508</v>
      </c>
      <c r="P117" s="8"/>
      <c r="Q117" s="8">
        <v>77489</v>
      </c>
      <c r="R117" s="8"/>
      <c r="S117" s="8">
        <v>2632371</v>
      </c>
      <c r="T117" s="8"/>
      <c r="U117" s="8">
        <v>2530097</v>
      </c>
      <c r="V117" s="8"/>
      <c r="W117" s="8">
        <f t="shared" si="15"/>
        <v>5239957</v>
      </c>
      <c r="X117" s="8"/>
      <c r="Y117" s="7">
        <f t="shared" si="17"/>
        <v>2781508</v>
      </c>
      <c r="Z117" s="7">
        <f t="shared" si="16"/>
        <v>0</v>
      </c>
    </row>
    <row r="118" spans="1:26" ht="12.75" customHeight="1" x14ac:dyDescent="0.2">
      <c r="A118" s="7" t="s">
        <v>129</v>
      </c>
      <c r="C118" s="7" t="s">
        <v>11</v>
      </c>
      <c r="D118" s="6"/>
      <c r="E118" s="8">
        <v>11196088</v>
      </c>
      <c r="F118" s="8"/>
      <c r="G118" s="8">
        <v>21640653</v>
      </c>
      <c r="H118" s="8"/>
      <c r="I118" s="8">
        <v>0</v>
      </c>
      <c r="J118" s="8"/>
      <c r="K118" s="8">
        <v>5576526</v>
      </c>
      <c r="L118" s="8"/>
      <c r="M118" s="8">
        <v>6089700</v>
      </c>
      <c r="N118" s="8"/>
      <c r="O118" s="8">
        <v>0</v>
      </c>
      <c r="P118" s="8"/>
      <c r="Q118" s="8">
        <v>133352</v>
      </c>
      <c r="R118" s="8"/>
      <c r="S118" s="8">
        <v>325704</v>
      </c>
      <c r="T118" s="8"/>
      <c r="U118" s="8">
        <v>15091897</v>
      </c>
      <c r="V118" s="8"/>
      <c r="W118" s="8">
        <f t="shared" si="15"/>
        <v>15550953</v>
      </c>
      <c r="X118" s="8"/>
      <c r="Y118" s="7">
        <f t="shared" si="17"/>
        <v>0</v>
      </c>
      <c r="Z118" s="7">
        <f t="shared" si="16"/>
        <v>0</v>
      </c>
    </row>
    <row r="119" spans="1:26" ht="12.75" customHeight="1" x14ac:dyDescent="0.2">
      <c r="A119" s="7" t="s">
        <v>36</v>
      </c>
      <c r="C119" s="7" t="s">
        <v>130</v>
      </c>
      <c r="D119" s="6"/>
      <c r="E119" s="8">
        <v>718085</v>
      </c>
      <c r="F119" s="8"/>
      <c r="G119" s="8">
        <v>1856307</v>
      </c>
      <c r="H119" s="8"/>
      <c r="I119" s="8">
        <v>0</v>
      </c>
      <c r="J119" s="8"/>
      <c r="K119" s="8">
        <v>598489</v>
      </c>
      <c r="L119" s="8"/>
      <c r="M119" s="8">
        <v>768684</v>
      </c>
      <c r="N119" s="8"/>
      <c r="O119" s="8">
        <v>0</v>
      </c>
      <c r="P119" s="8"/>
      <c r="Q119" s="8">
        <v>0</v>
      </c>
      <c r="R119" s="8"/>
      <c r="S119" s="8">
        <v>7679</v>
      </c>
      <c r="T119" s="8"/>
      <c r="U119" s="8">
        <v>1079944</v>
      </c>
      <c r="V119" s="8"/>
      <c r="W119" s="8">
        <f t="shared" si="15"/>
        <v>1087623</v>
      </c>
      <c r="X119" s="8"/>
      <c r="Y119" s="7">
        <f t="shared" si="17"/>
        <v>0</v>
      </c>
      <c r="Z119" s="7">
        <f t="shared" si="16"/>
        <v>0</v>
      </c>
    </row>
    <row r="120" spans="1:26" ht="12.75" customHeight="1" x14ac:dyDescent="0.2">
      <c r="A120" s="7" t="s">
        <v>131</v>
      </c>
      <c r="C120" s="7" t="s">
        <v>25</v>
      </c>
      <c r="D120" s="6"/>
      <c r="E120" s="8">
        <f>7040240+33938</f>
        <v>7074178</v>
      </c>
      <c r="F120" s="8"/>
      <c r="G120" s="8">
        <v>24694126</v>
      </c>
      <c r="H120" s="8"/>
      <c r="I120" s="8">
        <v>0</v>
      </c>
      <c r="J120" s="8"/>
      <c r="K120" s="8">
        <v>0</v>
      </c>
      <c r="L120" s="8"/>
      <c r="M120" s="8">
        <v>1601868</v>
      </c>
      <c r="N120" s="8"/>
      <c r="O120" s="8">
        <v>3749690</v>
      </c>
      <c r="P120" s="8"/>
      <c r="Q120" s="8">
        <v>9604531</v>
      </c>
      <c r="R120" s="8"/>
      <c r="S120" s="8">
        <v>3081515</v>
      </c>
      <c r="T120" s="8"/>
      <c r="U120" s="8">
        <v>6656522</v>
      </c>
      <c r="V120" s="8"/>
      <c r="W120" s="8">
        <f t="shared" si="15"/>
        <v>19342568</v>
      </c>
      <c r="X120" s="8"/>
      <c r="Y120" s="7">
        <f t="shared" si="17"/>
        <v>3749690</v>
      </c>
      <c r="Z120" s="7">
        <f t="shared" si="16"/>
        <v>0</v>
      </c>
    </row>
    <row r="121" spans="1:26" ht="12.75" hidden="1" customHeight="1" x14ac:dyDescent="0.2">
      <c r="A121" s="7" t="s">
        <v>476</v>
      </c>
      <c r="C121" s="7" t="s">
        <v>43</v>
      </c>
      <c r="D121" s="6"/>
      <c r="E121" s="8">
        <v>10778040</v>
      </c>
      <c r="F121" s="8"/>
      <c r="G121" s="8">
        <v>17940357</v>
      </c>
      <c r="H121" s="8"/>
      <c r="I121" s="8">
        <v>0</v>
      </c>
      <c r="J121" s="8"/>
      <c r="K121" s="8">
        <v>6287332</v>
      </c>
      <c r="L121" s="8"/>
      <c r="M121" s="8">
        <v>7102067</v>
      </c>
      <c r="N121" s="8"/>
      <c r="O121" s="8"/>
      <c r="P121" s="8"/>
      <c r="Q121" s="8">
        <v>292071</v>
      </c>
      <c r="R121" s="8"/>
      <c r="S121" s="8">
        <v>0</v>
      </c>
      <c r="T121" s="8"/>
      <c r="U121" s="8">
        <v>10546219</v>
      </c>
      <c r="V121" s="8"/>
      <c r="W121" s="8">
        <f t="shared" si="15"/>
        <v>10838290</v>
      </c>
      <c r="X121" s="8"/>
      <c r="Y121" s="7">
        <f t="shared" si="17"/>
        <v>0</v>
      </c>
      <c r="Z121" s="7">
        <f t="shared" si="16"/>
        <v>0</v>
      </c>
    </row>
    <row r="122" spans="1:26" ht="12.75" customHeight="1" x14ac:dyDescent="0.2">
      <c r="A122" s="6" t="s">
        <v>132</v>
      </c>
      <c r="B122" s="18"/>
      <c r="C122" s="6" t="s">
        <v>133</v>
      </c>
      <c r="D122" s="6"/>
      <c r="E122" s="8">
        <v>338280</v>
      </c>
      <c r="F122" s="8"/>
      <c r="G122" s="8">
        <v>1411673</v>
      </c>
      <c r="H122" s="8"/>
      <c r="I122" s="8">
        <v>0</v>
      </c>
      <c r="J122" s="8"/>
      <c r="K122" s="8">
        <v>0</v>
      </c>
      <c r="L122" s="8"/>
      <c r="M122" s="8">
        <v>232902</v>
      </c>
      <c r="N122" s="8"/>
      <c r="O122" s="8">
        <v>431569</v>
      </c>
      <c r="P122" s="8"/>
      <c r="Q122" s="8">
        <f>15746+11121</f>
        <v>26867</v>
      </c>
      <c r="R122" s="8"/>
      <c r="S122" s="8">
        <f>337302+15318</f>
        <v>352620</v>
      </c>
      <c r="T122" s="8"/>
      <c r="U122" s="8">
        <v>367715</v>
      </c>
      <c r="V122" s="8"/>
      <c r="W122" s="8">
        <f t="shared" si="15"/>
        <v>747202</v>
      </c>
      <c r="X122" s="8"/>
      <c r="Y122" s="7">
        <f t="shared" si="17"/>
        <v>431569</v>
      </c>
      <c r="Z122" s="7">
        <f t="shared" si="16"/>
        <v>0</v>
      </c>
    </row>
    <row r="123" spans="1:26" ht="12.75" customHeight="1" x14ac:dyDescent="0.2">
      <c r="A123" s="7" t="s">
        <v>134</v>
      </c>
      <c r="B123" s="7"/>
      <c r="C123" s="7" t="s">
        <v>134</v>
      </c>
      <c r="D123" s="6"/>
      <c r="E123" s="8">
        <v>1987856</v>
      </c>
      <c r="F123" s="8"/>
      <c r="G123" s="8">
        <v>2691700</v>
      </c>
      <c r="H123" s="8"/>
      <c r="I123" s="8">
        <v>0</v>
      </c>
      <c r="J123" s="8"/>
      <c r="K123" s="8">
        <v>0</v>
      </c>
      <c r="L123" s="8"/>
      <c r="M123" s="8">
        <v>143973</v>
      </c>
      <c r="N123" s="8"/>
      <c r="O123" s="8">
        <v>444832</v>
      </c>
      <c r="P123" s="8"/>
      <c r="Q123" s="8">
        <v>36897</v>
      </c>
      <c r="R123" s="8"/>
      <c r="S123" s="8">
        <v>1169408</v>
      </c>
      <c r="T123" s="8"/>
      <c r="U123" s="8">
        <v>896590</v>
      </c>
      <c r="V123" s="8"/>
      <c r="W123" s="8">
        <f t="shared" si="15"/>
        <v>2102895</v>
      </c>
      <c r="X123" s="8"/>
      <c r="Y123" s="7">
        <f t="shared" si="17"/>
        <v>444832</v>
      </c>
      <c r="Z123" s="7">
        <f t="shared" si="16"/>
        <v>0</v>
      </c>
    </row>
    <row r="124" spans="1:26" ht="12.75" customHeight="1" x14ac:dyDescent="0.2">
      <c r="A124" s="7" t="s">
        <v>135</v>
      </c>
      <c r="B124" s="7"/>
      <c r="C124" s="7" t="s">
        <v>20</v>
      </c>
      <c r="D124" s="6"/>
      <c r="E124" s="8">
        <f>4883087+57141</f>
        <v>4940228</v>
      </c>
      <c r="F124" s="8"/>
      <c r="G124" s="8">
        <v>10290475</v>
      </c>
      <c r="H124" s="8"/>
      <c r="I124" s="8">
        <v>0</v>
      </c>
      <c r="J124" s="8"/>
      <c r="K124" s="8">
        <v>0</v>
      </c>
      <c r="L124" s="8"/>
      <c r="M124" s="8">
        <v>563810</v>
      </c>
      <c r="N124" s="8"/>
      <c r="O124" s="8">
        <v>2395136</v>
      </c>
      <c r="P124" s="8"/>
      <c r="Q124" s="8">
        <v>1301099</v>
      </c>
      <c r="R124" s="8"/>
      <c r="S124" s="8">
        <f>219659+2894067</f>
        <v>3113726</v>
      </c>
      <c r="T124" s="8"/>
      <c r="U124" s="8">
        <v>2916704</v>
      </c>
      <c r="V124" s="8"/>
      <c r="W124" s="8">
        <f t="shared" si="15"/>
        <v>7331529</v>
      </c>
      <c r="X124" s="8"/>
      <c r="Y124" s="7">
        <f t="shared" si="17"/>
        <v>2395136</v>
      </c>
      <c r="Z124" s="7">
        <f t="shared" si="16"/>
        <v>0</v>
      </c>
    </row>
    <row r="125" spans="1:26" ht="12.75" hidden="1" customHeight="1" x14ac:dyDescent="0.2">
      <c r="A125" s="7" t="s">
        <v>136</v>
      </c>
      <c r="C125" s="7" t="s">
        <v>137</v>
      </c>
      <c r="D125" s="6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>
        <f t="shared" si="15"/>
        <v>0</v>
      </c>
      <c r="X125" s="8"/>
      <c r="Y125" s="7">
        <f t="shared" si="17"/>
        <v>0</v>
      </c>
      <c r="Z125" s="7">
        <f t="shared" si="16"/>
        <v>0</v>
      </c>
    </row>
    <row r="126" spans="1:26" ht="12.75" customHeight="1" x14ac:dyDescent="0.2">
      <c r="A126" s="7" t="s">
        <v>138</v>
      </c>
      <c r="C126" s="7" t="s">
        <v>64</v>
      </c>
      <c r="D126" s="6"/>
      <c r="E126" s="8">
        <v>43177051</v>
      </c>
      <c r="F126" s="8"/>
      <c r="G126" s="8">
        <v>59617436</v>
      </c>
      <c r="H126" s="8"/>
      <c r="I126" s="8">
        <v>0</v>
      </c>
      <c r="J126" s="8"/>
      <c r="K126" s="8">
        <v>0</v>
      </c>
      <c r="L126" s="8"/>
      <c r="M126" s="8">
        <v>3409081</v>
      </c>
      <c r="N126" s="8"/>
      <c r="O126" s="8">
        <v>11967593</v>
      </c>
      <c r="P126" s="8"/>
      <c r="Q126" s="8">
        <v>16988</v>
      </c>
      <c r="R126" s="8"/>
      <c r="S126" s="8">
        <f>56256+356576+2079+449994+652687</f>
        <v>1517592</v>
      </c>
      <c r="T126" s="8"/>
      <c r="U126" s="8">
        <v>42706182</v>
      </c>
      <c r="V126" s="8"/>
      <c r="W126" s="8">
        <f t="shared" si="15"/>
        <v>44240762</v>
      </c>
      <c r="X126" s="8"/>
      <c r="Y126" s="7">
        <f t="shared" ref="Y126:Y133" si="18">+G126-M126-W126</f>
        <v>11967593</v>
      </c>
      <c r="Z126" s="7">
        <f t="shared" si="16"/>
        <v>0</v>
      </c>
    </row>
    <row r="127" spans="1:26" ht="12.75" customHeight="1" x14ac:dyDescent="0.2">
      <c r="A127" s="7" t="s">
        <v>472</v>
      </c>
      <c r="C127" s="7" t="s">
        <v>90</v>
      </c>
      <c r="D127" s="6"/>
      <c r="E127" s="8">
        <v>362047</v>
      </c>
      <c r="F127" s="8"/>
      <c r="G127" s="8">
        <v>2424653</v>
      </c>
      <c r="H127" s="8"/>
      <c r="I127" s="8">
        <v>0</v>
      </c>
      <c r="J127" s="8"/>
      <c r="K127" s="8">
        <v>0</v>
      </c>
      <c r="L127" s="8"/>
      <c r="M127" s="8">
        <v>412777</v>
      </c>
      <c r="N127" s="8"/>
      <c r="O127" s="8">
        <v>1442697</v>
      </c>
      <c r="P127" s="8"/>
      <c r="Q127" s="8">
        <v>202140</v>
      </c>
      <c r="R127" s="8"/>
      <c r="S127" s="8">
        <v>179956</v>
      </c>
      <c r="T127" s="8"/>
      <c r="U127" s="8">
        <v>187083</v>
      </c>
      <c r="V127" s="8"/>
      <c r="W127" s="8">
        <f t="shared" si="15"/>
        <v>569179</v>
      </c>
      <c r="X127" s="8"/>
      <c r="Y127" s="7">
        <f t="shared" si="18"/>
        <v>1442697</v>
      </c>
      <c r="Z127" s="7">
        <f t="shared" si="16"/>
        <v>0</v>
      </c>
    </row>
    <row r="128" spans="1:26" s="9" customFormat="1" ht="12.75" customHeight="1" x14ac:dyDescent="0.2">
      <c r="A128" s="7" t="s">
        <v>139</v>
      </c>
      <c r="B128" s="7"/>
      <c r="C128" s="7" t="s">
        <v>25</v>
      </c>
      <c r="D128" s="6"/>
      <c r="E128" s="8">
        <f>6932416+228981+217278</f>
        <v>7378675</v>
      </c>
      <c r="F128" s="8"/>
      <c r="G128" s="8">
        <v>29992778</v>
      </c>
      <c r="H128" s="8"/>
      <c r="I128" s="8">
        <v>0</v>
      </c>
      <c r="J128" s="8"/>
      <c r="K128" s="8">
        <v>0</v>
      </c>
      <c r="L128" s="8"/>
      <c r="M128" s="8">
        <v>1926638</v>
      </c>
      <c r="N128" s="8"/>
      <c r="O128" s="8">
        <v>18374854</v>
      </c>
      <c r="P128" s="8"/>
      <c r="Q128" s="8">
        <v>646379</v>
      </c>
      <c r="R128" s="8"/>
      <c r="S128" s="8">
        <v>1943879</v>
      </c>
      <c r="T128" s="8"/>
      <c r="U128" s="8">
        <v>7101028</v>
      </c>
      <c r="V128" s="8"/>
      <c r="W128" s="8">
        <f t="shared" si="15"/>
        <v>9691286</v>
      </c>
      <c r="X128" s="8"/>
      <c r="Y128" s="7">
        <f t="shared" si="18"/>
        <v>18374854</v>
      </c>
      <c r="Z128" s="7">
        <f t="shared" si="16"/>
        <v>0</v>
      </c>
    </row>
    <row r="129" spans="1:26" ht="12.75" customHeight="1" x14ac:dyDescent="0.2">
      <c r="A129" s="7" t="s">
        <v>140</v>
      </c>
      <c r="C129" s="7" t="s">
        <v>100</v>
      </c>
      <c r="D129" s="6"/>
      <c r="E129" s="8">
        <f>520162+2965466</f>
        <v>3485628</v>
      </c>
      <c r="F129" s="8"/>
      <c r="G129" s="8">
        <v>10722433</v>
      </c>
      <c r="H129" s="8"/>
      <c r="I129" s="8">
        <v>0</v>
      </c>
      <c r="J129" s="8"/>
      <c r="K129" s="8">
        <v>0</v>
      </c>
      <c r="L129" s="8"/>
      <c r="M129" s="8">
        <v>1812936</v>
      </c>
      <c r="N129" s="8"/>
      <c r="O129" s="8">
        <v>3475594</v>
      </c>
      <c r="P129" s="8"/>
      <c r="Q129" s="8">
        <v>237825</v>
      </c>
      <c r="R129" s="8"/>
      <c r="S129" s="8">
        <v>1581288</v>
      </c>
      <c r="T129" s="8"/>
      <c r="U129" s="8">
        <v>3614790</v>
      </c>
      <c r="V129" s="8"/>
      <c r="W129" s="8">
        <f>+U129+S129+Q129</f>
        <v>5433903</v>
      </c>
      <c r="X129" s="8"/>
      <c r="Y129" s="7">
        <f t="shared" si="18"/>
        <v>3475594</v>
      </c>
      <c r="Z129" s="7">
        <f t="shared" si="16"/>
        <v>0</v>
      </c>
    </row>
    <row r="130" spans="1:26" ht="12.75" customHeight="1" x14ac:dyDescent="0.2">
      <c r="A130" s="7" t="s">
        <v>141</v>
      </c>
      <c r="C130" s="7" t="s">
        <v>109</v>
      </c>
      <c r="D130" s="6"/>
      <c r="E130" s="8">
        <v>5606709</v>
      </c>
      <c r="F130" s="8"/>
      <c r="G130" s="8">
        <v>9120052</v>
      </c>
      <c r="H130" s="8"/>
      <c r="I130" s="8">
        <v>0</v>
      </c>
      <c r="J130" s="8"/>
      <c r="K130" s="8">
        <v>0</v>
      </c>
      <c r="L130" s="8"/>
      <c r="M130" s="8">
        <v>677086</v>
      </c>
      <c r="N130" s="8"/>
      <c r="O130" s="8">
        <v>2232434</v>
      </c>
      <c r="P130" s="8"/>
      <c r="Q130" s="8">
        <v>813297</v>
      </c>
      <c r="R130" s="8"/>
      <c r="S130" s="8">
        <v>260111</v>
      </c>
      <c r="T130" s="8"/>
      <c r="U130" s="8">
        <v>5137124</v>
      </c>
      <c r="V130" s="8"/>
      <c r="W130" s="8">
        <f>+U130+S130+Q130</f>
        <v>6210532</v>
      </c>
      <c r="X130" s="8"/>
      <c r="Y130" s="7">
        <f t="shared" si="18"/>
        <v>2232434</v>
      </c>
      <c r="Z130" s="7">
        <f t="shared" si="16"/>
        <v>0</v>
      </c>
    </row>
    <row r="131" spans="1:26" ht="12.75" customHeight="1" x14ac:dyDescent="0.2">
      <c r="A131" s="7" t="s">
        <v>142</v>
      </c>
      <c r="C131" s="7" t="s">
        <v>86</v>
      </c>
      <c r="D131" s="6"/>
      <c r="E131" s="8">
        <v>8599296</v>
      </c>
      <c r="F131" s="8"/>
      <c r="G131" s="8">
        <v>14414771</v>
      </c>
      <c r="H131" s="8"/>
      <c r="I131" s="8">
        <v>0</v>
      </c>
      <c r="J131" s="8"/>
      <c r="K131" s="8">
        <v>3584992</v>
      </c>
      <c r="L131" s="8"/>
      <c r="M131" s="8">
        <v>4945581</v>
      </c>
      <c r="N131" s="8"/>
      <c r="O131" s="8">
        <v>0</v>
      </c>
      <c r="P131" s="8"/>
      <c r="Q131" s="8">
        <v>315670</v>
      </c>
      <c r="R131" s="8"/>
      <c r="S131" s="8">
        <v>539932</v>
      </c>
      <c r="T131" s="8"/>
      <c r="U131" s="8">
        <v>8613588</v>
      </c>
      <c r="V131" s="8"/>
      <c r="W131" s="8">
        <f t="shared" si="15"/>
        <v>9469190</v>
      </c>
      <c r="X131" s="8"/>
      <c r="Y131" s="7">
        <f t="shared" si="18"/>
        <v>0</v>
      </c>
      <c r="Z131" s="7">
        <f t="shared" si="16"/>
        <v>0</v>
      </c>
    </row>
    <row r="132" spans="1:26" ht="12.75" customHeight="1" x14ac:dyDescent="0.2">
      <c r="A132" s="7" t="s">
        <v>34</v>
      </c>
      <c r="C132" s="7" t="s">
        <v>143</v>
      </c>
      <c r="D132" s="6"/>
      <c r="E132" s="8">
        <v>1051337</v>
      </c>
      <c r="F132" s="8"/>
      <c r="G132" s="8">
        <v>1961420</v>
      </c>
      <c r="H132" s="8"/>
      <c r="I132" s="8">
        <v>0</v>
      </c>
      <c r="J132" s="8"/>
      <c r="K132" s="8">
        <v>0</v>
      </c>
      <c r="L132" s="8"/>
      <c r="M132" s="8">
        <v>255852</v>
      </c>
      <c r="N132" s="8"/>
      <c r="O132" s="8">
        <v>638410</v>
      </c>
      <c r="P132" s="8"/>
      <c r="Q132" s="8">
        <v>0</v>
      </c>
      <c r="R132" s="8"/>
      <c r="S132" s="8">
        <v>741726</v>
      </c>
      <c r="T132" s="8"/>
      <c r="U132" s="8">
        <v>325432</v>
      </c>
      <c r="V132" s="8"/>
      <c r="W132" s="8">
        <f t="shared" si="15"/>
        <v>1067158</v>
      </c>
      <c r="X132" s="8"/>
      <c r="Y132" s="7">
        <f t="shared" si="18"/>
        <v>638410</v>
      </c>
      <c r="Z132" s="7">
        <f t="shared" si="16"/>
        <v>0</v>
      </c>
    </row>
    <row r="133" spans="1:26" ht="12.75" customHeight="1" x14ac:dyDescent="0.2">
      <c r="A133" s="7" t="s">
        <v>144</v>
      </c>
      <c r="C133" s="7" t="s">
        <v>145</v>
      </c>
      <c r="D133" s="6"/>
      <c r="E133" s="8">
        <v>1327811</v>
      </c>
      <c r="F133" s="8"/>
      <c r="G133" s="8">
        <v>3233241</v>
      </c>
      <c r="H133" s="8"/>
      <c r="I133" s="8">
        <v>0</v>
      </c>
      <c r="J133" s="8"/>
      <c r="K133" s="8">
        <v>0</v>
      </c>
      <c r="L133" s="8"/>
      <c r="M133" s="8">
        <v>269060</v>
      </c>
      <c r="N133" s="8"/>
      <c r="O133" s="8">
        <v>1239093</v>
      </c>
      <c r="P133" s="8"/>
      <c r="Q133" s="8">
        <f>1582+25760</f>
        <v>27342</v>
      </c>
      <c r="R133" s="8"/>
      <c r="S133" s="8">
        <f>223582+19858+47019+1841+56360</f>
        <v>348660</v>
      </c>
      <c r="T133" s="8"/>
      <c r="U133" s="8">
        <v>1349086</v>
      </c>
      <c r="V133" s="8"/>
      <c r="W133" s="8">
        <f t="shared" si="15"/>
        <v>1725088</v>
      </c>
      <c r="X133" s="8"/>
      <c r="Y133" s="7">
        <f t="shared" si="18"/>
        <v>1239093</v>
      </c>
      <c r="Z133" s="7">
        <f t="shared" si="16"/>
        <v>0</v>
      </c>
    </row>
    <row r="134" spans="1:26" s="9" customFormat="1" ht="12.75" customHeight="1" x14ac:dyDescent="0.2">
      <c r="A134" s="7" t="s">
        <v>15</v>
      </c>
      <c r="B134" s="14"/>
      <c r="C134" s="7" t="s">
        <v>15</v>
      </c>
      <c r="D134" s="6"/>
      <c r="E134" s="8">
        <f>1957917+109472+51342</f>
        <v>2118731</v>
      </c>
      <c r="F134" s="8"/>
      <c r="G134" s="8">
        <v>10665504</v>
      </c>
      <c r="H134" s="8"/>
      <c r="I134" s="8">
        <v>0</v>
      </c>
      <c r="J134" s="8"/>
      <c r="K134" s="8">
        <v>0</v>
      </c>
      <c r="L134" s="8"/>
      <c r="M134" s="8">
        <v>1730276</v>
      </c>
      <c r="N134" s="8"/>
      <c r="O134" s="8">
        <v>4022930</v>
      </c>
      <c r="P134" s="8"/>
      <c r="Q134" s="8">
        <f>206037+705984</f>
        <v>912021</v>
      </c>
      <c r="R134" s="8"/>
      <c r="S134" s="8">
        <f>233428+763477</f>
        <v>996905</v>
      </c>
      <c r="T134" s="8"/>
      <c r="U134" s="8">
        <v>3003372</v>
      </c>
      <c r="V134" s="8"/>
      <c r="W134" s="8">
        <f t="shared" ref="W134:W167" si="19">+U134+S134+Q134</f>
        <v>4912298</v>
      </c>
      <c r="X134" s="8"/>
      <c r="Y134" s="9">
        <f t="shared" ref="Y134:Y167" si="20">+G134-M134-W134</f>
        <v>4022930</v>
      </c>
      <c r="Z134" s="7">
        <f t="shared" ref="Z134:Z167" si="21">+G134-M134-W134+I134-O134</f>
        <v>0</v>
      </c>
    </row>
    <row r="135" spans="1:26" s="9" customFormat="1" ht="12.75" customHeight="1" x14ac:dyDescent="0.2">
      <c r="A135" s="9" t="s">
        <v>146</v>
      </c>
      <c r="C135" s="9" t="s">
        <v>13</v>
      </c>
      <c r="D135" s="19"/>
      <c r="E135" s="8">
        <v>620789</v>
      </c>
      <c r="F135" s="8"/>
      <c r="G135" s="8">
        <v>3233966</v>
      </c>
      <c r="H135" s="8"/>
      <c r="I135" s="8">
        <v>0</v>
      </c>
      <c r="J135" s="8"/>
      <c r="K135" s="8">
        <v>0</v>
      </c>
      <c r="L135" s="8"/>
      <c r="M135" s="8">
        <v>215436</v>
      </c>
      <c r="N135" s="8"/>
      <c r="O135" s="8">
        <v>822937</v>
      </c>
      <c r="P135" s="8"/>
      <c r="Q135" s="8">
        <v>3141</v>
      </c>
      <c r="R135" s="8"/>
      <c r="S135" s="8">
        <v>53805</v>
      </c>
      <c r="T135" s="8"/>
      <c r="U135" s="8">
        <v>2138647</v>
      </c>
      <c r="V135" s="8"/>
      <c r="W135" s="8">
        <f t="shared" si="19"/>
        <v>2195593</v>
      </c>
      <c r="X135" s="8"/>
      <c r="Y135" s="7">
        <f t="shared" si="20"/>
        <v>822937</v>
      </c>
      <c r="Z135" s="7">
        <f t="shared" si="21"/>
        <v>0</v>
      </c>
    </row>
    <row r="136" spans="1:26" ht="12.75" customHeight="1" x14ac:dyDescent="0.2">
      <c r="A136" s="7" t="s">
        <v>147</v>
      </c>
      <c r="C136" s="7" t="s">
        <v>43</v>
      </c>
      <c r="D136" s="6"/>
      <c r="E136" s="8">
        <v>1790092</v>
      </c>
      <c r="F136" s="8"/>
      <c r="G136" s="8">
        <v>4628358</v>
      </c>
      <c r="H136" s="8"/>
      <c r="I136" s="8">
        <v>0</v>
      </c>
      <c r="J136" s="8"/>
      <c r="K136" s="8">
        <v>0</v>
      </c>
      <c r="L136" s="8"/>
      <c r="M136" s="8">
        <v>253109</v>
      </c>
      <c r="N136" s="8"/>
      <c r="O136" s="8">
        <v>1074032</v>
      </c>
      <c r="P136" s="8"/>
      <c r="Q136" s="8">
        <v>0</v>
      </c>
      <c r="R136" s="8"/>
      <c r="S136" s="8">
        <v>60149</v>
      </c>
      <c r="T136" s="8"/>
      <c r="U136" s="8">
        <v>3241068</v>
      </c>
      <c r="V136" s="8"/>
      <c r="W136" s="8">
        <f t="shared" si="19"/>
        <v>3301217</v>
      </c>
      <c r="X136" s="8"/>
      <c r="Y136" s="7">
        <f t="shared" si="20"/>
        <v>1074032</v>
      </c>
      <c r="Z136" s="7">
        <f t="shared" si="21"/>
        <v>0</v>
      </c>
    </row>
    <row r="137" spans="1:26" s="9" customFormat="1" ht="12.75" customHeight="1" x14ac:dyDescent="0.2">
      <c r="A137" s="7" t="s">
        <v>148</v>
      </c>
      <c r="B137" s="14"/>
      <c r="C137" s="7" t="s">
        <v>25</v>
      </c>
      <c r="D137" s="6"/>
      <c r="E137" s="8">
        <f>3366492+1123667</f>
        <v>4490159</v>
      </c>
      <c r="F137" s="8"/>
      <c r="G137" s="8">
        <v>14377114</v>
      </c>
      <c r="H137" s="8"/>
      <c r="I137" s="8">
        <v>0</v>
      </c>
      <c r="J137" s="8"/>
      <c r="K137" s="8">
        <v>0</v>
      </c>
      <c r="L137" s="8"/>
      <c r="M137" s="8">
        <v>748758</v>
      </c>
      <c r="N137" s="8"/>
      <c r="O137" s="8">
        <v>7393203</v>
      </c>
      <c r="P137" s="8"/>
      <c r="Q137" s="8">
        <v>144376</v>
      </c>
      <c r="R137" s="8"/>
      <c r="S137" s="8">
        <v>320355</v>
      </c>
      <c r="T137" s="8"/>
      <c r="U137" s="8">
        <v>5770422</v>
      </c>
      <c r="V137" s="8"/>
      <c r="W137" s="8">
        <f t="shared" si="19"/>
        <v>6235153</v>
      </c>
      <c r="X137" s="8"/>
      <c r="Y137" s="7">
        <f t="shared" si="20"/>
        <v>7393203</v>
      </c>
      <c r="Z137" s="7">
        <f t="shared" si="21"/>
        <v>0</v>
      </c>
    </row>
    <row r="138" spans="1:26" ht="12.75" customHeight="1" x14ac:dyDescent="0.2">
      <c r="A138" s="7" t="s">
        <v>149</v>
      </c>
      <c r="B138" s="7"/>
      <c r="C138" s="7" t="s">
        <v>11</v>
      </c>
      <c r="D138" s="6"/>
      <c r="E138" s="8">
        <v>3545277</v>
      </c>
      <c r="F138" s="8"/>
      <c r="G138" s="8">
        <v>9236473</v>
      </c>
      <c r="H138" s="8"/>
      <c r="I138" s="8">
        <v>0</v>
      </c>
      <c r="J138" s="8"/>
      <c r="K138" s="8">
        <v>0</v>
      </c>
      <c r="L138" s="8"/>
      <c r="M138" s="8">
        <v>499686</v>
      </c>
      <c r="N138" s="8"/>
      <c r="O138" s="8">
        <v>4000828</v>
      </c>
      <c r="P138" s="8"/>
      <c r="Q138" s="8">
        <v>30351</v>
      </c>
      <c r="R138" s="8"/>
      <c r="S138" s="8">
        <f>511000+113098</f>
        <v>624098</v>
      </c>
      <c r="T138" s="8"/>
      <c r="U138" s="8">
        <v>4081510</v>
      </c>
      <c r="V138" s="8"/>
      <c r="W138" s="8">
        <f t="shared" si="19"/>
        <v>4735959</v>
      </c>
      <c r="X138" s="8"/>
      <c r="Y138" s="7">
        <f t="shared" si="20"/>
        <v>4000828</v>
      </c>
      <c r="Z138" s="7">
        <f t="shared" si="21"/>
        <v>0</v>
      </c>
    </row>
    <row r="139" spans="1:26" ht="12.75" customHeight="1" x14ac:dyDescent="0.2">
      <c r="A139" s="7" t="s">
        <v>475</v>
      </c>
      <c r="B139" s="7"/>
      <c r="C139" s="7" t="s">
        <v>43</v>
      </c>
      <c r="D139" s="6"/>
      <c r="E139" s="8">
        <v>1916205</v>
      </c>
      <c r="F139" s="8"/>
      <c r="G139" s="8">
        <v>5398498</v>
      </c>
      <c r="H139" s="8"/>
      <c r="I139" s="8">
        <v>0</v>
      </c>
      <c r="J139" s="8"/>
      <c r="K139" s="8">
        <v>2878105</v>
      </c>
      <c r="L139" s="8"/>
      <c r="M139" s="8">
        <v>3108733</v>
      </c>
      <c r="N139" s="8"/>
      <c r="O139" s="8">
        <v>0</v>
      </c>
      <c r="P139" s="8"/>
      <c r="Q139" s="8">
        <v>46098</v>
      </c>
      <c r="R139" s="8"/>
      <c r="S139" s="8">
        <v>0</v>
      </c>
      <c r="T139" s="8"/>
      <c r="U139" s="8">
        <v>2243667</v>
      </c>
      <c r="V139" s="8"/>
      <c r="W139" s="8">
        <f t="shared" si="19"/>
        <v>2289765</v>
      </c>
      <c r="X139" s="8"/>
      <c r="Y139" s="7">
        <f t="shared" si="20"/>
        <v>0</v>
      </c>
      <c r="Z139" s="7">
        <f t="shared" si="21"/>
        <v>0</v>
      </c>
    </row>
    <row r="140" spans="1:26" s="9" customFormat="1" ht="12.75" customHeight="1" x14ac:dyDescent="0.2">
      <c r="A140" s="7" t="s">
        <v>150</v>
      </c>
      <c r="B140" s="14"/>
      <c r="C140" s="7" t="s">
        <v>151</v>
      </c>
      <c r="D140" s="6"/>
      <c r="E140" s="8">
        <v>3794714</v>
      </c>
      <c r="F140" s="8"/>
      <c r="G140" s="8">
        <v>10705314</v>
      </c>
      <c r="H140" s="8"/>
      <c r="I140" s="8">
        <v>0</v>
      </c>
      <c r="J140" s="8"/>
      <c r="K140" s="8">
        <v>4795824</v>
      </c>
      <c r="L140" s="8"/>
      <c r="M140" s="8">
        <v>5205852</v>
      </c>
      <c r="N140" s="8"/>
      <c r="O140" s="8">
        <v>0</v>
      </c>
      <c r="P140" s="8"/>
      <c r="Q140" s="8">
        <f>42725+129750</f>
        <v>172475</v>
      </c>
      <c r="R140" s="8"/>
      <c r="S140" s="8">
        <f>4659+4842</f>
        <v>9501</v>
      </c>
      <c r="T140" s="8"/>
      <c r="U140" s="8">
        <v>5317486</v>
      </c>
      <c r="V140" s="8"/>
      <c r="W140" s="8">
        <f t="shared" si="19"/>
        <v>5499462</v>
      </c>
      <c r="X140" s="8"/>
      <c r="Y140" s="7">
        <f t="shared" si="20"/>
        <v>0</v>
      </c>
      <c r="Z140" s="7">
        <f t="shared" si="21"/>
        <v>0</v>
      </c>
    </row>
    <row r="141" spans="1:26" ht="12.75" customHeight="1" x14ac:dyDescent="0.2">
      <c r="A141" s="7" t="s">
        <v>152</v>
      </c>
      <c r="C141" s="7" t="s">
        <v>25</v>
      </c>
      <c r="D141" s="6"/>
      <c r="E141" s="8">
        <v>0</v>
      </c>
      <c r="F141" s="8"/>
      <c r="G141" s="8">
        <v>7886539</v>
      </c>
      <c r="H141" s="8"/>
      <c r="I141" s="8">
        <v>0</v>
      </c>
      <c r="J141" s="8"/>
      <c r="K141" s="8">
        <v>0</v>
      </c>
      <c r="L141" s="8"/>
      <c r="M141" s="8">
        <v>1001422</v>
      </c>
      <c r="N141" s="8"/>
      <c r="O141" s="8">
        <v>6858000</v>
      </c>
      <c r="P141" s="8"/>
      <c r="Q141" s="8">
        <v>153279</v>
      </c>
      <c r="R141" s="8"/>
      <c r="S141" s="8">
        <v>39226</v>
      </c>
      <c r="T141" s="8"/>
      <c r="U141" s="8">
        <v>-165388</v>
      </c>
      <c r="V141" s="8"/>
      <c r="W141" s="8">
        <f t="shared" si="19"/>
        <v>27117</v>
      </c>
      <c r="X141" s="8"/>
      <c r="Y141" s="7">
        <f t="shared" si="20"/>
        <v>6858000</v>
      </c>
      <c r="Z141" s="7">
        <f t="shared" si="21"/>
        <v>0</v>
      </c>
    </row>
    <row r="142" spans="1:26" ht="12.75" customHeight="1" x14ac:dyDescent="0.2">
      <c r="A142" s="7" t="s">
        <v>153</v>
      </c>
      <c r="B142" s="7"/>
      <c r="C142" s="7" t="s">
        <v>38</v>
      </c>
      <c r="D142" s="6"/>
      <c r="E142" s="8">
        <f>1959983+38088+13809</f>
        <v>2011880</v>
      </c>
      <c r="F142" s="8"/>
      <c r="G142" s="8">
        <v>3778256</v>
      </c>
      <c r="H142" s="8"/>
      <c r="I142" s="8">
        <v>0</v>
      </c>
      <c r="J142" s="8"/>
      <c r="K142" s="8">
        <v>0</v>
      </c>
      <c r="L142" s="8"/>
      <c r="M142" s="8">
        <v>846874</v>
      </c>
      <c r="N142" s="8"/>
      <c r="O142" s="8">
        <v>733290</v>
      </c>
      <c r="P142" s="8"/>
      <c r="Q142" s="8">
        <v>106577</v>
      </c>
      <c r="R142" s="8"/>
      <c r="S142" s="8">
        <v>785851</v>
      </c>
      <c r="T142" s="8"/>
      <c r="U142" s="8">
        <v>1305664</v>
      </c>
      <c r="V142" s="8"/>
      <c r="W142" s="8">
        <f t="shared" si="19"/>
        <v>2198092</v>
      </c>
      <c r="X142" s="8"/>
      <c r="Y142" s="7">
        <f t="shared" si="20"/>
        <v>733290</v>
      </c>
      <c r="Z142" s="7">
        <f t="shared" si="21"/>
        <v>0</v>
      </c>
    </row>
    <row r="143" spans="1:26" ht="12.75" customHeight="1" x14ac:dyDescent="0.2">
      <c r="A143" s="7" t="s">
        <v>154</v>
      </c>
      <c r="C143" s="7" t="s">
        <v>154</v>
      </c>
      <c r="D143" s="6"/>
      <c r="E143" s="8">
        <v>436871</v>
      </c>
      <c r="F143" s="8"/>
      <c r="G143" s="8">
        <v>6483528</v>
      </c>
      <c r="H143" s="8"/>
      <c r="I143" s="8">
        <v>0</v>
      </c>
      <c r="J143" s="8"/>
      <c r="K143" s="8">
        <v>0</v>
      </c>
      <c r="L143" s="8"/>
      <c r="M143" s="8">
        <v>2993412</v>
      </c>
      <c r="N143" s="8"/>
      <c r="O143" s="8">
        <v>4052283</v>
      </c>
      <c r="P143" s="8"/>
      <c r="Q143" s="8">
        <v>58799</v>
      </c>
      <c r="R143" s="8"/>
      <c r="S143" s="8">
        <f>464+170522</f>
        <v>170986</v>
      </c>
      <c r="T143" s="8"/>
      <c r="U143" s="8">
        <v>-791952</v>
      </c>
      <c r="V143" s="8"/>
      <c r="W143" s="8">
        <f t="shared" si="19"/>
        <v>-562167</v>
      </c>
      <c r="X143" s="8"/>
      <c r="Y143" s="7">
        <f t="shared" si="20"/>
        <v>4052283</v>
      </c>
      <c r="Z143" s="7">
        <f t="shared" si="21"/>
        <v>0</v>
      </c>
    </row>
    <row r="144" spans="1:26" ht="12.75" customHeight="1" x14ac:dyDescent="0.2">
      <c r="A144" s="7" t="s">
        <v>155</v>
      </c>
      <c r="C144" s="7" t="s">
        <v>31</v>
      </c>
      <c r="D144" s="6"/>
      <c r="E144" s="8">
        <v>540468</v>
      </c>
      <c r="F144" s="8"/>
      <c r="G144" s="8">
        <v>1458033</v>
      </c>
      <c r="H144" s="8"/>
      <c r="I144" s="8">
        <v>0</v>
      </c>
      <c r="J144" s="8"/>
      <c r="K144" s="8">
        <v>611168</v>
      </c>
      <c r="L144" s="8"/>
      <c r="M144" s="8">
        <v>773998</v>
      </c>
      <c r="N144" s="8"/>
      <c r="O144" s="8">
        <v>0</v>
      </c>
      <c r="P144" s="8"/>
      <c r="Q144" s="8">
        <v>22958</v>
      </c>
      <c r="R144" s="8"/>
      <c r="S144" s="8">
        <v>657192</v>
      </c>
      <c r="T144" s="8"/>
      <c r="U144" s="8">
        <v>3885</v>
      </c>
      <c r="V144" s="8"/>
      <c r="W144" s="8">
        <f t="shared" si="19"/>
        <v>684035</v>
      </c>
      <c r="X144" s="8"/>
      <c r="Y144" s="7">
        <f t="shared" si="20"/>
        <v>0</v>
      </c>
      <c r="Z144" s="7">
        <f t="shared" si="21"/>
        <v>0</v>
      </c>
    </row>
    <row r="145" spans="1:26" ht="12.75" customHeight="1" x14ac:dyDescent="0.2">
      <c r="A145" s="7" t="s">
        <v>156</v>
      </c>
      <c r="C145" s="7" t="s">
        <v>157</v>
      </c>
      <c r="D145" s="6"/>
      <c r="E145" s="8">
        <f>5689198+87094</f>
        <v>5776292</v>
      </c>
      <c r="F145" s="8"/>
      <c r="G145" s="8">
        <v>11746127</v>
      </c>
      <c r="H145" s="8"/>
      <c r="I145" s="8">
        <v>0</v>
      </c>
      <c r="J145" s="8"/>
      <c r="K145" s="8">
        <v>0</v>
      </c>
      <c r="L145" s="8"/>
      <c r="M145" s="8">
        <v>587039</v>
      </c>
      <c r="N145" s="8"/>
      <c r="O145" s="8">
        <v>3924584</v>
      </c>
      <c r="P145" s="8"/>
      <c r="Q145" s="8">
        <v>106725</v>
      </c>
      <c r="R145" s="8"/>
      <c r="S145" s="8">
        <f>38335+377780</f>
        <v>416115</v>
      </c>
      <c r="T145" s="8"/>
      <c r="U145" s="8">
        <v>6711664</v>
      </c>
      <c r="V145" s="8"/>
      <c r="W145" s="8">
        <f t="shared" si="19"/>
        <v>7234504</v>
      </c>
      <c r="X145" s="8"/>
      <c r="Y145" s="7">
        <f t="shared" si="20"/>
        <v>3924584</v>
      </c>
      <c r="Z145" s="7">
        <f t="shared" si="21"/>
        <v>0</v>
      </c>
    </row>
    <row r="146" spans="1:26" s="9" customFormat="1" ht="12.75" customHeight="1" x14ac:dyDescent="0.2">
      <c r="A146" s="9" t="s">
        <v>158</v>
      </c>
      <c r="B146" s="21"/>
      <c r="C146" s="9" t="s">
        <v>109</v>
      </c>
      <c r="D146" s="19"/>
      <c r="E146" s="8">
        <v>30736707</v>
      </c>
      <c r="F146" s="8"/>
      <c r="G146" s="8">
        <v>44003005</v>
      </c>
      <c r="H146" s="8"/>
      <c r="I146" s="8">
        <v>0</v>
      </c>
      <c r="J146" s="8"/>
      <c r="K146" s="8">
        <v>3942777</v>
      </c>
      <c r="L146" s="8"/>
      <c r="M146" s="8">
        <v>13597562</v>
      </c>
      <c r="N146" s="8"/>
      <c r="O146" s="8">
        <v>0</v>
      </c>
      <c r="P146" s="8"/>
      <c r="Q146" s="8">
        <v>282460</v>
      </c>
      <c r="R146" s="8"/>
      <c r="S146" s="8">
        <v>22788806</v>
      </c>
      <c r="T146" s="8"/>
      <c r="U146" s="8">
        <v>7334177</v>
      </c>
      <c r="V146" s="8"/>
      <c r="W146" s="8">
        <f t="shared" si="19"/>
        <v>30405443</v>
      </c>
      <c r="X146" s="8"/>
      <c r="Y146" s="7">
        <f t="shared" si="20"/>
        <v>0</v>
      </c>
      <c r="Z146" s="7">
        <f t="shared" si="21"/>
        <v>0</v>
      </c>
    </row>
    <row r="147" spans="1:26" ht="12.75" customHeight="1" x14ac:dyDescent="0.2">
      <c r="A147" s="7" t="s">
        <v>159</v>
      </c>
      <c r="B147" s="7"/>
      <c r="C147" s="7" t="s">
        <v>13</v>
      </c>
      <c r="D147" s="6"/>
      <c r="E147" s="8">
        <f>98395+20430</f>
        <v>118825</v>
      </c>
      <c r="F147" s="8"/>
      <c r="G147" s="8">
        <v>4628553</v>
      </c>
      <c r="H147" s="8"/>
      <c r="I147" s="8">
        <v>0</v>
      </c>
      <c r="J147" s="8"/>
      <c r="K147" s="8">
        <v>0</v>
      </c>
      <c r="L147" s="8"/>
      <c r="M147" s="8">
        <v>2828689</v>
      </c>
      <c r="N147" s="8"/>
      <c r="O147" s="8">
        <v>2488284</v>
      </c>
      <c r="P147" s="8"/>
      <c r="Q147" s="8">
        <v>102736</v>
      </c>
      <c r="R147" s="8"/>
      <c r="S147" s="8">
        <v>28531</v>
      </c>
      <c r="T147" s="8"/>
      <c r="U147" s="8">
        <v>-819687</v>
      </c>
      <c r="V147" s="8"/>
      <c r="W147" s="8">
        <f t="shared" si="19"/>
        <v>-688420</v>
      </c>
      <c r="X147" s="8"/>
      <c r="Y147" s="7">
        <f t="shared" si="20"/>
        <v>2488284</v>
      </c>
      <c r="Z147" s="7">
        <f t="shared" si="21"/>
        <v>0</v>
      </c>
    </row>
    <row r="148" spans="1:26" ht="12.75" customHeight="1" x14ac:dyDescent="0.2">
      <c r="A148" s="7" t="s">
        <v>160</v>
      </c>
      <c r="C148" s="7" t="s">
        <v>161</v>
      </c>
      <c r="D148" s="6"/>
      <c r="E148" s="8">
        <f>335912+10918117</f>
        <v>11254029</v>
      </c>
      <c r="F148" s="8"/>
      <c r="G148" s="8">
        <v>15837227</v>
      </c>
      <c r="H148" s="8"/>
      <c r="I148" s="8">
        <v>0</v>
      </c>
      <c r="J148" s="8"/>
      <c r="K148" s="8">
        <v>0</v>
      </c>
      <c r="L148" s="8"/>
      <c r="M148" s="8">
        <v>1225908</v>
      </c>
      <c r="N148" s="8"/>
      <c r="O148" s="8">
        <v>1779299</v>
      </c>
      <c r="P148" s="8"/>
      <c r="Q148" s="8">
        <v>148678</v>
      </c>
      <c r="R148" s="8"/>
      <c r="S148" s="8">
        <f>200+107792</f>
        <v>107992</v>
      </c>
      <c r="T148" s="8"/>
      <c r="U148" s="8">
        <v>12575350</v>
      </c>
      <c r="V148" s="8"/>
      <c r="W148" s="8">
        <f t="shared" si="19"/>
        <v>12832020</v>
      </c>
      <c r="X148" s="8"/>
      <c r="Y148" s="7">
        <f t="shared" si="20"/>
        <v>1779299</v>
      </c>
      <c r="Z148" s="7">
        <f t="shared" si="21"/>
        <v>0</v>
      </c>
    </row>
    <row r="149" spans="1:26" ht="12.75" customHeight="1" x14ac:dyDescent="0.2">
      <c r="A149" s="7" t="s">
        <v>162</v>
      </c>
      <c r="C149" s="7" t="s">
        <v>25</v>
      </c>
      <c r="D149" s="6"/>
      <c r="E149" s="8">
        <f>102526+9179345</f>
        <v>9281871</v>
      </c>
      <c r="F149" s="8"/>
      <c r="G149" s="8">
        <v>18425631</v>
      </c>
      <c r="H149" s="8"/>
      <c r="I149" s="8">
        <v>0</v>
      </c>
      <c r="J149" s="8"/>
      <c r="K149" s="8">
        <v>0</v>
      </c>
      <c r="L149" s="8"/>
      <c r="M149" s="8">
        <v>813782</v>
      </c>
      <c r="N149" s="8"/>
      <c r="O149" s="8">
        <v>5976524</v>
      </c>
      <c r="P149" s="8"/>
      <c r="Q149" s="8">
        <v>147004</v>
      </c>
      <c r="R149" s="8"/>
      <c r="S149" s="8">
        <f>315163+594840</f>
        <v>910003</v>
      </c>
      <c r="T149" s="8"/>
      <c r="U149" s="8">
        <v>10578318</v>
      </c>
      <c r="V149" s="8"/>
      <c r="W149" s="8">
        <f t="shared" si="19"/>
        <v>11635325</v>
      </c>
      <c r="X149" s="8"/>
      <c r="Y149" s="7">
        <f t="shared" si="20"/>
        <v>5976524</v>
      </c>
      <c r="Z149" s="7">
        <f t="shared" si="21"/>
        <v>0</v>
      </c>
    </row>
    <row r="150" spans="1:26" ht="12.75" customHeight="1" x14ac:dyDescent="0.2">
      <c r="A150" s="7" t="s">
        <v>51</v>
      </c>
      <c r="C150" s="7" t="s">
        <v>51</v>
      </c>
      <c r="D150" s="6"/>
      <c r="E150" s="8">
        <v>6930537</v>
      </c>
      <c r="F150" s="8"/>
      <c r="G150" s="8">
        <v>13637333</v>
      </c>
      <c r="H150" s="8"/>
      <c r="I150" s="8">
        <v>0</v>
      </c>
      <c r="J150" s="8"/>
      <c r="K150" s="8">
        <v>1850920</v>
      </c>
      <c r="L150" s="8"/>
      <c r="M150" s="8">
        <v>2306128</v>
      </c>
      <c r="N150" s="8"/>
      <c r="O150" s="8">
        <v>0</v>
      </c>
      <c r="P150" s="8"/>
      <c r="Q150" s="8">
        <v>20178</v>
      </c>
      <c r="R150" s="8"/>
      <c r="S150" s="8">
        <v>2010772</v>
      </c>
      <c r="T150" s="8"/>
      <c r="U150" s="8">
        <v>9300255</v>
      </c>
      <c r="V150" s="8"/>
      <c r="W150" s="8">
        <f t="shared" si="19"/>
        <v>11331205</v>
      </c>
      <c r="X150" s="8"/>
      <c r="Y150" s="7">
        <f t="shared" si="20"/>
        <v>0</v>
      </c>
      <c r="Z150" s="7">
        <f t="shared" si="21"/>
        <v>0</v>
      </c>
    </row>
    <row r="151" spans="1:26" ht="12.75" customHeight="1" x14ac:dyDescent="0.2">
      <c r="A151" s="7" t="s">
        <v>163</v>
      </c>
      <c r="C151" s="7" t="s">
        <v>90</v>
      </c>
      <c r="D151" s="6"/>
      <c r="E151" s="8">
        <v>21093805</v>
      </c>
      <c r="F151" s="8"/>
      <c r="G151" s="8">
        <v>36179762</v>
      </c>
      <c r="H151" s="8"/>
      <c r="I151" s="8">
        <v>0</v>
      </c>
      <c r="J151" s="8"/>
      <c r="K151" s="8">
        <v>0</v>
      </c>
      <c r="L151" s="8"/>
      <c r="M151" s="8">
        <v>3068215</v>
      </c>
      <c r="N151" s="8"/>
      <c r="O151" s="8">
        <v>4228226</v>
      </c>
      <c r="P151" s="8"/>
      <c r="Q151" s="8">
        <v>633531</v>
      </c>
      <c r="R151" s="8"/>
      <c r="S151" s="8">
        <f>2245778+8366041</f>
        <v>10611819</v>
      </c>
      <c r="T151" s="8"/>
      <c r="U151" s="8">
        <v>17637971</v>
      </c>
      <c r="V151" s="8"/>
      <c r="W151" s="8">
        <f t="shared" si="19"/>
        <v>28883321</v>
      </c>
      <c r="X151" s="8"/>
      <c r="Y151" s="7">
        <f t="shared" si="20"/>
        <v>4228226</v>
      </c>
      <c r="Z151" s="7">
        <f t="shared" si="21"/>
        <v>0</v>
      </c>
    </row>
    <row r="152" spans="1:26" ht="12.75" customHeight="1" x14ac:dyDescent="0.2">
      <c r="A152" s="7" t="s">
        <v>164</v>
      </c>
      <c r="C152" s="7" t="s">
        <v>90</v>
      </c>
      <c r="D152" s="6"/>
      <c r="E152" s="8">
        <v>585981</v>
      </c>
      <c r="F152" s="8"/>
      <c r="G152" s="8">
        <v>1290592</v>
      </c>
      <c r="H152" s="8"/>
      <c r="I152" s="8">
        <v>0</v>
      </c>
      <c r="J152" s="8"/>
      <c r="K152" s="8">
        <v>0</v>
      </c>
      <c r="L152" s="8"/>
      <c r="M152" s="8">
        <v>237607</v>
      </c>
      <c r="N152" s="8"/>
      <c r="O152" s="8">
        <v>592521</v>
      </c>
      <c r="P152" s="8"/>
      <c r="Q152" s="8">
        <v>9760</v>
      </c>
      <c r="R152" s="8"/>
      <c r="S152" s="8">
        <f>19589+350113</f>
        <v>369702</v>
      </c>
      <c r="T152" s="8"/>
      <c r="U152" s="8">
        <v>81002</v>
      </c>
      <c r="V152" s="8"/>
      <c r="W152" s="8">
        <f t="shared" si="19"/>
        <v>460464</v>
      </c>
      <c r="X152" s="8"/>
      <c r="Y152" s="7">
        <f t="shared" si="20"/>
        <v>592521</v>
      </c>
      <c r="Z152" s="7">
        <f t="shared" si="21"/>
        <v>0</v>
      </c>
    </row>
    <row r="153" spans="1:26" ht="12.75" customHeight="1" x14ac:dyDescent="0.2">
      <c r="A153" s="7" t="s">
        <v>165</v>
      </c>
      <c r="C153" s="7" t="s">
        <v>64</v>
      </c>
      <c r="D153" s="6"/>
      <c r="E153" s="8">
        <f>5629159+67416</f>
        <v>5696575</v>
      </c>
      <c r="F153" s="8"/>
      <c r="G153" s="8">
        <v>13437480</v>
      </c>
      <c r="H153" s="8"/>
      <c r="I153" s="8">
        <v>0</v>
      </c>
      <c r="J153" s="8"/>
      <c r="K153" s="8">
        <v>0</v>
      </c>
      <c r="L153" s="8"/>
      <c r="M153" s="8">
        <v>1086002</v>
      </c>
      <c r="N153" s="8"/>
      <c r="O153" s="8">
        <v>2921679</v>
      </c>
      <c r="P153" s="8"/>
      <c r="Q153" s="8">
        <v>167091</v>
      </c>
      <c r="R153" s="8"/>
      <c r="S153" s="8">
        <f>130787+3719511</f>
        <v>3850298</v>
      </c>
      <c r="T153" s="8"/>
      <c r="U153" s="8">
        <v>5412410</v>
      </c>
      <c r="V153" s="8"/>
      <c r="W153" s="8">
        <f t="shared" si="19"/>
        <v>9429799</v>
      </c>
      <c r="X153" s="8"/>
      <c r="Y153" s="7">
        <f t="shared" si="20"/>
        <v>2921679</v>
      </c>
      <c r="Z153" s="7">
        <f t="shared" si="21"/>
        <v>0</v>
      </c>
    </row>
    <row r="154" spans="1:26" ht="12.75" customHeight="1" x14ac:dyDescent="0.2">
      <c r="A154" s="7" t="s">
        <v>166</v>
      </c>
      <c r="C154" s="7" t="s">
        <v>25</v>
      </c>
      <c r="D154" s="6"/>
      <c r="E154" s="8">
        <v>4210815</v>
      </c>
      <c r="F154" s="8"/>
      <c r="G154" s="8">
        <v>10046485</v>
      </c>
      <c r="H154" s="8"/>
      <c r="I154" s="8">
        <v>0</v>
      </c>
      <c r="J154" s="8"/>
      <c r="K154" s="8">
        <v>0</v>
      </c>
      <c r="L154" s="8"/>
      <c r="M154" s="8">
        <v>1013361</v>
      </c>
      <c r="N154" s="8"/>
      <c r="O154" s="8">
        <v>2872876</v>
      </c>
      <c r="P154" s="8"/>
      <c r="Q154" s="8">
        <v>171906</v>
      </c>
      <c r="R154" s="8"/>
      <c r="S154" s="8">
        <v>415065</v>
      </c>
      <c r="T154" s="8"/>
      <c r="U154" s="8">
        <v>5573277</v>
      </c>
      <c r="V154" s="8"/>
      <c r="W154" s="8">
        <f t="shared" si="19"/>
        <v>6160248</v>
      </c>
      <c r="X154" s="8"/>
      <c r="Y154" s="7">
        <f t="shared" si="20"/>
        <v>2872876</v>
      </c>
      <c r="Z154" s="7">
        <f t="shared" si="21"/>
        <v>0</v>
      </c>
    </row>
    <row r="155" spans="1:26" ht="12.75" customHeight="1" x14ac:dyDescent="0.2">
      <c r="A155" s="7" t="s">
        <v>167</v>
      </c>
      <c r="C155" s="7" t="s">
        <v>101</v>
      </c>
      <c r="D155" s="6"/>
      <c r="E155" s="8">
        <v>8408999</v>
      </c>
      <c r="F155" s="8"/>
      <c r="G155" s="8">
        <v>20010956</v>
      </c>
      <c r="H155" s="8"/>
      <c r="I155" s="8">
        <v>0</v>
      </c>
      <c r="J155" s="8"/>
      <c r="K155" s="8">
        <v>6620837</v>
      </c>
      <c r="L155" s="8"/>
      <c r="M155" s="8">
        <v>8745016</v>
      </c>
      <c r="N155" s="8"/>
      <c r="O155" s="8">
        <v>0</v>
      </c>
      <c r="P155" s="8"/>
      <c r="Q155" s="8">
        <f>2126910+612365</f>
        <v>2739275</v>
      </c>
      <c r="R155" s="8"/>
      <c r="S155" s="8">
        <f>491848+352480</f>
        <v>844328</v>
      </c>
      <c r="T155" s="8"/>
      <c r="U155" s="8">
        <v>7682337</v>
      </c>
      <c r="V155" s="8"/>
      <c r="W155" s="8">
        <f t="shared" si="19"/>
        <v>11265940</v>
      </c>
      <c r="X155" s="8"/>
      <c r="Y155" s="7">
        <f t="shared" si="20"/>
        <v>0</v>
      </c>
      <c r="Z155" s="7">
        <f t="shared" si="21"/>
        <v>0</v>
      </c>
    </row>
    <row r="156" spans="1:26" ht="12.75" customHeight="1" x14ac:dyDescent="0.2">
      <c r="A156" s="7" t="s">
        <v>168</v>
      </c>
      <c r="B156" s="7"/>
      <c r="C156" s="7" t="s">
        <v>169</v>
      </c>
      <c r="D156" s="6"/>
      <c r="E156" s="8">
        <v>3815656</v>
      </c>
      <c r="F156" s="8"/>
      <c r="G156" s="8">
        <v>4875129</v>
      </c>
      <c r="H156" s="8"/>
      <c r="I156" s="8">
        <v>0</v>
      </c>
      <c r="J156" s="8"/>
      <c r="K156" s="8">
        <v>0</v>
      </c>
      <c r="L156" s="8"/>
      <c r="M156" s="8">
        <v>779734</v>
      </c>
      <c r="N156" s="8"/>
      <c r="O156" s="8">
        <v>410817</v>
      </c>
      <c r="P156" s="8"/>
      <c r="Q156" s="8">
        <v>0</v>
      </c>
      <c r="R156" s="8"/>
      <c r="S156" s="8">
        <f>63169+4771</f>
        <v>67940</v>
      </c>
      <c r="T156" s="8"/>
      <c r="U156" s="8">
        <v>3616638</v>
      </c>
      <c r="V156" s="8"/>
      <c r="W156" s="8">
        <f t="shared" si="19"/>
        <v>3684578</v>
      </c>
      <c r="X156" s="8"/>
      <c r="Y156" s="7">
        <f t="shared" si="20"/>
        <v>410817</v>
      </c>
      <c r="Z156" s="7">
        <f t="shared" si="21"/>
        <v>0</v>
      </c>
    </row>
    <row r="157" spans="1:26" ht="12.75" customHeight="1" x14ac:dyDescent="0.2">
      <c r="A157" s="7" t="s">
        <v>170</v>
      </c>
      <c r="C157" s="7" t="s">
        <v>101</v>
      </c>
      <c r="D157" s="6"/>
      <c r="E157" s="8">
        <v>7994726</v>
      </c>
      <c r="F157" s="8"/>
      <c r="G157" s="8">
        <v>10274369</v>
      </c>
      <c r="H157" s="8"/>
      <c r="I157" s="8">
        <v>0</v>
      </c>
      <c r="J157" s="8"/>
      <c r="K157" s="8">
        <v>1420253</v>
      </c>
      <c r="L157" s="8"/>
      <c r="M157" s="8">
        <v>1577055</v>
      </c>
      <c r="N157" s="8"/>
      <c r="O157" s="8">
        <v>0</v>
      </c>
      <c r="P157" s="8"/>
      <c r="Q157" s="8">
        <v>35000</v>
      </c>
      <c r="R157" s="8"/>
      <c r="S157" s="8">
        <v>865127</v>
      </c>
      <c r="T157" s="8"/>
      <c r="U157" s="8">
        <v>7797187</v>
      </c>
      <c r="V157" s="8"/>
      <c r="W157" s="8">
        <f t="shared" si="19"/>
        <v>8697314</v>
      </c>
      <c r="X157" s="8"/>
      <c r="Y157" s="7">
        <f t="shared" si="20"/>
        <v>0</v>
      </c>
      <c r="Z157" s="7">
        <f t="shared" si="21"/>
        <v>0</v>
      </c>
    </row>
    <row r="158" spans="1:26" ht="12.75" customHeight="1" x14ac:dyDescent="0.2">
      <c r="A158" s="7" t="s">
        <v>64</v>
      </c>
      <c r="C158" s="7" t="s">
        <v>43</v>
      </c>
      <c r="D158" s="6"/>
      <c r="E158" s="8">
        <f>3641523+10488412</f>
        <v>14129935</v>
      </c>
      <c r="F158" s="8"/>
      <c r="G158" s="8">
        <v>17740184</v>
      </c>
      <c r="H158" s="8"/>
      <c r="I158" s="8">
        <v>0</v>
      </c>
      <c r="J158" s="8"/>
      <c r="K158" s="8">
        <v>0</v>
      </c>
      <c r="L158" s="8"/>
      <c r="M158" s="8">
        <v>498602</v>
      </c>
      <c r="N158" s="8"/>
      <c r="O158" s="8">
        <v>2256771</v>
      </c>
      <c r="P158" s="8"/>
      <c r="Q158" s="8">
        <v>31759</v>
      </c>
      <c r="R158" s="8"/>
      <c r="S158" s="8">
        <v>213241</v>
      </c>
      <c r="T158" s="8"/>
      <c r="U158" s="8">
        <v>14739811</v>
      </c>
      <c r="V158" s="8"/>
      <c r="W158" s="8">
        <f t="shared" si="19"/>
        <v>14984811</v>
      </c>
      <c r="X158" s="8"/>
      <c r="Y158" s="7">
        <f t="shared" si="20"/>
        <v>2256771</v>
      </c>
      <c r="Z158" s="7">
        <f t="shared" si="21"/>
        <v>0</v>
      </c>
    </row>
    <row r="159" spans="1:26" ht="12.75" customHeight="1" x14ac:dyDescent="0.2">
      <c r="A159" s="7" t="s">
        <v>171</v>
      </c>
      <c r="C159" s="7" t="s">
        <v>64</v>
      </c>
      <c r="D159" s="6"/>
      <c r="E159" s="8">
        <v>1819879</v>
      </c>
      <c r="F159" s="8"/>
      <c r="G159" s="8">
        <v>5131505</v>
      </c>
      <c r="H159" s="8"/>
      <c r="I159" s="8">
        <v>0</v>
      </c>
      <c r="J159" s="8"/>
      <c r="K159" s="8">
        <v>0</v>
      </c>
      <c r="L159" s="8"/>
      <c r="M159" s="8">
        <v>863063</v>
      </c>
      <c r="N159" s="8"/>
      <c r="O159" s="8">
        <v>1482635</v>
      </c>
      <c r="P159" s="8"/>
      <c r="Q159" s="8">
        <f>7279+80874</f>
        <v>88153</v>
      </c>
      <c r="R159" s="8"/>
      <c r="S159" s="8">
        <f>809852+566469+343304</f>
        <v>1719625</v>
      </c>
      <c r="T159" s="8"/>
      <c r="U159" s="8">
        <v>978029</v>
      </c>
      <c r="V159" s="8"/>
      <c r="W159" s="8">
        <f t="shared" si="19"/>
        <v>2785807</v>
      </c>
      <c r="X159" s="8"/>
      <c r="Y159" s="7">
        <f t="shared" si="20"/>
        <v>1482635</v>
      </c>
      <c r="Z159" s="7">
        <f t="shared" si="21"/>
        <v>0</v>
      </c>
    </row>
    <row r="160" spans="1:26" ht="12.75" customHeight="1" x14ac:dyDescent="0.2">
      <c r="A160" s="7" t="s">
        <v>172</v>
      </c>
      <c r="B160" s="7"/>
      <c r="C160" s="7" t="s">
        <v>43</v>
      </c>
      <c r="D160" s="6"/>
      <c r="E160" s="8">
        <v>522941</v>
      </c>
      <c r="F160" s="8"/>
      <c r="G160" s="8">
        <v>1616844</v>
      </c>
      <c r="H160" s="8"/>
      <c r="I160" s="8">
        <v>0</v>
      </c>
      <c r="J160" s="8"/>
      <c r="K160" s="8">
        <v>914585</v>
      </c>
      <c r="L160" s="8"/>
      <c r="M160" s="8">
        <v>1130858</v>
      </c>
      <c r="N160" s="8"/>
      <c r="O160" s="8">
        <v>0</v>
      </c>
      <c r="P160" s="8"/>
      <c r="Q160" s="8">
        <v>0</v>
      </c>
      <c r="R160" s="8"/>
      <c r="S160" s="8">
        <v>500</v>
      </c>
      <c r="T160" s="8"/>
      <c r="U160" s="8">
        <v>485486</v>
      </c>
      <c r="V160" s="8"/>
      <c r="W160" s="8">
        <f t="shared" si="19"/>
        <v>485986</v>
      </c>
      <c r="X160" s="8"/>
      <c r="Y160" s="7">
        <f t="shared" si="20"/>
        <v>0</v>
      </c>
      <c r="Z160" s="7">
        <f t="shared" si="21"/>
        <v>0</v>
      </c>
    </row>
    <row r="161" spans="1:26" ht="12.75" customHeight="1" x14ac:dyDescent="0.2">
      <c r="A161" s="7" t="s">
        <v>173</v>
      </c>
      <c r="C161" s="7" t="s">
        <v>174</v>
      </c>
      <c r="D161" s="6"/>
      <c r="E161" s="8">
        <f>539217+2803970</f>
        <v>3343187</v>
      </c>
      <c r="F161" s="8"/>
      <c r="G161" s="8">
        <v>7526877</v>
      </c>
      <c r="H161" s="8"/>
      <c r="I161" s="8">
        <v>0</v>
      </c>
      <c r="J161" s="8"/>
      <c r="K161" s="8">
        <v>0</v>
      </c>
      <c r="L161" s="8"/>
      <c r="M161" s="8">
        <v>510495</v>
      </c>
      <c r="N161" s="8"/>
      <c r="O161" s="8">
        <v>1924534</v>
      </c>
      <c r="P161" s="8"/>
      <c r="Q161" s="8">
        <f>583+8080</f>
        <v>8663</v>
      </c>
      <c r="R161" s="8"/>
      <c r="S161" s="8">
        <f>16480+470736</f>
        <v>487216</v>
      </c>
      <c r="T161" s="8"/>
      <c r="U161" s="8">
        <v>4595969</v>
      </c>
      <c r="V161" s="8"/>
      <c r="W161" s="8">
        <f t="shared" si="19"/>
        <v>5091848</v>
      </c>
      <c r="X161" s="8"/>
      <c r="Y161" s="7">
        <f t="shared" si="20"/>
        <v>1924534</v>
      </c>
      <c r="Z161" s="7">
        <f t="shared" si="21"/>
        <v>0</v>
      </c>
    </row>
    <row r="162" spans="1:26" ht="12.75" customHeight="1" x14ac:dyDescent="0.2">
      <c r="A162" s="7" t="s">
        <v>175</v>
      </c>
      <c r="C162" s="7" t="s">
        <v>11</v>
      </c>
      <c r="D162" s="6"/>
      <c r="E162" s="8">
        <v>1731452</v>
      </c>
      <c r="F162" s="8"/>
      <c r="G162" s="8">
        <v>2404505</v>
      </c>
      <c r="H162" s="8"/>
      <c r="I162" s="8">
        <v>0</v>
      </c>
      <c r="J162" s="8"/>
      <c r="K162" s="8">
        <v>0</v>
      </c>
      <c r="L162" s="8"/>
      <c r="M162" s="8">
        <v>79152</v>
      </c>
      <c r="N162" s="8"/>
      <c r="O162" s="8">
        <v>411461</v>
      </c>
      <c r="P162" s="8"/>
      <c r="Q162" s="8">
        <v>49401</v>
      </c>
      <c r="R162" s="8"/>
      <c r="S162" s="8">
        <f>99682+41283</f>
        <v>140965</v>
      </c>
      <c r="T162" s="8"/>
      <c r="U162" s="8">
        <v>1723526</v>
      </c>
      <c r="V162" s="8"/>
      <c r="W162" s="8">
        <f t="shared" si="19"/>
        <v>1913892</v>
      </c>
      <c r="X162" s="8"/>
      <c r="Y162" s="7">
        <f t="shared" si="20"/>
        <v>411461</v>
      </c>
      <c r="Z162" s="7">
        <f t="shared" si="21"/>
        <v>0</v>
      </c>
    </row>
    <row r="163" spans="1:26" ht="12.75" customHeight="1" x14ac:dyDescent="0.2">
      <c r="A163" s="7" t="s">
        <v>176</v>
      </c>
      <c r="C163" s="7" t="s">
        <v>177</v>
      </c>
      <c r="D163" s="6"/>
      <c r="E163" s="8">
        <v>1234554</v>
      </c>
      <c r="F163" s="8"/>
      <c r="G163" s="8">
        <v>2496445</v>
      </c>
      <c r="H163" s="8"/>
      <c r="I163" s="8">
        <v>0</v>
      </c>
      <c r="J163" s="8"/>
      <c r="K163" s="8">
        <v>0</v>
      </c>
      <c r="L163" s="8"/>
      <c r="M163" s="8">
        <v>233892</v>
      </c>
      <c r="N163" s="8"/>
      <c r="O163" s="8">
        <v>404991</v>
      </c>
      <c r="P163" s="8"/>
      <c r="Q163" s="8">
        <v>4113</v>
      </c>
      <c r="R163" s="8"/>
      <c r="S163" s="8">
        <f>67235+67913</f>
        <v>135148</v>
      </c>
      <c r="T163" s="8"/>
      <c r="U163" s="8">
        <v>1718301</v>
      </c>
      <c r="V163" s="8"/>
      <c r="W163" s="8">
        <f t="shared" si="19"/>
        <v>1857562</v>
      </c>
      <c r="X163" s="8"/>
      <c r="Y163" s="7">
        <f t="shared" si="20"/>
        <v>404991</v>
      </c>
      <c r="Z163" s="7">
        <f t="shared" si="21"/>
        <v>0</v>
      </c>
    </row>
    <row r="164" spans="1:26" ht="12.75" customHeight="1" x14ac:dyDescent="0.2">
      <c r="A164" s="7" t="s">
        <v>178</v>
      </c>
      <c r="C164" s="7" t="s">
        <v>18</v>
      </c>
      <c r="D164" s="6"/>
      <c r="E164" s="8">
        <f>1227451+20362</f>
        <v>1247813</v>
      </c>
      <c r="F164" s="8"/>
      <c r="G164" s="8">
        <v>1873725</v>
      </c>
      <c r="H164" s="8"/>
      <c r="I164" s="8">
        <v>0</v>
      </c>
      <c r="J164" s="8"/>
      <c r="K164" s="8">
        <v>0</v>
      </c>
      <c r="L164" s="8"/>
      <c r="M164" s="8">
        <v>88966</v>
      </c>
      <c r="N164" s="8"/>
      <c r="O164" s="8">
        <v>521400</v>
      </c>
      <c r="P164" s="8"/>
      <c r="Q164" s="8">
        <f>21030+20362</f>
        <v>41392</v>
      </c>
      <c r="R164" s="8"/>
      <c r="S164" s="8">
        <v>502784</v>
      </c>
      <c r="T164" s="8"/>
      <c r="U164" s="8">
        <v>719183</v>
      </c>
      <c r="V164" s="8"/>
      <c r="W164" s="8">
        <f t="shared" si="19"/>
        <v>1263359</v>
      </c>
      <c r="X164" s="8"/>
      <c r="Y164" s="7">
        <f t="shared" si="20"/>
        <v>521400</v>
      </c>
      <c r="Z164" s="7">
        <f t="shared" si="21"/>
        <v>0</v>
      </c>
    </row>
    <row r="165" spans="1:26" ht="12.75" customHeight="1" x14ac:dyDescent="0.2">
      <c r="A165" s="7" t="s">
        <v>495</v>
      </c>
      <c r="B165" s="10"/>
      <c r="C165" s="7" t="s">
        <v>41</v>
      </c>
      <c r="D165" s="6"/>
      <c r="E165" s="8">
        <f>8027934+116635</f>
        <v>8144569</v>
      </c>
      <c r="F165" s="8"/>
      <c r="G165" s="8">
        <v>13644726</v>
      </c>
      <c r="H165" s="8"/>
      <c r="I165" s="8">
        <v>0</v>
      </c>
      <c r="J165" s="8"/>
      <c r="K165" s="8">
        <v>0</v>
      </c>
      <c r="L165" s="8"/>
      <c r="M165" s="8">
        <v>519271</v>
      </c>
      <c r="N165" s="8"/>
      <c r="O165" s="8">
        <v>2684856</v>
      </c>
      <c r="P165" s="8"/>
      <c r="Q165" s="8">
        <v>320681</v>
      </c>
      <c r="R165" s="8"/>
      <c r="S165" s="8">
        <f>164069+163823</f>
        <v>327892</v>
      </c>
      <c r="T165" s="8"/>
      <c r="U165" s="8">
        <v>9792026</v>
      </c>
      <c r="V165" s="8"/>
      <c r="W165" s="8">
        <f t="shared" si="19"/>
        <v>10440599</v>
      </c>
      <c r="X165" s="8"/>
      <c r="Y165" s="7">
        <f t="shared" si="20"/>
        <v>2684856</v>
      </c>
      <c r="Z165" s="7">
        <f t="shared" si="21"/>
        <v>0</v>
      </c>
    </row>
    <row r="166" spans="1:26" ht="12.75" customHeight="1" x14ac:dyDescent="0.2">
      <c r="A166" s="7" t="s">
        <v>180</v>
      </c>
      <c r="C166" s="7" t="s">
        <v>181</v>
      </c>
      <c r="D166" s="6"/>
      <c r="E166" s="8">
        <v>57752</v>
      </c>
      <c r="F166" s="8"/>
      <c r="G166" s="8">
        <v>1081360</v>
      </c>
      <c r="H166" s="8"/>
      <c r="I166" s="8">
        <v>0</v>
      </c>
      <c r="J166" s="8"/>
      <c r="K166" s="8">
        <v>0</v>
      </c>
      <c r="L166" s="8"/>
      <c r="M166" s="8">
        <v>35977</v>
      </c>
      <c r="N166" s="8"/>
      <c r="O166" s="8">
        <v>746624</v>
      </c>
      <c r="P166" s="8"/>
      <c r="Q166" s="8">
        <v>30810</v>
      </c>
      <c r="R166" s="8"/>
      <c r="S166" s="8">
        <f>120985+1658+24+159</f>
        <v>122826</v>
      </c>
      <c r="T166" s="8"/>
      <c r="U166" s="8">
        <v>145123</v>
      </c>
      <c r="V166" s="8"/>
      <c r="W166" s="8">
        <f t="shared" si="19"/>
        <v>298759</v>
      </c>
      <c r="X166" s="8"/>
      <c r="Y166" s="7">
        <f t="shared" si="20"/>
        <v>746624</v>
      </c>
      <c r="Z166" s="7">
        <f t="shared" si="21"/>
        <v>0</v>
      </c>
    </row>
    <row r="167" spans="1:26" ht="12.75" customHeight="1" x14ac:dyDescent="0.2">
      <c r="A167" s="7" t="s">
        <v>481</v>
      </c>
      <c r="C167" s="7" t="s">
        <v>11</v>
      </c>
      <c r="D167" s="6"/>
      <c r="E167" s="8">
        <v>637494</v>
      </c>
      <c r="F167" s="8"/>
      <c r="G167" s="8">
        <v>1477538</v>
      </c>
      <c r="H167" s="8"/>
      <c r="I167" s="8">
        <v>0</v>
      </c>
      <c r="J167" s="8"/>
      <c r="K167" s="8">
        <v>519125</v>
      </c>
      <c r="L167" s="8"/>
      <c r="M167" s="8">
        <v>562498</v>
      </c>
      <c r="N167" s="8"/>
      <c r="O167" s="8">
        <v>0</v>
      </c>
      <c r="P167" s="8"/>
      <c r="Q167" s="8">
        <v>0</v>
      </c>
      <c r="R167" s="8"/>
      <c r="S167" s="8">
        <v>167200</v>
      </c>
      <c r="T167" s="8"/>
      <c r="U167" s="8">
        <v>747840</v>
      </c>
      <c r="V167" s="8"/>
      <c r="W167" s="8">
        <f t="shared" si="19"/>
        <v>915040</v>
      </c>
      <c r="X167" s="8"/>
      <c r="Y167" s="7">
        <f t="shared" si="20"/>
        <v>0</v>
      </c>
      <c r="Z167" s="7">
        <f t="shared" si="21"/>
        <v>0</v>
      </c>
    </row>
    <row r="168" spans="1:26" ht="12.75" customHeight="1" x14ac:dyDescent="0.2">
      <c r="D168" s="6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11" t="s">
        <v>478</v>
      </c>
      <c r="X168" s="8"/>
    </row>
    <row r="169" spans="1:26" ht="12.75" customHeight="1" x14ac:dyDescent="0.2">
      <c r="A169" s="7" t="s">
        <v>182</v>
      </c>
      <c r="C169" s="7" t="s">
        <v>87</v>
      </c>
      <c r="D169" s="6"/>
      <c r="E169" s="40">
        <v>2214353</v>
      </c>
      <c r="F169" s="40"/>
      <c r="G169" s="40">
        <v>4071774</v>
      </c>
      <c r="H169" s="40"/>
      <c r="I169" s="40">
        <v>0</v>
      </c>
      <c r="J169" s="40"/>
      <c r="K169" s="40">
        <v>1239168</v>
      </c>
      <c r="L169" s="40"/>
      <c r="M169" s="40">
        <v>1505791</v>
      </c>
      <c r="N169" s="40"/>
      <c r="O169" s="40">
        <v>0</v>
      </c>
      <c r="P169" s="40"/>
      <c r="Q169" s="40">
        <v>109112</v>
      </c>
      <c r="R169" s="40"/>
      <c r="S169" s="40">
        <v>1907073</v>
      </c>
      <c r="T169" s="40"/>
      <c r="U169" s="40">
        <v>549798</v>
      </c>
      <c r="V169" s="40"/>
      <c r="W169" s="40">
        <f t="shared" ref="W169:W185" si="22">+U169+S169+Q169</f>
        <v>2565983</v>
      </c>
      <c r="X169" s="8"/>
      <c r="Y169" s="7">
        <f t="shared" ref="Y169:Y177" si="23">+G169-M169-W169</f>
        <v>0</v>
      </c>
      <c r="Z169" s="7">
        <f t="shared" ref="Z169:Z185" si="24">+G169-M169-W169+I169-O169</f>
        <v>0</v>
      </c>
    </row>
    <row r="170" spans="1:26" ht="12.75" customHeight="1" x14ac:dyDescent="0.2">
      <c r="A170" s="7" t="s">
        <v>179</v>
      </c>
      <c r="C170" s="7" t="s">
        <v>123</v>
      </c>
      <c r="D170" s="6"/>
      <c r="E170" s="8">
        <v>2383972</v>
      </c>
      <c r="F170" s="8"/>
      <c r="G170" s="8">
        <v>10450612</v>
      </c>
      <c r="H170" s="8"/>
      <c r="I170" s="8">
        <v>0</v>
      </c>
      <c r="J170" s="8"/>
      <c r="K170" s="8">
        <v>0</v>
      </c>
      <c r="L170" s="8"/>
      <c r="M170" s="8">
        <v>1649206</v>
      </c>
      <c r="N170" s="8"/>
      <c r="O170" s="8">
        <v>4880961</v>
      </c>
      <c r="P170" s="8"/>
      <c r="Q170" s="8">
        <v>117771</v>
      </c>
      <c r="R170" s="8"/>
      <c r="S170" s="8">
        <v>1300983</v>
      </c>
      <c r="T170" s="8"/>
      <c r="U170" s="8">
        <v>2501691</v>
      </c>
      <c r="V170" s="8"/>
      <c r="W170" s="8">
        <f t="shared" si="22"/>
        <v>3920445</v>
      </c>
      <c r="X170" s="8"/>
      <c r="Y170" s="7">
        <f t="shared" si="23"/>
        <v>4880961</v>
      </c>
      <c r="Z170" s="7">
        <f t="shared" si="24"/>
        <v>0</v>
      </c>
    </row>
    <row r="171" spans="1:26" ht="12.75" customHeight="1" x14ac:dyDescent="0.2">
      <c r="A171" s="7" t="s">
        <v>183</v>
      </c>
      <c r="B171" s="7"/>
      <c r="C171" s="7" t="s">
        <v>78</v>
      </c>
      <c r="D171" s="6"/>
      <c r="E171" s="8">
        <v>1502636</v>
      </c>
      <c r="F171" s="8"/>
      <c r="G171" s="8">
        <v>10400972</v>
      </c>
      <c r="H171" s="8"/>
      <c r="I171" s="8">
        <v>0</v>
      </c>
      <c r="J171" s="8"/>
      <c r="K171" s="8">
        <v>0</v>
      </c>
      <c r="L171" s="8"/>
      <c r="M171" s="8">
        <v>236175</v>
      </c>
      <c r="N171" s="8"/>
      <c r="O171" s="8">
        <v>2408487</v>
      </c>
      <c r="P171" s="8"/>
      <c r="Q171" s="8">
        <v>1109961</v>
      </c>
      <c r="R171" s="8"/>
      <c r="S171" s="8">
        <v>2887750</v>
      </c>
      <c r="T171" s="8"/>
      <c r="U171" s="8">
        <v>3758599</v>
      </c>
      <c r="V171" s="8"/>
      <c r="W171" s="8">
        <f t="shared" si="22"/>
        <v>7756310</v>
      </c>
      <c r="X171" s="8"/>
      <c r="Y171" s="7">
        <f t="shared" si="23"/>
        <v>2408487</v>
      </c>
      <c r="Z171" s="7">
        <f t="shared" si="24"/>
        <v>0</v>
      </c>
    </row>
    <row r="172" spans="1:26" ht="12.75" customHeight="1" x14ac:dyDescent="0.2">
      <c r="A172" s="7" t="s">
        <v>184</v>
      </c>
      <c r="C172" s="7" t="s">
        <v>13</v>
      </c>
      <c r="D172" s="6"/>
      <c r="E172" s="8">
        <f>3719031+557000</f>
        <v>4276031</v>
      </c>
      <c r="F172" s="8"/>
      <c r="G172" s="8">
        <v>6546517</v>
      </c>
      <c r="H172" s="8"/>
      <c r="I172" s="8">
        <v>0</v>
      </c>
      <c r="J172" s="8"/>
      <c r="K172" s="8">
        <v>0</v>
      </c>
      <c r="L172" s="8"/>
      <c r="M172" s="8">
        <v>344162</v>
      </c>
      <c r="N172" s="8"/>
      <c r="O172" s="8">
        <v>1544602</v>
      </c>
      <c r="P172" s="8"/>
      <c r="Q172" s="8">
        <v>19469</v>
      </c>
      <c r="R172" s="8"/>
      <c r="S172" s="8">
        <f>2310330+1455511</f>
        <v>3765841</v>
      </c>
      <c r="T172" s="8"/>
      <c r="U172" s="8">
        <v>872443</v>
      </c>
      <c r="V172" s="8"/>
      <c r="W172" s="8">
        <f t="shared" si="22"/>
        <v>4657753</v>
      </c>
      <c r="X172" s="8"/>
      <c r="Y172" s="7">
        <f t="shared" si="23"/>
        <v>1544602</v>
      </c>
      <c r="Z172" s="7">
        <f t="shared" si="24"/>
        <v>0</v>
      </c>
    </row>
    <row r="173" spans="1:26" ht="12.75" customHeight="1" x14ac:dyDescent="0.2">
      <c r="A173" s="7" t="s">
        <v>185</v>
      </c>
      <c r="B173" s="7"/>
      <c r="C173" s="7" t="s">
        <v>25</v>
      </c>
      <c r="D173" s="6"/>
      <c r="E173" s="8">
        <v>5229047</v>
      </c>
      <c r="F173" s="8"/>
      <c r="G173" s="8">
        <v>14810532</v>
      </c>
      <c r="H173" s="8"/>
      <c r="I173" s="8">
        <v>0</v>
      </c>
      <c r="J173" s="8"/>
      <c r="K173" s="8">
        <v>6669453</v>
      </c>
      <c r="L173" s="8"/>
      <c r="M173" s="8">
        <v>7685074</v>
      </c>
      <c r="N173" s="8"/>
      <c r="O173" s="8">
        <v>0</v>
      </c>
      <c r="P173" s="8"/>
      <c r="Q173" s="8">
        <v>988055</v>
      </c>
      <c r="R173" s="8"/>
      <c r="S173" s="8">
        <v>1799392</v>
      </c>
      <c r="T173" s="8"/>
      <c r="U173" s="8">
        <v>4338011</v>
      </c>
      <c r="V173" s="8"/>
      <c r="W173" s="8">
        <f t="shared" si="22"/>
        <v>7125458</v>
      </c>
      <c r="X173" s="8"/>
      <c r="Y173" s="7">
        <f t="shared" si="23"/>
        <v>0</v>
      </c>
      <c r="Z173" s="7">
        <f t="shared" si="24"/>
        <v>0</v>
      </c>
    </row>
    <row r="174" spans="1:26" ht="12.75" customHeight="1" x14ac:dyDescent="0.2">
      <c r="A174" s="7" t="s">
        <v>187</v>
      </c>
      <c r="C174" s="7" t="s">
        <v>15</v>
      </c>
      <c r="D174" s="6"/>
      <c r="E174" s="8">
        <v>6183390</v>
      </c>
      <c r="F174" s="8"/>
      <c r="G174" s="8">
        <v>10439940</v>
      </c>
      <c r="H174" s="8"/>
      <c r="I174" s="8">
        <v>0</v>
      </c>
      <c r="J174" s="8"/>
      <c r="K174" s="8">
        <v>3395950</v>
      </c>
      <c r="L174" s="8"/>
      <c r="M174" s="8">
        <v>4248110</v>
      </c>
      <c r="N174" s="8"/>
      <c r="O174" s="8">
        <v>0</v>
      </c>
      <c r="P174" s="8"/>
      <c r="Q174" s="8">
        <v>44700</v>
      </c>
      <c r="R174" s="8"/>
      <c r="S174" s="8">
        <f>525940+3083563</f>
        <v>3609503</v>
      </c>
      <c r="T174" s="8"/>
      <c r="U174" s="8">
        <v>2537627</v>
      </c>
      <c r="V174" s="8"/>
      <c r="W174" s="8">
        <f t="shared" si="22"/>
        <v>6191830</v>
      </c>
      <c r="X174" s="8"/>
      <c r="Y174" s="7">
        <f t="shared" si="23"/>
        <v>0</v>
      </c>
      <c r="Z174" s="7">
        <f t="shared" si="24"/>
        <v>0</v>
      </c>
    </row>
    <row r="175" spans="1:26" ht="12.75" customHeight="1" x14ac:dyDescent="0.2">
      <c r="A175" s="7" t="s">
        <v>186</v>
      </c>
      <c r="C175" s="7" t="s">
        <v>25</v>
      </c>
      <c r="D175" s="6"/>
      <c r="E175" s="8">
        <v>1229052</v>
      </c>
      <c r="F175" s="8"/>
      <c r="G175" s="8">
        <v>7702633</v>
      </c>
      <c r="H175" s="8"/>
      <c r="I175" s="8">
        <v>0</v>
      </c>
      <c r="J175" s="8"/>
      <c r="K175" s="8">
        <v>3829945</v>
      </c>
      <c r="L175" s="8"/>
      <c r="M175" s="8">
        <v>4586557</v>
      </c>
      <c r="N175" s="8"/>
      <c r="O175" s="8">
        <v>0</v>
      </c>
      <c r="P175" s="8"/>
      <c r="Q175" s="8">
        <v>96824</v>
      </c>
      <c r="R175" s="8"/>
      <c r="S175" s="8">
        <f>332775+87235</f>
        <v>420010</v>
      </c>
      <c r="T175" s="8"/>
      <c r="U175" s="8">
        <v>2599242</v>
      </c>
      <c r="V175" s="8"/>
      <c r="W175" s="8">
        <f t="shared" si="22"/>
        <v>3116076</v>
      </c>
      <c r="X175" s="8"/>
      <c r="Y175" s="7">
        <f t="shared" si="23"/>
        <v>0</v>
      </c>
      <c r="Z175" s="7">
        <f t="shared" si="24"/>
        <v>0</v>
      </c>
    </row>
    <row r="176" spans="1:26" ht="12.75" customHeight="1" x14ac:dyDescent="0.2">
      <c r="A176" s="7" t="s">
        <v>188</v>
      </c>
      <c r="C176" s="7" t="s">
        <v>45</v>
      </c>
      <c r="D176" s="6"/>
      <c r="E176" s="8">
        <v>312518</v>
      </c>
      <c r="F176" s="8"/>
      <c r="G176" s="8">
        <v>3132806</v>
      </c>
      <c r="H176" s="8"/>
      <c r="I176" s="8">
        <v>0</v>
      </c>
      <c r="J176" s="8"/>
      <c r="K176" s="8">
        <v>0</v>
      </c>
      <c r="L176" s="8"/>
      <c r="M176" s="8">
        <v>295075</v>
      </c>
      <c r="N176" s="8"/>
      <c r="O176" s="8">
        <v>851620</v>
      </c>
      <c r="P176" s="8"/>
      <c r="Q176" s="8">
        <v>38134</v>
      </c>
      <c r="R176" s="8"/>
      <c r="S176" s="8">
        <v>215</v>
      </c>
      <c r="T176" s="8"/>
      <c r="U176" s="8">
        <v>1947762</v>
      </c>
      <c r="V176" s="8"/>
      <c r="W176" s="8">
        <f t="shared" si="22"/>
        <v>1986111</v>
      </c>
      <c r="X176" s="8"/>
      <c r="Y176" s="7">
        <f t="shared" si="23"/>
        <v>851620</v>
      </c>
      <c r="Z176" s="7">
        <f t="shared" si="24"/>
        <v>0</v>
      </c>
    </row>
    <row r="177" spans="1:26" ht="12.75" customHeight="1" x14ac:dyDescent="0.2">
      <c r="A177" s="7" t="s">
        <v>189</v>
      </c>
      <c r="B177" s="7"/>
      <c r="C177" s="7" t="s">
        <v>11</v>
      </c>
      <c r="D177" s="6"/>
      <c r="E177" s="8">
        <f>2963977+4814+6633</f>
        <v>2975424</v>
      </c>
      <c r="F177" s="8"/>
      <c r="G177" s="8">
        <v>5063631</v>
      </c>
      <c r="H177" s="8"/>
      <c r="I177" s="8">
        <v>0</v>
      </c>
      <c r="J177" s="8"/>
      <c r="K177" s="8">
        <v>0</v>
      </c>
      <c r="L177" s="8"/>
      <c r="M177" s="8">
        <v>207603</v>
      </c>
      <c r="N177" s="8"/>
      <c r="O177" s="8">
        <v>1168488</v>
      </c>
      <c r="P177" s="8"/>
      <c r="Q177" s="8">
        <f>44748+5416</f>
        <v>50164</v>
      </c>
      <c r="R177" s="8"/>
      <c r="S177" s="8">
        <f>119975+419152</f>
        <v>539127</v>
      </c>
      <c r="T177" s="8"/>
      <c r="U177" s="8">
        <v>3098249</v>
      </c>
      <c r="V177" s="8"/>
      <c r="W177" s="8">
        <f t="shared" si="22"/>
        <v>3687540</v>
      </c>
      <c r="X177" s="8"/>
      <c r="Y177" s="7">
        <f t="shared" si="23"/>
        <v>1168488</v>
      </c>
      <c r="Z177" s="7">
        <f t="shared" si="24"/>
        <v>0</v>
      </c>
    </row>
    <row r="178" spans="1:26" ht="12.75" customHeight="1" x14ac:dyDescent="0.2">
      <c r="A178" s="7" t="s">
        <v>190</v>
      </c>
      <c r="C178" s="7" t="s">
        <v>36</v>
      </c>
      <c r="D178" s="6"/>
      <c r="E178" s="8">
        <f>2219030+5600</f>
        <v>2224630</v>
      </c>
      <c r="F178" s="8"/>
      <c r="G178" s="8">
        <v>4281937</v>
      </c>
      <c r="H178" s="8"/>
      <c r="I178" s="8">
        <v>0</v>
      </c>
      <c r="J178" s="8"/>
      <c r="K178" s="8">
        <v>324725</v>
      </c>
      <c r="L178" s="8"/>
      <c r="M178" s="8">
        <v>1174470</v>
      </c>
      <c r="N178" s="8"/>
      <c r="O178" s="8">
        <v>0</v>
      </c>
      <c r="P178" s="8"/>
      <c r="Q178" s="8">
        <v>0</v>
      </c>
      <c r="R178" s="8"/>
      <c r="S178" s="8">
        <v>69390</v>
      </c>
      <c r="T178" s="8"/>
      <c r="U178" s="8">
        <v>3038077</v>
      </c>
      <c r="V178" s="8"/>
      <c r="W178" s="8">
        <f t="shared" si="22"/>
        <v>3107467</v>
      </c>
      <c r="X178" s="8"/>
      <c r="Y178" s="7">
        <f t="shared" ref="Y178:Y185" si="25">+G178-M178-W178</f>
        <v>0</v>
      </c>
      <c r="Z178" s="7">
        <f t="shared" si="24"/>
        <v>0</v>
      </c>
    </row>
    <row r="179" spans="1:26" s="9" customFormat="1" ht="12.75" customHeight="1" x14ac:dyDescent="0.2">
      <c r="A179" s="9" t="s">
        <v>191</v>
      </c>
      <c r="C179" s="9" t="s">
        <v>43</v>
      </c>
      <c r="D179" s="19"/>
      <c r="E179" s="8">
        <v>196733</v>
      </c>
      <c r="F179" s="8"/>
      <c r="G179" s="8">
        <v>7435376</v>
      </c>
      <c r="H179" s="8"/>
      <c r="I179" s="8">
        <v>0</v>
      </c>
      <c r="J179" s="8"/>
      <c r="K179" s="8">
        <v>5646226</v>
      </c>
      <c r="L179" s="8"/>
      <c r="M179" s="8">
        <v>7161852</v>
      </c>
      <c r="N179" s="8"/>
      <c r="O179" s="8">
        <v>0</v>
      </c>
      <c r="P179" s="8"/>
      <c r="Q179" s="8">
        <v>0</v>
      </c>
      <c r="R179" s="8"/>
      <c r="S179" s="8">
        <f>2321+992648</f>
        <v>994969</v>
      </c>
      <c r="T179" s="8"/>
      <c r="U179" s="8">
        <v>-721445</v>
      </c>
      <c r="V179" s="8"/>
      <c r="W179" s="8">
        <f t="shared" si="22"/>
        <v>273524</v>
      </c>
      <c r="X179" s="8"/>
      <c r="Y179" s="7">
        <f t="shared" si="25"/>
        <v>0</v>
      </c>
      <c r="Z179" s="7">
        <f t="shared" si="24"/>
        <v>0</v>
      </c>
    </row>
    <row r="180" spans="1:26" ht="12.75" customHeight="1" x14ac:dyDescent="0.2">
      <c r="A180" s="7" t="s">
        <v>192</v>
      </c>
      <c r="C180" s="7" t="s">
        <v>64</v>
      </c>
      <c r="D180" s="6"/>
      <c r="E180" s="8">
        <f>6449442+7550</f>
        <v>6456992</v>
      </c>
      <c r="F180" s="8"/>
      <c r="G180" s="8">
        <v>9824966</v>
      </c>
      <c r="H180" s="8"/>
      <c r="I180" s="8">
        <v>0</v>
      </c>
      <c r="J180" s="8"/>
      <c r="K180" s="8">
        <v>0</v>
      </c>
      <c r="L180" s="8"/>
      <c r="M180" s="8">
        <v>3386679</v>
      </c>
      <c r="N180" s="8"/>
      <c r="O180" s="8">
        <v>2353568</v>
      </c>
      <c r="P180" s="8"/>
      <c r="Q180" s="8">
        <f>46899+13615</f>
        <v>60514</v>
      </c>
      <c r="R180" s="8"/>
      <c r="S180" s="8">
        <f>2987866+48917</f>
        <v>3036783</v>
      </c>
      <c r="T180" s="8"/>
      <c r="U180" s="8">
        <v>987422</v>
      </c>
      <c r="V180" s="8"/>
      <c r="W180" s="8">
        <f t="shared" si="22"/>
        <v>4084719</v>
      </c>
      <c r="X180" s="8"/>
      <c r="Y180" s="7">
        <f t="shared" si="25"/>
        <v>2353568</v>
      </c>
      <c r="Z180" s="7">
        <f t="shared" si="24"/>
        <v>0</v>
      </c>
    </row>
    <row r="181" spans="1:26" ht="12.75" customHeight="1" x14ac:dyDescent="0.2">
      <c r="A181" s="7" t="s">
        <v>193</v>
      </c>
      <c r="C181" s="7" t="s">
        <v>15</v>
      </c>
      <c r="D181" s="6"/>
      <c r="E181" s="8">
        <f>275964+8828446</f>
        <v>9104410</v>
      </c>
      <c r="F181" s="8"/>
      <c r="G181" s="8">
        <v>11259056</v>
      </c>
      <c r="H181" s="8"/>
      <c r="I181" s="8">
        <v>0</v>
      </c>
      <c r="J181" s="8"/>
      <c r="K181" s="8">
        <v>0</v>
      </c>
      <c r="L181" s="8"/>
      <c r="M181" s="8">
        <v>253964</v>
      </c>
      <c r="N181" s="8"/>
      <c r="O181" s="8">
        <v>729167</v>
      </c>
      <c r="P181" s="8"/>
      <c r="Q181" s="8">
        <v>32746</v>
      </c>
      <c r="R181" s="8"/>
      <c r="S181" s="8">
        <v>136283</v>
      </c>
      <c r="T181" s="8"/>
      <c r="U181" s="8">
        <v>10106896</v>
      </c>
      <c r="V181" s="8"/>
      <c r="W181" s="8">
        <f t="shared" si="22"/>
        <v>10275925</v>
      </c>
      <c r="X181" s="8"/>
      <c r="Y181" s="7">
        <f t="shared" si="25"/>
        <v>729167</v>
      </c>
      <c r="Z181" s="7">
        <f t="shared" si="24"/>
        <v>0</v>
      </c>
    </row>
    <row r="182" spans="1:26" ht="12.75" hidden="1" customHeight="1" x14ac:dyDescent="0.2">
      <c r="A182" s="7" t="s">
        <v>194</v>
      </c>
      <c r="C182" s="7" t="s">
        <v>25</v>
      </c>
      <c r="D182" s="6"/>
      <c r="E182" s="8">
        <v>1328357</v>
      </c>
      <c r="F182" s="8"/>
      <c r="G182" s="8">
        <v>4229543</v>
      </c>
      <c r="H182" s="8"/>
      <c r="I182" s="8">
        <v>0</v>
      </c>
      <c r="J182" s="8"/>
      <c r="K182" s="8">
        <v>0</v>
      </c>
      <c r="L182" s="8"/>
      <c r="M182" s="8">
        <v>146883</v>
      </c>
      <c r="N182" s="8"/>
      <c r="O182" s="8">
        <v>1889930</v>
      </c>
      <c r="P182" s="8"/>
      <c r="Q182" s="8">
        <v>91523</v>
      </c>
      <c r="R182" s="8"/>
      <c r="S182" s="8">
        <f>50000+36027</f>
        <v>86027</v>
      </c>
      <c r="T182" s="8"/>
      <c r="U182" s="8">
        <v>2015180</v>
      </c>
      <c r="V182" s="8"/>
      <c r="W182" s="8">
        <f t="shared" si="22"/>
        <v>2192730</v>
      </c>
      <c r="X182" s="8"/>
      <c r="Y182" s="7">
        <f t="shared" si="25"/>
        <v>1889930</v>
      </c>
      <c r="Z182" s="7">
        <f t="shared" si="24"/>
        <v>0</v>
      </c>
    </row>
    <row r="183" spans="1:26" ht="12.75" customHeight="1" x14ac:dyDescent="0.2">
      <c r="A183" s="7" t="s">
        <v>384</v>
      </c>
      <c r="C183" s="7" t="s">
        <v>151</v>
      </c>
      <c r="D183" s="6"/>
      <c r="E183" s="8">
        <v>3773864</v>
      </c>
      <c r="F183" s="8"/>
      <c r="G183" s="8">
        <v>5531248</v>
      </c>
      <c r="H183" s="8"/>
      <c r="I183" s="8">
        <v>0</v>
      </c>
      <c r="J183" s="8"/>
      <c r="K183" s="8">
        <v>0</v>
      </c>
      <c r="L183" s="8"/>
      <c r="M183" s="8">
        <v>233164</v>
      </c>
      <c r="N183" s="8"/>
      <c r="O183" s="8">
        <v>1263576</v>
      </c>
      <c r="P183" s="8"/>
      <c r="Q183" s="8">
        <v>61714</v>
      </c>
      <c r="R183" s="8"/>
      <c r="S183" s="8">
        <v>1996292</v>
      </c>
      <c r="T183" s="8"/>
      <c r="U183" s="8">
        <v>1976502</v>
      </c>
      <c r="V183" s="8"/>
      <c r="W183" s="8">
        <f>+U183+S183+Q183</f>
        <v>4034508</v>
      </c>
      <c r="X183" s="8"/>
      <c r="Y183" s="7">
        <f t="shared" si="25"/>
        <v>1263576</v>
      </c>
      <c r="Z183" s="7">
        <f t="shared" si="24"/>
        <v>0</v>
      </c>
    </row>
    <row r="184" spans="1:26" ht="12.75" customHeight="1" x14ac:dyDescent="0.2">
      <c r="A184" s="9" t="s">
        <v>195</v>
      </c>
      <c r="B184" s="9"/>
      <c r="C184" s="9" t="s">
        <v>161</v>
      </c>
      <c r="D184" s="19"/>
      <c r="E184" s="8">
        <f>3001392+34795355</f>
        <v>37796747</v>
      </c>
      <c r="F184" s="8"/>
      <c r="G184" s="8">
        <v>42293710</v>
      </c>
      <c r="H184" s="8"/>
      <c r="I184" s="8">
        <v>0</v>
      </c>
      <c r="J184" s="8"/>
      <c r="K184" s="8">
        <v>0</v>
      </c>
      <c r="L184" s="8"/>
      <c r="M184" s="8">
        <v>1063138</v>
      </c>
      <c r="N184" s="8"/>
      <c r="O184" s="8">
        <v>1599292</v>
      </c>
      <c r="P184" s="8"/>
      <c r="Q184" s="8">
        <v>588940</v>
      </c>
      <c r="R184" s="8"/>
      <c r="S184" s="8">
        <f>681375+275504</f>
        <v>956879</v>
      </c>
      <c r="T184" s="8"/>
      <c r="U184" s="8">
        <v>38085461</v>
      </c>
      <c r="V184" s="8"/>
      <c r="W184" s="8">
        <f t="shared" si="22"/>
        <v>39631280</v>
      </c>
      <c r="X184" s="8"/>
      <c r="Y184" s="7">
        <f t="shared" si="25"/>
        <v>1599292</v>
      </c>
      <c r="Z184" s="7">
        <f t="shared" si="24"/>
        <v>0</v>
      </c>
    </row>
    <row r="185" spans="1:26" ht="12.75" customHeight="1" x14ac:dyDescent="0.2">
      <c r="A185" s="7" t="s">
        <v>196</v>
      </c>
      <c r="C185" s="7" t="s">
        <v>197</v>
      </c>
      <c r="D185" s="6"/>
      <c r="E185" s="8">
        <v>3757903</v>
      </c>
      <c r="F185" s="8"/>
      <c r="G185" s="8">
        <v>6359690</v>
      </c>
      <c r="H185" s="8"/>
      <c r="I185" s="8">
        <v>0</v>
      </c>
      <c r="J185" s="8"/>
      <c r="K185" s="8">
        <v>0</v>
      </c>
      <c r="L185" s="8"/>
      <c r="M185" s="8">
        <v>301396</v>
      </c>
      <c r="N185" s="8"/>
      <c r="O185" s="8">
        <v>1483229</v>
      </c>
      <c r="P185" s="8"/>
      <c r="Q185" s="8">
        <v>93934</v>
      </c>
      <c r="R185" s="8"/>
      <c r="S185" s="8">
        <v>1776606</v>
      </c>
      <c r="T185" s="8"/>
      <c r="U185" s="8">
        <v>2704525</v>
      </c>
      <c r="V185" s="8"/>
      <c r="W185" s="8">
        <f t="shared" si="22"/>
        <v>4575065</v>
      </c>
      <c r="X185" s="8"/>
      <c r="Y185" s="7">
        <f t="shared" si="25"/>
        <v>1483229</v>
      </c>
      <c r="Z185" s="7">
        <f t="shared" si="24"/>
        <v>0</v>
      </c>
    </row>
    <row r="186" spans="1:26" s="9" customFormat="1" ht="12.75" customHeight="1" x14ac:dyDescent="0.2">
      <c r="A186" s="7" t="s">
        <v>198</v>
      </c>
      <c r="B186" s="14"/>
      <c r="C186" s="7" t="s">
        <v>101</v>
      </c>
      <c r="D186" s="6"/>
      <c r="E186" s="8">
        <v>7732788</v>
      </c>
      <c r="F186" s="8"/>
      <c r="G186" s="8">
        <v>11170704</v>
      </c>
      <c r="H186" s="8"/>
      <c r="I186" s="8">
        <v>0</v>
      </c>
      <c r="J186" s="8"/>
      <c r="K186" s="8">
        <v>2053435</v>
      </c>
      <c r="L186" s="8"/>
      <c r="M186" s="8">
        <v>2536229</v>
      </c>
      <c r="N186" s="8"/>
      <c r="O186" s="8">
        <v>0</v>
      </c>
      <c r="P186" s="8"/>
      <c r="Q186" s="8">
        <v>67677</v>
      </c>
      <c r="R186" s="8"/>
      <c r="S186" s="8">
        <v>80265</v>
      </c>
      <c r="T186" s="8"/>
      <c r="U186" s="8">
        <v>8486533</v>
      </c>
      <c r="V186" s="8"/>
      <c r="W186" s="8">
        <f t="shared" ref="W186:W226" si="26">+U186+S186+Q186</f>
        <v>8634475</v>
      </c>
      <c r="X186" s="8"/>
      <c r="Y186" s="9">
        <f t="shared" ref="Y186:Y209" si="27">+G186-M186-W186</f>
        <v>0</v>
      </c>
      <c r="Z186" s="7">
        <f t="shared" ref="Z186:Z226" si="28">+G186-M186-W186+I186-O186</f>
        <v>0</v>
      </c>
    </row>
    <row r="187" spans="1:26" ht="12.75" customHeight="1" x14ac:dyDescent="0.2">
      <c r="A187" s="7" t="s">
        <v>199</v>
      </c>
      <c r="B187" s="7"/>
      <c r="C187" s="7" t="s">
        <v>90</v>
      </c>
      <c r="D187" s="6"/>
      <c r="E187" s="8">
        <v>5381370</v>
      </c>
      <c r="F187" s="8"/>
      <c r="G187" s="8">
        <v>8849937</v>
      </c>
      <c r="H187" s="8"/>
      <c r="I187" s="8">
        <v>0</v>
      </c>
      <c r="J187" s="8"/>
      <c r="K187" s="8">
        <v>0</v>
      </c>
      <c r="L187" s="8"/>
      <c r="M187" s="8">
        <v>568301</v>
      </c>
      <c r="N187" s="8"/>
      <c r="O187" s="8">
        <v>835578</v>
      </c>
      <c r="P187" s="8"/>
      <c r="Q187" s="8">
        <v>1005381</v>
      </c>
      <c r="R187" s="8"/>
      <c r="S187" s="8">
        <v>742007</v>
      </c>
      <c r="T187" s="8"/>
      <c r="U187" s="8">
        <v>5698670</v>
      </c>
      <c r="V187" s="8"/>
      <c r="W187" s="8">
        <f t="shared" si="26"/>
        <v>7446058</v>
      </c>
      <c r="X187" s="8"/>
      <c r="Y187" s="7">
        <f t="shared" si="27"/>
        <v>835578</v>
      </c>
      <c r="Z187" s="7">
        <f t="shared" si="28"/>
        <v>0</v>
      </c>
    </row>
    <row r="188" spans="1:26" ht="12.75" customHeight="1" x14ac:dyDescent="0.2">
      <c r="A188" s="7" t="s">
        <v>200</v>
      </c>
      <c r="C188" s="7" t="s">
        <v>25</v>
      </c>
      <c r="D188" s="6"/>
      <c r="E188" s="8">
        <f>4137475+984</f>
        <v>4138459</v>
      </c>
      <c r="F188" s="8"/>
      <c r="G188" s="8">
        <v>15208083</v>
      </c>
      <c r="H188" s="8"/>
      <c r="I188" s="8">
        <v>0</v>
      </c>
      <c r="J188" s="8"/>
      <c r="K188" s="8">
        <v>7535254</v>
      </c>
      <c r="L188" s="8"/>
      <c r="M188" s="8">
        <v>9560584</v>
      </c>
      <c r="N188" s="8"/>
      <c r="O188" s="8">
        <v>0</v>
      </c>
      <c r="P188" s="8"/>
      <c r="Q188" s="8">
        <v>107629</v>
      </c>
      <c r="R188" s="8"/>
      <c r="S188" s="8">
        <v>209559</v>
      </c>
      <c r="T188" s="8"/>
      <c r="U188" s="8">
        <v>5330311</v>
      </c>
      <c r="V188" s="8"/>
      <c r="W188" s="8">
        <f t="shared" si="26"/>
        <v>5647499</v>
      </c>
      <c r="X188" s="8"/>
      <c r="Y188" s="7">
        <f t="shared" si="27"/>
        <v>0</v>
      </c>
      <c r="Z188" s="7">
        <f t="shared" si="28"/>
        <v>0</v>
      </c>
    </row>
    <row r="189" spans="1:26" ht="12.75" customHeight="1" x14ac:dyDescent="0.2">
      <c r="A189" s="9" t="s">
        <v>201</v>
      </c>
      <c r="B189" s="9"/>
      <c r="C189" s="9" t="s">
        <v>25</v>
      </c>
      <c r="D189" s="19"/>
      <c r="E189" s="8">
        <v>1738858</v>
      </c>
      <c r="F189" s="8"/>
      <c r="G189" s="8">
        <v>9713488</v>
      </c>
      <c r="H189" s="8"/>
      <c r="I189" s="8">
        <v>0</v>
      </c>
      <c r="J189" s="8"/>
      <c r="K189" s="8">
        <v>6159386</v>
      </c>
      <c r="L189" s="8"/>
      <c r="M189" s="8">
        <v>7349842</v>
      </c>
      <c r="N189" s="8"/>
      <c r="O189" s="8">
        <v>0</v>
      </c>
      <c r="P189" s="8"/>
      <c r="Q189" s="8">
        <f>57884+1602</f>
        <v>59486</v>
      </c>
      <c r="R189" s="8"/>
      <c r="S189" s="8">
        <f>99232+11086</f>
        <v>110318</v>
      </c>
      <c r="T189" s="8"/>
      <c r="U189" s="8">
        <v>2193842</v>
      </c>
      <c r="V189" s="8"/>
      <c r="W189" s="8">
        <f t="shared" si="26"/>
        <v>2363646</v>
      </c>
      <c r="X189" s="8"/>
      <c r="Y189" s="7">
        <f t="shared" si="27"/>
        <v>0</v>
      </c>
      <c r="Z189" s="7">
        <f t="shared" si="28"/>
        <v>0</v>
      </c>
    </row>
    <row r="190" spans="1:26" ht="12.75" customHeight="1" x14ac:dyDescent="0.2">
      <c r="A190" s="7" t="s">
        <v>202</v>
      </c>
      <c r="C190" s="7" t="s">
        <v>123</v>
      </c>
      <c r="D190" s="6"/>
      <c r="E190" s="8">
        <v>967411</v>
      </c>
      <c r="F190" s="8"/>
      <c r="G190" s="8">
        <v>2092290</v>
      </c>
      <c r="H190" s="8"/>
      <c r="I190" s="8">
        <v>0</v>
      </c>
      <c r="J190" s="8"/>
      <c r="K190" s="8">
        <v>0</v>
      </c>
      <c r="L190" s="8"/>
      <c r="M190" s="8">
        <v>62900</v>
      </c>
      <c r="N190" s="8"/>
      <c r="O190" s="8">
        <v>914906</v>
      </c>
      <c r="P190" s="8"/>
      <c r="Q190" s="8">
        <v>15491</v>
      </c>
      <c r="R190" s="8"/>
      <c r="S190" s="8">
        <v>383681</v>
      </c>
      <c r="T190" s="8"/>
      <c r="U190" s="8">
        <v>715312</v>
      </c>
      <c r="V190" s="8"/>
      <c r="W190" s="8">
        <f t="shared" si="26"/>
        <v>1114484</v>
      </c>
      <c r="X190" s="8"/>
      <c r="Y190" s="7">
        <f t="shared" si="27"/>
        <v>914906</v>
      </c>
      <c r="Z190" s="7">
        <f t="shared" si="28"/>
        <v>0</v>
      </c>
    </row>
    <row r="191" spans="1:26" s="9" customFormat="1" ht="12.75" customHeight="1" x14ac:dyDescent="0.2">
      <c r="A191" s="9" t="s">
        <v>203</v>
      </c>
      <c r="C191" s="9" t="s">
        <v>25</v>
      </c>
      <c r="D191" s="19"/>
      <c r="E191" s="8">
        <v>5900595</v>
      </c>
      <c r="F191" s="8"/>
      <c r="G191" s="8">
        <v>9812969</v>
      </c>
      <c r="H191" s="8"/>
      <c r="I191" s="8">
        <v>0</v>
      </c>
      <c r="J191" s="8"/>
      <c r="K191" s="8">
        <v>0</v>
      </c>
      <c r="L191" s="8"/>
      <c r="M191" s="8">
        <v>366682</v>
      </c>
      <c r="N191" s="8"/>
      <c r="O191" s="8">
        <v>3087717</v>
      </c>
      <c r="P191" s="8"/>
      <c r="Q191" s="8">
        <v>189878</v>
      </c>
      <c r="R191" s="8"/>
      <c r="S191" s="8">
        <v>79812</v>
      </c>
      <c r="T191" s="8"/>
      <c r="U191" s="8">
        <v>6088880</v>
      </c>
      <c r="V191" s="8"/>
      <c r="W191" s="8">
        <f t="shared" si="26"/>
        <v>6358570</v>
      </c>
      <c r="X191" s="8"/>
      <c r="Y191" s="7">
        <f t="shared" si="27"/>
        <v>3087717</v>
      </c>
      <c r="Z191" s="7">
        <f t="shared" si="28"/>
        <v>0</v>
      </c>
    </row>
    <row r="192" spans="1:26" ht="12.75" customHeight="1" x14ac:dyDescent="0.2">
      <c r="A192" s="7" t="s">
        <v>204</v>
      </c>
      <c r="B192" s="7"/>
      <c r="C192" s="7" t="s">
        <v>45</v>
      </c>
      <c r="D192" s="6"/>
      <c r="E192" s="8">
        <v>2424691</v>
      </c>
      <c r="F192" s="8"/>
      <c r="G192" s="8">
        <v>10789246</v>
      </c>
      <c r="H192" s="8"/>
      <c r="I192" s="8">
        <v>0</v>
      </c>
      <c r="J192" s="8"/>
      <c r="K192" s="8">
        <v>0</v>
      </c>
      <c r="L192" s="8"/>
      <c r="M192" s="8">
        <v>684476</v>
      </c>
      <c r="N192" s="8"/>
      <c r="O192" s="8">
        <v>1776542</v>
      </c>
      <c r="P192" s="8"/>
      <c r="Q192" s="8">
        <v>106596</v>
      </c>
      <c r="R192" s="8"/>
      <c r="S192" s="8">
        <v>139518</v>
      </c>
      <c r="T192" s="8"/>
      <c r="U192" s="8">
        <v>8082114</v>
      </c>
      <c r="V192" s="8"/>
      <c r="W192" s="8">
        <f t="shared" si="26"/>
        <v>8328228</v>
      </c>
      <c r="X192" s="8"/>
      <c r="Y192" s="7">
        <f t="shared" si="27"/>
        <v>1776542</v>
      </c>
      <c r="Z192" s="7">
        <f t="shared" si="28"/>
        <v>0</v>
      </c>
    </row>
    <row r="193" spans="1:26" ht="12.75" customHeight="1" x14ac:dyDescent="0.2">
      <c r="A193" s="7" t="s">
        <v>205</v>
      </c>
      <c r="C193" s="7" t="s">
        <v>100</v>
      </c>
      <c r="D193" s="6"/>
      <c r="E193" s="8">
        <f>3084553+268425</f>
        <v>3352978</v>
      </c>
      <c r="F193" s="8"/>
      <c r="G193" s="8">
        <v>5174966</v>
      </c>
      <c r="H193" s="8"/>
      <c r="I193" s="8">
        <v>0</v>
      </c>
      <c r="J193" s="8"/>
      <c r="K193" s="8">
        <v>0</v>
      </c>
      <c r="L193" s="8"/>
      <c r="M193" s="8">
        <v>451664</v>
      </c>
      <c r="N193" s="8"/>
      <c r="O193" s="8">
        <v>1303617</v>
      </c>
      <c r="P193" s="8"/>
      <c r="Q193" s="8">
        <v>50555</v>
      </c>
      <c r="R193" s="8"/>
      <c r="S193" s="8">
        <v>641911</v>
      </c>
      <c r="T193" s="8"/>
      <c r="U193" s="8">
        <v>2727219</v>
      </c>
      <c r="V193" s="8"/>
      <c r="W193" s="8">
        <f t="shared" si="26"/>
        <v>3419685</v>
      </c>
      <c r="X193" s="8"/>
      <c r="Y193" s="7">
        <f t="shared" si="27"/>
        <v>1303617</v>
      </c>
      <c r="Z193" s="7">
        <f t="shared" si="28"/>
        <v>0</v>
      </c>
    </row>
    <row r="194" spans="1:26" ht="12.75" customHeight="1" x14ac:dyDescent="0.2">
      <c r="A194" s="7" t="s">
        <v>206</v>
      </c>
      <c r="C194" s="7" t="s">
        <v>207</v>
      </c>
      <c r="D194" s="6"/>
      <c r="E194" s="8">
        <f>8114573+2005419</f>
        <v>10119992</v>
      </c>
      <c r="F194" s="8"/>
      <c r="G194" s="8">
        <v>22904487</v>
      </c>
      <c r="H194" s="8"/>
      <c r="I194" s="8">
        <v>0</v>
      </c>
      <c r="J194" s="8"/>
      <c r="K194" s="8">
        <v>0</v>
      </c>
      <c r="L194" s="8"/>
      <c r="M194" s="8">
        <v>282546</v>
      </c>
      <c r="N194" s="8"/>
      <c r="O194" s="8">
        <v>1963060</v>
      </c>
      <c r="P194" s="8"/>
      <c r="Q194" s="8">
        <f>9800153+10894</f>
        <v>9811047</v>
      </c>
      <c r="R194" s="8"/>
      <c r="S194" s="8">
        <v>3195687</v>
      </c>
      <c r="T194" s="8"/>
      <c r="U194" s="8">
        <v>7652147</v>
      </c>
      <c r="V194" s="8"/>
      <c r="W194" s="8">
        <f t="shared" si="26"/>
        <v>20658881</v>
      </c>
      <c r="X194" s="8"/>
      <c r="Y194" s="7">
        <f t="shared" si="27"/>
        <v>1963060</v>
      </c>
      <c r="Z194" s="7">
        <f t="shared" si="28"/>
        <v>0</v>
      </c>
    </row>
    <row r="195" spans="1:26" s="9" customFormat="1" ht="12.75" customHeight="1" x14ac:dyDescent="0.2">
      <c r="A195" s="7" t="s">
        <v>208</v>
      </c>
      <c r="B195" s="7"/>
      <c r="C195" s="7" t="s">
        <v>209</v>
      </c>
      <c r="D195" s="6"/>
      <c r="E195" s="8">
        <v>846240</v>
      </c>
      <c r="F195" s="8"/>
      <c r="G195" s="8">
        <v>2489332</v>
      </c>
      <c r="H195" s="8"/>
      <c r="I195" s="8">
        <v>0</v>
      </c>
      <c r="J195" s="8"/>
      <c r="K195" s="8">
        <v>0</v>
      </c>
      <c r="L195" s="8"/>
      <c r="M195" s="8">
        <v>181995</v>
      </c>
      <c r="N195" s="8"/>
      <c r="O195" s="8">
        <v>1202822</v>
      </c>
      <c r="P195" s="8"/>
      <c r="Q195" s="8">
        <v>38733</v>
      </c>
      <c r="R195" s="8"/>
      <c r="S195" s="8">
        <v>36346</v>
      </c>
      <c r="T195" s="8"/>
      <c r="U195" s="8">
        <v>1029436</v>
      </c>
      <c r="V195" s="8"/>
      <c r="W195" s="8">
        <f t="shared" si="26"/>
        <v>1104515</v>
      </c>
      <c r="X195" s="8"/>
      <c r="Y195" s="7">
        <f t="shared" si="27"/>
        <v>1202822</v>
      </c>
      <c r="Z195" s="7">
        <f t="shared" si="28"/>
        <v>0</v>
      </c>
    </row>
    <row r="196" spans="1:26" ht="12.75" customHeight="1" x14ac:dyDescent="0.2">
      <c r="A196" s="7" t="s">
        <v>210</v>
      </c>
      <c r="C196" s="7" t="s">
        <v>211</v>
      </c>
      <c r="D196" s="6"/>
      <c r="E196" s="8">
        <v>39761</v>
      </c>
      <c r="F196" s="8"/>
      <c r="G196" s="8">
        <v>3864616</v>
      </c>
      <c r="H196" s="8"/>
      <c r="I196" s="8">
        <v>0</v>
      </c>
      <c r="J196" s="8"/>
      <c r="K196" s="8">
        <v>0</v>
      </c>
      <c r="L196" s="8"/>
      <c r="M196" s="8">
        <v>1852177</v>
      </c>
      <c r="N196" s="8"/>
      <c r="O196" s="8">
        <v>2500061</v>
      </c>
      <c r="P196" s="8"/>
      <c r="Q196" s="8">
        <v>33670</v>
      </c>
      <c r="R196" s="8"/>
      <c r="S196" s="8">
        <v>0</v>
      </c>
      <c r="T196" s="8"/>
      <c r="U196" s="8">
        <v>-521292</v>
      </c>
      <c r="V196" s="8"/>
      <c r="W196" s="8">
        <f t="shared" si="26"/>
        <v>-487622</v>
      </c>
      <c r="X196" s="8"/>
      <c r="Y196" s="7">
        <f t="shared" si="27"/>
        <v>2500061</v>
      </c>
      <c r="Z196" s="7">
        <f t="shared" si="28"/>
        <v>0</v>
      </c>
    </row>
    <row r="197" spans="1:26" ht="12.75" customHeight="1" x14ac:dyDescent="0.2">
      <c r="A197" s="7" t="s">
        <v>212</v>
      </c>
      <c r="B197" s="7"/>
      <c r="C197" s="7" t="s">
        <v>84</v>
      </c>
      <c r="D197" s="6"/>
      <c r="E197" s="8">
        <v>6939489</v>
      </c>
      <c r="F197" s="8"/>
      <c r="G197" s="8">
        <v>9254534</v>
      </c>
      <c r="H197" s="8"/>
      <c r="I197" s="8">
        <v>0</v>
      </c>
      <c r="J197" s="8"/>
      <c r="K197" s="8">
        <v>0</v>
      </c>
      <c r="L197" s="8"/>
      <c r="M197" s="8">
        <v>192165</v>
      </c>
      <c r="N197" s="8"/>
      <c r="O197" s="8">
        <v>1892038</v>
      </c>
      <c r="P197" s="8"/>
      <c r="Q197" s="8">
        <v>80672</v>
      </c>
      <c r="R197" s="8"/>
      <c r="S197" s="8">
        <f>95526+202497</f>
        <v>298023</v>
      </c>
      <c r="T197" s="8"/>
      <c r="U197" s="8">
        <v>6791636</v>
      </c>
      <c r="V197" s="8"/>
      <c r="W197" s="8">
        <f t="shared" si="26"/>
        <v>7170331</v>
      </c>
      <c r="X197" s="8"/>
      <c r="Y197" s="7">
        <f t="shared" si="27"/>
        <v>1892038</v>
      </c>
      <c r="Z197" s="7">
        <f t="shared" si="28"/>
        <v>0</v>
      </c>
    </row>
    <row r="198" spans="1:26" s="9" customFormat="1" ht="12.75" customHeight="1" x14ac:dyDescent="0.2">
      <c r="A198" s="7" t="s">
        <v>213</v>
      </c>
      <c r="B198" s="7"/>
      <c r="C198" s="7" t="s">
        <v>20</v>
      </c>
      <c r="D198" s="6"/>
      <c r="E198" s="8">
        <f>1901081+2937</f>
        <v>1904018</v>
      </c>
      <c r="F198" s="8"/>
      <c r="G198" s="8">
        <v>4023403</v>
      </c>
      <c r="H198" s="8"/>
      <c r="I198" s="8">
        <v>0</v>
      </c>
      <c r="J198" s="8"/>
      <c r="K198" s="8">
        <v>0</v>
      </c>
      <c r="L198" s="8"/>
      <c r="M198" s="8">
        <v>280172</v>
      </c>
      <c r="N198" s="8"/>
      <c r="O198" s="8">
        <v>1079334</v>
      </c>
      <c r="P198" s="8"/>
      <c r="Q198" s="8">
        <v>63110</v>
      </c>
      <c r="R198" s="8"/>
      <c r="S198" s="8">
        <v>777581</v>
      </c>
      <c r="T198" s="8"/>
      <c r="U198" s="8">
        <v>1823206</v>
      </c>
      <c r="V198" s="8"/>
      <c r="W198" s="8">
        <f t="shared" si="26"/>
        <v>2663897</v>
      </c>
      <c r="X198" s="8"/>
      <c r="Y198" s="7">
        <f t="shared" si="27"/>
        <v>1079334</v>
      </c>
      <c r="Z198" s="7">
        <f t="shared" si="28"/>
        <v>0</v>
      </c>
    </row>
    <row r="199" spans="1:26" ht="12.75" customHeight="1" x14ac:dyDescent="0.2">
      <c r="A199" s="7" t="s">
        <v>214</v>
      </c>
      <c r="C199" s="7" t="s">
        <v>43</v>
      </c>
      <c r="D199" s="6"/>
      <c r="E199" s="8">
        <v>294972</v>
      </c>
      <c r="F199" s="8"/>
      <c r="G199" s="8">
        <v>2588743</v>
      </c>
      <c r="H199" s="8"/>
      <c r="I199" s="8">
        <v>0</v>
      </c>
      <c r="J199" s="8"/>
      <c r="K199" s="8">
        <v>1374967</v>
      </c>
      <c r="L199" s="8"/>
      <c r="M199" s="8">
        <v>2414769</v>
      </c>
      <c r="N199" s="8"/>
      <c r="O199" s="8">
        <v>0</v>
      </c>
      <c r="P199" s="8"/>
      <c r="Q199" s="8">
        <v>0</v>
      </c>
      <c r="R199" s="8"/>
      <c r="S199" s="8">
        <v>0</v>
      </c>
      <c r="T199" s="8"/>
      <c r="U199" s="8">
        <v>173974</v>
      </c>
      <c r="V199" s="8"/>
      <c r="W199" s="8">
        <f t="shared" si="26"/>
        <v>173974</v>
      </c>
      <c r="X199" s="8"/>
      <c r="Y199" s="7">
        <f t="shared" si="27"/>
        <v>0</v>
      </c>
      <c r="Z199" s="7">
        <f t="shared" si="28"/>
        <v>0</v>
      </c>
    </row>
    <row r="200" spans="1:26" ht="12.75" customHeight="1" x14ac:dyDescent="0.2">
      <c r="A200" s="7" t="s">
        <v>215</v>
      </c>
      <c r="C200" s="7" t="s">
        <v>41</v>
      </c>
      <c r="D200" s="6"/>
      <c r="E200" s="8">
        <f>1513938+2366392</f>
        <v>3880330</v>
      </c>
      <c r="F200" s="8"/>
      <c r="G200" s="8">
        <v>6622087</v>
      </c>
      <c r="H200" s="8"/>
      <c r="I200" s="8"/>
      <c r="J200" s="8"/>
      <c r="K200" s="8">
        <v>0</v>
      </c>
      <c r="L200" s="8"/>
      <c r="M200" s="8">
        <v>858706</v>
      </c>
      <c r="N200" s="8"/>
      <c r="O200" s="8">
        <v>781241</v>
      </c>
      <c r="P200" s="8"/>
      <c r="Q200" s="8">
        <f>29187+9423</f>
        <v>38610</v>
      </c>
      <c r="R200" s="8"/>
      <c r="S200" s="8">
        <f>23567+1752083</f>
        <v>1775650</v>
      </c>
      <c r="T200" s="8"/>
      <c r="U200" s="8">
        <v>3167880</v>
      </c>
      <c r="V200" s="8"/>
      <c r="W200" s="8">
        <f t="shared" si="26"/>
        <v>4982140</v>
      </c>
      <c r="X200" s="8"/>
      <c r="Y200" s="7">
        <f t="shared" si="27"/>
        <v>781241</v>
      </c>
      <c r="Z200" s="7">
        <f t="shared" si="28"/>
        <v>0</v>
      </c>
    </row>
    <row r="201" spans="1:26" ht="12.75" customHeight="1" x14ac:dyDescent="0.2">
      <c r="A201" s="9" t="s">
        <v>216</v>
      </c>
      <c r="B201" s="9"/>
      <c r="C201" s="9" t="s">
        <v>25</v>
      </c>
      <c r="D201" s="19"/>
      <c r="E201" s="8">
        <v>757404</v>
      </c>
      <c r="F201" s="8"/>
      <c r="G201" s="8">
        <v>4508073</v>
      </c>
      <c r="H201" s="8"/>
      <c r="I201" s="8">
        <v>0</v>
      </c>
      <c r="J201" s="8"/>
      <c r="K201" s="8">
        <v>0</v>
      </c>
      <c r="L201" s="8"/>
      <c r="M201" s="8">
        <v>253282</v>
      </c>
      <c r="N201" s="8"/>
      <c r="O201" s="8">
        <v>2724937</v>
      </c>
      <c r="P201" s="8"/>
      <c r="Q201" s="8">
        <v>12905</v>
      </c>
      <c r="R201" s="8"/>
      <c r="S201" s="8">
        <f>46879+206175</f>
        <v>253054</v>
      </c>
      <c r="T201" s="8"/>
      <c r="U201" s="8">
        <v>1263895</v>
      </c>
      <c r="V201" s="8"/>
      <c r="W201" s="8">
        <f t="shared" si="26"/>
        <v>1529854</v>
      </c>
      <c r="X201" s="8"/>
      <c r="Y201" s="7">
        <f t="shared" si="27"/>
        <v>2724937</v>
      </c>
      <c r="Z201" s="7">
        <f t="shared" si="28"/>
        <v>0</v>
      </c>
    </row>
    <row r="202" spans="1:26" ht="12.75" customHeight="1" x14ac:dyDescent="0.2">
      <c r="A202" s="7" t="s">
        <v>217</v>
      </c>
      <c r="C202" s="7" t="s">
        <v>197</v>
      </c>
      <c r="D202" s="6"/>
      <c r="E202" s="8">
        <v>635711</v>
      </c>
      <c r="F202" s="8"/>
      <c r="G202" s="8">
        <v>1646325</v>
      </c>
      <c r="H202" s="8"/>
      <c r="I202" s="8">
        <v>0</v>
      </c>
      <c r="J202" s="8"/>
      <c r="K202" s="8">
        <v>0</v>
      </c>
      <c r="L202" s="8"/>
      <c r="M202" s="8">
        <v>172689</v>
      </c>
      <c r="N202" s="8"/>
      <c r="O202" s="8">
        <v>670393</v>
      </c>
      <c r="P202" s="8"/>
      <c r="Q202" s="8">
        <v>21373</v>
      </c>
      <c r="R202" s="8"/>
      <c r="S202" s="8">
        <f>5945+259253</f>
        <v>265198</v>
      </c>
      <c r="T202" s="8"/>
      <c r="U202" s="8">
        <v>516672</v>
      </c>
      <c r="V202" s="8"/>
      <c r="W202" s="8">
        <f t="shared" si="26"/>
        <v>803243</v>
      </c>
      <c r="X202" s="8"/>
      <c r="Y202" s="7">
        <f t="shared" si="27"/>
        <v>670393</v>
      </c>
      <c r="Z202" s="7">
        <f t="shared" si="28"/>
        <v>0</v>
      </c>
    </row>
    <row r="203" spans="1:26" ht="12.75" customHeight="1" x14ac:dyDescent="0.2">
      <c r="A203" s="7" t="s">
        <v>218</v>
      </c>
      <c r="C203" s="7" t="s">
        <v>64</v>
      </c>
      <c r="D203" s="6"/>
      <c r="E203" s="8">
        <v>7777437</v>
      </c>
      <c r="F203" s="8"/>
      <c r="G203" s="8">
        <v>9519560</v>
      </c>
      <c r="H203" s="8"/>
      <c r="I203" s="8">
        <v>0</v>
      </c>
      <c r="J203" s="8"/>
      <c r="K203" s="8">
        <v>0</v>
      </c>
      <c r="L203" s="8"/>
      <c r="M203" s="8">
        <v>123459</v>
      </c>
      <c r="N203" s="8"/>
      <c r="O203" s="8">
        <v>1226679</v>
      </c>
      <c r="P203" s="8"/>
      <c r="Q203" s="8">
        <v>1196</v>
      </c>
      <c r="R203" s="8"/>
      <c r="S203" s="8">
        <v>167664</v>
      </c>
      <c r="T203" s="8"/>
      <c r="U203" s="8">
        <v>8000562</v>
      </c>
      <c r="V203" s="8"/>
      <c r="W203" s="8">
        <f t="shared" si="26"/>
        <v>8169422</v>
      </c>
      <c r="X203" s="8"/>
      <c r="Y203" s="7">
        <f t="shared" si="27"/>
        <v>1226679</v>
      </c>
      <c r="Z203" s="7">
        <f t="shared" si="28"/>
        <v>0</v>
      </c>
    </row>
    <row r="204" spans="1:26" ht="12.75" customHeight="1" x14ac:dyDescent="0.2">
      <c r="A204" s="7" t="s">
        <v>219</v>
      </c>
      <c r="C204" s="7" t="s">
        <v>25</v>
      </c>
      <c r="D204" s="6"/>
      <c r="E204" s="8">
        <f>2759383+958</f>
        <v>2760341</v>
      </c>
      <c r="F204" s="8"/>
      <c r="G204" s="8">
        <v>11068481</v>
      </c>
      <c r="H204" s="8"/>
      <c r="I204" s="8">
        <v>0</v>
      </c>
      <c r="J204" s="8"/>
      <c r="K204" s="8">
        <v>5999589</v>
      </c>
      <c r="L204" s="8"/>
      <c r="M204" s="8">
        <v>6673290</v>
      </c>
      <c r="N204" s="8"/>
      <c r="O204" s="8">
        <v>0</v>
      </c>
      <c r="P204" s="8"/>
      <c r="Q204" s="8">
        <v>39224</v>
      </c>
      <c r="R204" s="8"/>
      <c r="S204" s="8">
        <v>2530242</v>
      </c>
      <c r="T204" s="8"/>
      <c r="U204" s="8">
        <v>1825725</v>
      </c>
      <c r="V204" s="8"/>
      <c r="W204" s="8">
        <f t="shared" si="26"/>
        <v>4395191</v>
      </c>
      <c r="X204" s="8"/>
      <c r="Y204" s="7">
        <f t="shared" si="27"/>
        <v>0</v>
      </c>
      <c r="Z204" s="7">
        <f t="shared" si="28"/>
        <v>0</v>
      </c>
    </row>
    <row r="205" spans="1:26" ht="12.75" customHeight="1" x14ac:dyDescent="0.2">
      <c r="A205" s="7" t="s">
        <v>220</v>
      </c>
      <c r="B205" s="7"/>
      <c r="C205" s="7" t="s">
        <v>45</v>
      </c>
      <c r="D205" s="6"/>
      <c r="E205" s="8">
        <v>4814860</v>
      </c>
      <c r="F205" s="8"/>
      <c r="G205" s="8">
        <v>7140166</v>
      </c>
      <c r="H205" s="8"/>
      <c r="I205" s="8">
        <v>0</v>
      </c>
      <c r="J205" s="8"/>
      <c r="K205" s="8">
        <v>0</v>
      </c>
      <c r="L205" s="8"/>
      <c r="M205" s="8">
        <v>211439</v>
      </c>
      <c r="N205" s="8"/>
      <c r="O205" s="8">
        <v>1588480</v>
      </c>
      <c r="P205" s="8"/>
      <c r="Q205" s="8">
        <v>58086</v>
      </c>
      <c r="R205" s="8"/>
      <c r="S205" s="8">
        <v>1246027</v>
      </c>
      <c r="T205" s="8"/>
      <c r="U205" s="8">
        <v>4036134</v>
      </c>
      <c r="V205" s="8"/>
      <c r="W205" s="8">
        <f t="shared" si="26"/>
        <v>5340247</v>
      </c>
      <c r="X205" s="8"/>
      <c r="Y205" s="7">
        <f t="shared" si="27"/>
        <v>1588480</v>
      </c>
      <c r="Z205" s="7">
        <f t="shared" si="28"/>
        <v>0</v>
      </c>
    </row>
    <row r="206" spans="1:26" ht="12.75" customHeight="1" x14ac:dyDescent="0.2">
      <c r="A206" s="7" t="s">
        <v>221</v>
      </c>
      <c r="C206" s="7" t="s">
        <v>92</v>
      </c>
      <c r="D206" s="6"/>
      <c r="E206" s="8">
        <f>2650014+1430</f>
        <v>2651444</v>
      </c>
      <c r="F206" s="8"/>
      <c r="G206" s="8">
        <v>4426293</v>
      </c>
      <c r="H206" s="8"/>
      <c r="I206" s="8">
        <v>0</v>
      </c>
      <c r="J206" s="8"/>
      <c r="K206" s="8">
        <v>0</v>
      </c>
      <c r="L206" s="8"/>
      <c r="M206" s="8">
        <v>1361470</v>
      </c>
      <c r="N206" s="8"/>
      <c r="O206" s="8">
        <v>991020</v>
      </c>
      <c r="P206" s="8"/>
      <c r="Q206" s="8">
        <v>101145</v>
      </c>
      <c r="R206" s="8"/>
      <c r="S206" s="8">
        <f>3050+2929</f>
        <v>5979</v>
      </c>
      <c r="T206" s="8"/>
      <c r="U206" s="8">
        <v>1966679</v>
      </c>
      <c r="V206" s="8"/>
      <c r="W206" s="8">
        <f t="shared" si="26"/>
        <v>2073803</v>
      </c>
      <c r="X206" s="8"/>
      <c r="Y206" s="7">
        <f t="shared" si="27"/>
        <v>991020</v>
      </c>
      <c r="Z206" s="7">
        <f t="shared" si="28"/>
        <v>0</v>
      </c>
    </row>
    <row r="207" spans="1:26" ht="12.75" customHeight="1" x14ac:dyDescent="0.2">
      <c r="A207" s="7" t="s">
        <v>74</v>
      </c>
      <c r="C207" s="7" t="s">
        <v>130</v>
      </c>
      <c r="D207" s="6"/>
      <c r="E207" s="8">
        <f>3790377+28580+101455</f>
        <v>3920412</v>
      </c>
      <c r="F207" s="8"/>
      <c r="G207" s="8">
        <v>8601957</v>
      </c>
      <c r="H207" s="8"/>
      <c r="I207" s="8">
        <v>0</v>
      </c>
      <c r="J207" s="8"/>
      <c r="K207" s="8">
        <v>0</v>
      </c>
      <c r="L207" s="8"/>
      <c r="M207" s="8">
        <v>763940</v>
      </c>
      <c r="N207" s="8"/>
      <c r="O207" s="8">
        <v>3546634</v>
      </c>
      <c r="P207" s="8"/>
      <c r="Q207" s="8">
        <v>237393</v>
      </c>
      <c r="R207" s="8"/>
      <c r="S207" s="8">
        <v>100273</v>
      </c>
      <c r="T207" s="8"/>
      <c r="U207" s="8">
        <v>3953717</v>
      </c>
      <c r="V207" s="8"/>
      <c r="W207" s="8">
        <f t="shared" si="26"/>
        <v>4291383</v>
      </c>
      <c r="X207" s="8"/>
      <c r="Y207" s="7">
        <f t="shared" si="27"/>
        <v>3546634</v>
      </c>
      <c r="Z207" s="7">
        <f t="shared" si="28"/>
        <v>0</v>
      </c>
    </row>
    <row r="208" spans="1:26" ht="12.75" customHeight="1" x14ac:dyDescent="0.2">
      <c r="A208" s="7" t="s">
        <v>222</v>
      </c>
      <c r="C208" s="7" t="s">
        <v>25</v>
      </c>
      <c r="D208" s="6"/>
      <c r="E208" s="8">
        <v>2235150</v>
      </c>
      <c r="F208" s="8"/>
      <c r="G208" s="8">
        <v>5488345</v>
      </c>
      <c r="H208" s="8"/>
      <c r="I208" s="8">
        <v>0</v>
      </c>
      <c r="J208" s="8"/>
      <c r="K208" s="8">
        <v>0</v>
      </c>
      <c r="L208" s="8"/>
      <c r="M208" s="8">
        <v>398516</v>
      </c>
      <c r="N208" s="8"/>
      <c r="O208" s="8">
        <v>2302592</v>
      </c>
      <c r="P208" s="8"/>
      <c r="Q208" s="8">
        <v>24766</v>
      </c>
      <c r="R208" s="8"/>
      <c r="S208" s="8">
        <v>955660</v>
      </c>
      <c r="T208" s="8"/>
      <c r="U208" s="8">
        <v>1806811</v>
      </c>
      <c r="V208" s="8"/>
      <c r="W208" s="8">
        <f t="shared" si="26"/>
        <v>2787237</v>
      </c>
      <c r="X208" s="8"/>
      <c r="Y208" s="7">
        <f t="shared" si="27"/>
        <v>2302592</v>
      </c>
      <c r="Z208" s="7">
        <f t="shared" si="28"/>
        <v>0</v>
      </c>
    </row>
    <row r="209" spans="1:26" ht="12.75" customHeight="1" x14ac:dyDescent="0.2">
      <c r="A209" s="7" t="s">
        <v>223</v>
      </c>
      <c r="C209" s="7" t="s">
        <v>25</v>
      </c>
      <c r="D209" s="6"/>
      <c r="E209" s="8">
        <v>15057952</v>
      </c>
      <c r="F209" s="8"/>
      <c r="G209" s="8">
        <v>35004394</v>
      </c>
      <c r="H209" s="8"/>
      <c r="I209" s="8">
        <v>0</v>
      </c>
      <c r="J209" s="8"/>
      <c r="K209" s="8">
        <v>13683810</v>
      </c>
      <c r="L209" s="8"/>
      <c r="M209" s="8">
        <v>15227701</v>
      </c>
      <c r="N209" s="8"/>
      <c r="O209" s="8">
        <v>0</v>
      </c>
      <c r="P209" s="8"/>
      <c r="Q209" s="8">
        <v>195565</v>
      </c>
      <c r="R209" s="8"/>
      <c r="S209" s="8">
        <f>292726+12451743</f>
        <v>12744469</v>
      </c>
      <c r="T209" s="8"/>
      <c r="U209" s="8">
        <v>6836659</v>
      </c>
      <c r="V209" s="8"/>
      <c r="W209" s="8">
        <f t="shared" si="26"/>
        <v>19776693</v>
      </c>
      <c r="X209" s="8"/>
      <c r="Y209" s="7">
        <f t="shared" si="27"/>
        <v>0</v>
      </c>
      <c r="Z209" s="7">
        <f t="shared" si="28"/>
        <v>0</v>
      </c>
    </row>
    <row r="210" spans="1:26" ht="12.75" customHeight="1" x14ac:dyDescent="0.2">
      <c r="A210" s="9" t="s">
        <v>224</v>
      </c>
      <c r="B210" s="9"/>
      <c r="C210" s="9" t="s">
        <v>43</v>
      </c>
      <c r="D210" s="19"/>
      <c r="E210" s="8">
        <v>5646158</v>
      </c>
      <c r="F210" s="8"/>
      <c r="G210" s="8">
        <v>8729897</v>
      </c>
      <c r="H210" s="8"/>
      <c r="I210" s="8">
        <v>0</v>
      </c>
      <c r="J210" s="8"/>
      <c r="K210" s="8">
        <v>0</v>
      </c>
      <c r="L210" s="8"/>
      <c r="M210" s="8">
        <v>760819</v>
      </c>
      <c r="N210" s="8"/>
      <c r="O210" s="8">
        <v>577964</v>
      </c>
      <c r="P210" s="8"/>
      <c r="Q210" s="8">
        <v>43071</v>
      </c>
      <c r="R210" s="8"/>
      <c r="S210" s="8">
        <f>160085+405917</f>
        <v>566002</v>
      </c>
      <c r="T210" s="8"/>
      <c r="U210" s="8">
        <v>6782041</v>
      </c>
      <c r="V210" s="8"/>
      <c r="W210" s="8">
        <f t="shared" si="26"/>
        <v>7391114</v>
      </c>
      <c r="X210" s="8"/>
      <c r="Y210" s="7">
        <f t="shared" ref="Y210:Y228" si="29">+G210-M210-W210</f>
        <v>577964</v>
      </c>
      <c r="Z210" s="7">
        <f t="shared" si="28"/>
        <v>0</v>
      </c>
    </row>
    <row r="211" spans="1:26" s="9" customFormat="1" ht="12.75" customHeight="1" x14ac:dyDescent="0.2">
      <c r="A211" s="9" t="s">
        <v>225</v>
      </c>
      <c r="B211" s="21"/>
      <c r="C211" s="9" t="s">
        <v>15</v>
      </c>
      <c r="D211" s="19"/>
      <c r="E211" s="8">
        <v>658695</v>
      </c>
      <c r="F211" s="8"/>
      <c r="G211" s="8">
        <v>2666969</v>
      </c>
      <c r="H211" s="8"/>
      <c r="I211" s="8">
        <v>0</v>
      </c>
      <c r="J211" s="8"/>
      <c r="K211" s="8">
        <v>1643864</v>
      </c>
      <c r="L211" s="8"/>
      <c r="M211" s="8">
        <v>1886792</v>
      </c>
      <c r="N211" s="8"/>
      <c r="O211" s="8">
        <v>0</v>
      </c>
      <c r="P211" s="8"/>
      <c r="Q211" s="8">
        <v>25457</v>
      </c>
      <c r="R211" s="8"/>
      <c r="S211" s="8">
        <v>213095</v>
      </c>
      <c r="T211" s="8"/>
      <c r="U211" s="8">
        <v>541625</v>
      </c>
      <c r="V211" s="8"/>
      <c r="W211" s="8">
        <f t="shared" si="26"/>
        <v>780177</v>
      </c>
      <c r="X211" s="8"/>
      <c r="Y211" s="7">
        <f t="shared" si="29"/>
        <v>0</v>
      </c>
      <c r="Z211" s="7">
        <f t="shared" si="28"/>
        <v>0</v>
      </c>
    </row>
    <row r="212" spans="1:26" ht="12.75" customHeight="1" x14ac:dyDescent="0.2">
      <c r="A212" s="7" t="s">
        <v>226</v>
      </c>
      <c r="C212" s="7" t="s">
        <v>151</v>
      </c>
      <c r="D212" s="6"/>
      <c r="E212" s="8">
        <v>480501</v>
      </c>
      <c r="F212" s="8"/>
      <c r="G212" s="8">
        <v>1440462</v>
      </c>
      <c r="H212" s="8"/>
      <c r="I212" s="8">
        <v>0</v>
      </c>
      <c r="J212" s="8"/>
      <c r="K212" s="8">
        <v>445400</v>
      </c>
      <c r="L212" s="8"/>
      <c r="M212" s="8">
        <v>743629</v>
      </c>
      <c r="N212" s="8"/>
      <c r="O212" s="8">
        <v>0</v>
      </c>
      <c r="P212" s="8"/>
      <c r="Q212" s="8">
        <v>58577</v>
      </c>
      <c r="R212" s="8"/>
      <c r="S212" s="8">
        <v>324064</v>
      </c>
      <c r="T212" s="8"/>
      <c r="U212" s="8">
        <v>314192</v>
      </c>
      <c r="V212" s="8"/>
      <c r="W212" s="8">
        <f t="shared" si="26"/>
        <v>696833</v>
      </c>
      <c r="X212" s="8"/>
      <c r="Y212" s="7">
        <f t="shared" si="29"/>
        <v>0</v>
      </c>
      <c r="Z212" s="7">
        <f t="shared" si="28"/>
        <v>0</v>
      </c>
    </row>
    <row r="213" spans="1:26" ht="12.75" customHeight="1" x14ac:dyDescent="0.2">
      <c r="A213" s="7" t="s">
        <v>227</v>
      </c>
      <c r="C213" s="7" t="s">
        <v>226</v>
      </c>
      <c r="D213" s="6"/>
      <c r="E213" s="8">
        <f>6112073+109944</f>
        <v>6222017</v>
      </c>
      <c r="F213" s="8"/>
      <c r="G213" s="8">
        <v>11203405</v>
      </c>
      <c r="H213" s="8"/>
      <c r="I213" s="8">
        <v>0</v>
      </c>
      <c r="J213" s="8"/>
      <c r="K213" s="8">
        <v>0</v>
      </c>
      <c r="L213" s="8"/>
      <c r="M213" s="8">
        <v>2311348</v>
      </c>
      <c r="N213" s="8"/>
      <c r="O213" s="8">
        <v>3742867</v>
      </c>
      <c r="P213" s="8"/>
      <c r="Q213" s="8">
        <v>99137</v>
      </c>
      <c r="R213" s="8"/>
      <c r="S213" s="8">
        <f>64415+163878</f>
        <v>228293</v>
      </c>
      <c r="T213" s="8"/>
      <c r="U213" s="8">
        <v>4821760</v>
      </c>
      <c r="V213" s="8"/>
      <c r="W213" s="8">
        <f t="shared" si="26"/>
        <v>5149190</v>
      </c>
      <c r="X213" s="8"/>
      <c r="Y213" s="7">
        <f t="shared" si="29"/>
        <v>3742867</v>
      </c>
      <c r="Z213" s="7">
        <f t="shared" si="28"/>
        <v>0</v>
      </c>
    </row>
    <row r="214" spans="1:26" ht="12.75" hidden="1" customHeight="1" x14ac:dyDescent="0.2">
      <c r="A214" s="7" t="s">
        <v>228</v>
      </c>
      <c r="B214" s="7"/>
      <c r="C214" s="7" t="s">
        <v>43</v>
      </c>
      <c r="D214" s="6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>
        <f t="shared" si="26"/>
        <v>0</v>
      </c>
      <c r="X214" s="8"/>
      <c r="Y214" s="7">
        <f t="shared" si="29"/>
        <v>0</v>
      </c>
      <c r="Z214" s="7">
        <f t="shared" si="28"/>
        <v>0</v>
      </c>
    </row>
    <row r="215" spans="1:26" ht="12.75" customHeight="1" x14ac:dyDescent="0.2">
      <c r="A215" s="7" t="s">
        <v>229</v>
      </c>
      <c r="B215" s="7"/>
      <c r="C215" s="7" t="s">
        <v>25</v>
      </c>
      <c r="D215" s="6"/>
      <c r="E215" s="8">
        <f>21219737+101041</f>
        <v>21320778</v>
      </c>
      <c r="F215" s="8"/>
      <c r="G215" s="8">
        <v>30327144</v>
      </c>
      <c r="H215" s="8"/>
      <c r="I215" s="8">
        <v>0</v>
      </c>
      <c r="J215" s="8"/>
      <c r="K215" s="8">
        <v>0</v>
      </c>
      <c r="L215" s="8"/>
      <c r="M215" s="8">
        <v>1225076</v>
      </c>
      <c r="N215" s="8"/>
      <c r="O215" s="8">
        <v>4488268</v>
      </c>
      <c r="P215" s="8"/>
      <c r="Q215" s="8">
        <v>912423</v>
      </c>
      <c r="R215" s="8"/>
      <c r="S215" s="8">
        <f>557390+911372</f>
        <v>1468762</v>
      </c>
      <c r="T215" s="8"/>
      <c r="U215" s="8">
        <v>22232615</v>
      </c>
      <c r="V215" s="8"/>
      <c r="W215" s="8">
        <f t="shared" si="26"/>
        <v>24613800</v>
      </c>
      <c r="X215" s="8"/>
      <c r="Y215" s="7">
        <f t="shared" si="29"/>
        <v>4488268</v>
      </c>
      <c r="Z215" s="7">
        <f t="shared" si="28"/>
        <v>0</v>
      </c>
    </row>
    <row r="216" spans="1:26" ht="12.75" customHeight="1" x14ac:dyDescent="0.2">
      <c r="A216" s="7" t="s">
        <v>230</v>
      </c>
      <c r="C216" s="7" t="s">
        <v>25</v>
      </c>
      <c r="D216" s="6"/>
      <c r="E216" s="8">
        <f>4004804+60680</f>
        <v>4065484</v>
      </c>
      <c r="F216" s="8"/>
      <c r="G216" s="8">
        <v>13741615</v>
      </c>
      <c r="H216" s="8"/>
      <c r="I216" s="8">
        <v>0</v>
      </c>
      <c r="J216" s="8"/>
      <c r="K216" s="8">
        <v>0</v>
      </c>
      <c r="L216" s="8"/>
      <c r="M216" s="8">
        <v>886538</v>
      </c>
      <c r="N216" s="8"/>
      <c r="O216" s="8">
        <v>7742089</v>
      </c>
      <c r="P216" s="8"/>
      <c r="Q216" s="8">
        <v>156529</v>
      </c>
      <c r="R216" s="8"/>
      <c r="S216" s="8">
        <v>377704</v>
      </c>
      <c r="T216" s="8"/>
      <c r="U216" s="8">
        <v>4578755</v>
      </c>
      <c r="V216" s="8"/>
      <c r="W216" s="8">
        <f t="shared" si="26"/>
        <v>5112988</v>
      </c>
      <c r="X216" s="8"/>
      <c r="Y216" s="7">
        <f t="shared" si="29"/>
        <v>7742089</v>
      </c>
      <c r="Z216" s="7">
        <f t="shared" si="28"/>
        <v>0</v>
      </c>
    </row>
    <row r="217" spans="1:26" ht="12.75" customHeight="1" x14ac:dyDescent="0.2">
      <c r="A217" s="7" t="s">
        <v>231</v>
      </c>
      <c r="C217" s="7" t="s">
        <v>109</v>
      </c>
      <c r="D217" s="6"/>
      <c r="E217" s="8">
        <f>1880353+5517945</f>
        <v>7398298</v>
      </c>
      <c r="F217" s="8"/>
      <c r="G217" s="8">
        <v>9832071</v>
      </c>
      <c r="H217" s="8"/>
      <c r="I217" s="8">
        <v>0</v>
      </c>
      <c r="J217" s="8"/>
      <c r="K217" s="8">
        <v>0</v>
      </c>
      <c r="L217" s="8"/>
      <c r="M217" s="8">
        <v>479982</v>
      </c>
      <c r="N217" s="8"/>
      <c r="O217" s="8">
        <v>1357725</v>
      </c>
      <c r="P217" s="8"/>
      <c r="Q217" s="8">
        <v>141708</v>
      </c>
      <c r="R217" s="8"/>
      <c r="S217" s="8">
        <v>328242</v>
      </c>
      <c r="T217" s="8"/>
      <c r="U217" s="8">
        <v>7524414</v>
      </c>
      <c r="V217" s="8"/>
      <c r="W217" s="8">
        <f t="shared" si="26"/>
        <v>7994364</v>
      </c>
      <c r="X217" s="8"/>
      <c r="Y217" s="7">
        <f t="shared" si="29"/>
        <v>1357725</v>
      </c>
      <c r="Z217" s="7">
        <f t="shared" si="28"/>
        <v>0</v>
      </c>
    </row>
    <row r="218" spans="1:26" ht="12.75" customHeight="1" x14ac:dyDescent="0.2">
      <c r="A218" s="9" t="s">
        <v>232</v>
      </c>
      <c r="B218" s="9"/>
      <c r="C218" s="9" t="s">
        <v>43</v>
      </c>
      <c r="D218" s="19"/>
      <c r="E218" s="8">
        <f>5163761+29740</f>
        <v>5193501</v>
      </c>
      <c r="F218" s="8"/>
      <c r="G218" s="8">
        <v>11790740</v>
      </c>
      <c r="H218" s="8"/>
      <c r="I218" s="8">
        <v>0</v>
      </c>
      <c r="J218" s="8"/>
      <c r="K218" s="8">
        <v>0</v>
      </c>
      <c r="L218" s="8"/>
      <c r="M218" s="8">
        <v>2249060</v>
      </c>
      <c r="N218" s="8"/>
      <c r="O218" s="8">
        <v>1757702</v>
      </c>
      <c r="P218" s="8"/>
      <c r="Q218" s="8">
        <v>852609</v>
      </c>
      <c r="R218" s="8"/>
      <c r="S218" s="8">
        <v>524316</v>
      </c>
      <c r="T218" s="8"/>
      <c r="U218" s="8">
        <v>6407053</v>
      </c>
      <c r="V218" s="8"/>
      <c r="W218" s="8">
        <f t="shared" si="26"/>
        <v>7783978</v>
      </c>
      <c r="X218" s="8"/>
      <c r="Y218" s="7">
        <f t="shared" si="29"/>
        <v>1757702</v>
      </c>
      <c r="Z218" s="7">
        <f t="shared" si="28"/>
        <v>0</v>
      </c>
    </row>
    <row r="219" spans="1:26" ht="12.75" customHeight="1" x14ac:dyDescent="0.2">
      <c r="A219" s="7" t="s">
        <v>233</v>
      </c>
      <c r="B219" s="7"/>
      <c r="C219" s="7" t="s">
        <v>181</v>
      </c>
      <c r="D219" s="6"/>
      <c r="E219" s="8">
        <f>5900032+517600</f>
        <v>6417632</v>
      </c>
      <c r="F219" s="8"/>
      <c r="G219" s="8">
        <v>14775770</v>
      </c>
      <c r="H219" s="8"/>
      <c r="I219" s="8">
        <v>0</v>
      </c>
      <c r="J219" s="8"/>
      <c r="K219" s="8">
        <v>0</v>
      </c>
      <c r="L219" s="8"/>
      <c r="M219" s="8">
        <v>3340500</v>
      </c>
      <c r="N219" s="8"/>
      <c r="O219" s="8">
        <v>4803255</v>
      </c>
      <c r="P219" s="8"/>
      <c r="Q219" s="8">
        <f>2682+89688</f>
        <v>92370</v>
      </c>
      <c r="R219" s="8"/>
      <c r="S219" s="8">
        <f>1433353+189654</f>
        <v>1623007</v>
      </c>
      <c r="T219" s="8"/>
      <c r="U219" s="8">
        <v>4916638</v>
      </c>
      <c r="V219" s="8"/>
      <c r="W219" s="8">
        <f t="shared" si="26"/>
        <v>6632015</v>
      </c>
      <c r="X219" s="8"/>
      <c r="Y219" s="7">
        <f t="shared" si="29"/>
        <v>4803255</v>
      </c>
      <c r="Z219" s="7">
        <f t="shared" si="28"/>
        <v>0</v>
      </c>
    </row>
    <row r="220" spans="1:26" ht="12.75" hidden="1" customHeight="1" x14ac:dyDescent="0.2">
      <c r="A220" s="7" t="s">
        <v>234</v>
      </c>
      <c r="C220" s="7" t="s">
        <v>43</v>
      </c>
      <c r="D220" s="6"/>
      <c r="E220" s="8">
        <f>4030355+6303</f>
        <v>4036658</v>
      </c>
      <c r="F220" s="8"/>
      <c r="G220" s="8">
        <v>5939737</v>
      </c>
      <c r="H220" s="8"/>
      <c r="I220" s="8"/>
      <c r="J220" s="8"/>
      <c r="K220" s="8">
        <v>1002357</v>
      </c>
      <c r="L220" s="8"/>
      <c r="M220" s="8">
        <v>2073014</v>
      </c>
      <c r="N220" s="8"/>
      <c r="O220" s="8"/>
      <c r="P220" s="8"/>
      <c r="Q220" s="8">
        <v>121706</v>
      </c>
      <c r="R220" s="8"/>
      <c r="S220" s="8">
        <v>25557</v>
      </c>
      <c r="T220" s="8"/>
      <c r="U220" s="8">
        <v>3719460</v>
      </c>
      <c r="V220" s="8"/>
      <c r="W220" s="8">
        <f t="shared" si="26"/>
        <v>3866723</v>
      </c>
      <c r="X220" s="8"/>
      <c r="Y220" s="7">
        <f t="shared" si="29"/>
        <v>0</v>
      </c>
      <c r="Z220" s="7">
        <f t="shared" si="28"/>
        <v>0</v>
      </c>
    </row>
    <row r="221" spans="1:26" ht="12.75" hidden="1" customHeight="1" x14ac:dyDescent="0.2">
      <c r="A221" s="7" t="s">
        <v>235</v>
      </c>
      <c r="B221" s="7"/>
      <c r="C221" s="7" t="s">
        <v>31</v>
      </c>
      <c r="D221" s="6"/>
      <c r="E221" s="8">
        <v>87937</v>
      </c>
      <c r="F221" s="8"/>
      <c r="G221" s="8">
        <v>1026897</v>
      </c>
      <c r="H221" s="8"/>
      <c r="I221" s="8"/>
      <c r="J221" s="8"/>
      <c r="K221" s="8">
        <v>764076</v>
      </c>
      <c r="L221" s="8"/>
      <c r="M221" s="8">
        <v>992552</v>
      </c>
      <c r="N221" s="8"/>
      <c r="O221" s="8"/>
      <c r="P221" s="8"/>
      <c r="Q221" s="8">
        <v>4283</v>
      </c>
      <c r="R221" s="8"/>
      <c r="S221" s="8">
        <v>0</v>
      </c>
      <c r="T221" s="8"/>
      <c r="U221" s="8">
        <v>30062</v>
      </c>
      <c r="V221" s="8"/>
      <c r="W221" s="8">
        <f t="shared" si="26"/>
        <v>34345</v>
      </c>
      <c r="X221" s="8"/>
      <c r="Y221" s="7">
        <f t="shared" si="29"/>
        <v>0</v>
      </c>
      <c r="Z221" s="7">
        <f t="shared" si="28"/>
        <v>0</v>
      </c>
    </row>
    <row r="222" spans="1:26" ht="12.75" customHeight="1" x14ac:dyDescent="0.2">
      <c r="A222" s="7" t="s">
        <v>236</v>
      </c>
      <c r="C222" s="7" t="s">
        <v>237</v>
      </c>
      <c r="D222" s="6"/>
      <c r="E222" s="8">
        <f>3316062+1908</f>
        <v>3317970</v>
      </c>
      <c r="F222" s="8"/>
      <c r="G222" s="8">
        <v>4272183</v>
      </c>
      <c r="H222" s="8"/>
      <c r="I222" s="8">
        <v>0</v>
      </c>
      <c r="J222" s="8"/>
      <c r="K222" s="8">
        <v>0</v>
      </c>
      <c r="L222" s="8"/>
      <c r="M222" s="8">
        <v>148070</v>
      </c>
      <c r="N222" s="8"/>
      <c r="O222" s="8">
        <v>591907</v>
      </c>
      <c r="P222" s="8"/>
      <c r="Q222" s="8">
        <v>78269</v>
      </c>
      <c r="R222" s="8"/>
      <c r="S222" s="8">
        <v>2058298</v>
      </c>
      <c r="T222" s="8"/>
      <c r="U222" s="8">
        <v>1395639</v>
      </c>
      <c r="V222" s="8"/>
      <c r="W222" s="8">
        <f t="shared" si="26"/>
        <v>3532206</v>
      </c>
      <c r="X222" s="8"/>
      <c r="Y222" s="7">
        <f t="shared" si="29"/>
        <v>591907</v>
      </c>
      <c r="Z222" s="7">
        <f t="shared" si="28"/>
        <v>0</v>
      </c>
    </row>
    <row r="223" spans="1:26" ht="12.75" customHeight="1" x14ac:dyDescent="0.2">
      <c r="A223" s="7" t="s">
        <v>480</v>
      </c>
      <c r="C223" s="7" t="s">
        <v>247</v>
      </c>
      <c r="D223" s="6"/>
      <c r="E223" s="8">
        <v>2305727</v>
      </c>
      <c r="F223" s="8"/>
      <c r="G223" s="8">
        <v>6929680</v>
      </c>
      <c r="H223" s="8"/>
      <c r="I223" s="8">
        <v>0</v>
      </c>
      <c r="J223" s="8"/>
      <c r="K223" s="8">
        <v>0</v>
      </c>
      <c r="L223" s="8"/>
      <c r="M223" s="8">
        <v>785644</v>
      </c>
      <c r="N223" s="8"/>
      <c r="O223" s="8">
        <v>3901624</v>
      </c>
      <c r="P223" s="8"/>
      <c r="Q223" s="8">
        <v>297807</v>
      </c>
      <c r="R223" s="8"/>
      <c r="S223" s="8">
        <v>0</v>
      </c>
      <c r="T223" s="8"/>
      <c r="U223" s="8">
        <v>1944605</v>
      </c>
      <c r="V223" s="8"/>
      <c r="W223" s="8">
        <f t="shared" si="26"/>
        <v>2242412</v>
      </c>
      <c r="X223" s="8"/>
      <c r="Y223" s="7">
        <f t="shared" si="29"/>
        <v>3901624</v>
      </c>
      <c r="Z223" s="7">
        <f t="shared" si="28"/>
        <v>0</v>
      </c>
    </row>
    <row r="224" spans="1:26" ht="12.75" customHeight="1" x14ac:dyDescent="0.2">
      <c r="A224" s="7" t="s">
        <v>238</v>
      </c>
      <c r="C224" s="7" t="s">
        <v>11</v>
      </c>
      <c r="D224" s="6"/>
      <c r="E224" s="8">
        <v>4689754</v>
      </c>
      <c r="F224" s="8"/>
      <c r="G224" s="8">
        <v>12291574</v>
      </c>
      <c r="H224" s="8"/>
      <c r="I224" s="8">
        <v>0</v>
      </c>
      <c r="J224" s="8"/>
      <c r="K224" s="8">
        <v>0</v>
      </c>
      <c r="L224" s="8"/>
      <c r="M224" s="8">
        <v>1369267</v>
      </c>
      <c r="N224" s="8"/>
      <c r="O224" s="8">
        <v>5923355</v>
      </c>
      <c r="P224" s="8"/>
      <c r="Q224" s="8">
        <v>286318</v>
      </c>
      <c r="R224" s="8"/>
      <c r="S224" s="8">
        <f>17955+3471773</f>
        <v>3489728</v>
      </c>
      <c r="T224" s="8"/>
      <c r="U224" s="8">
        <v>1222906</v>
      </c>
      <c r="V224" s="8"/>
      <c r="W224" s="8">
        <f t="shared" si="26"/>
        <v>4998952</v>
      </c>
      <c r="X224" s="8"/>
      <c r="Y224" s="7">
        <f t="shared" si="29"/>
        <v>5923355</v>
      </c>
      <c r="Z224" s="7">
        <f t="shared" si="28"/>
        <v>0</v>
      </c>
    </row>
    <row r="225" spans="1:27" ht="12.75" customHeight="1" x14ac:dyDescent="0.2">
      <c r="A225" s="7" t="s">
        <v>239</v>
      </c>
      <c r="B225" s="7"/>
      <c r="C225" s="7" t="s">
        <v>20</v>
      </c>
      <c r="D225" s="6"/>
      <c r="E225" s="8">
        <v>2245400</v>
      </c>
      <c r="F225" s="8"/>
      <c r="G225" s="8">
        <v>6207667</v>
      </c>
      <c r="H225" s="8"/>
      <c r="I225" s="8">
        <v>0</v>
      </c>
      <c r="J225" s="8"/>
      <c r="K225" s="8">
        <v>0</v>
      </c>
      <c r="L225" s="8"/>
      <c r="M225" s="8">
        <v>466892</v>
      </c>
      <c r="N225" s="8"/>
      <c r="O225" s="8">
        <v>2290701</v>
      </c>
      <c r="P225" s="8"/>
      <c r="Q225" s="8">
        <v>150190</v>
      </c>
      <c r="R225" s="8"/>
      <c r="S225" s="8">
        <f>93055+1022758</f>
        <v>1115813</v>
      </c>
      <c r="T225" s="8"/>
      <c r="U225" s="8">
        <v>2184071</v>
      </c>
      <c r="V225" s="8"/>
      <c r="W225" s="8">
        <f t="shared" si="26"/>
        <v>3450074</v>
      </c>
      <c r="X225" s="8"/>
      <c r="Y225" s="7">
        <f t="shared" si="29"/>
        <v>2290701</v>
      </c>
      <c r="Z225" s="7">
        <f t="shared" si="28"/>
        <v>0</v>
      </c>
    </row>
    <row r="226" spans="1:27" ht="12.75" customHeight="1" x14ac:dyDescent="0.2">
      <c r="A226" s="7" t="s">
        <v>240</v>
      </c>
      <c r="C226" s="7" t="s">
        <v>25</v>
      </c>
      <c r="D226" s="6"/>
      <c r="E226" s="8">
        <v>9019554</v>
      </c>
      <c r="F226" s="8"/>
      <c r="G226" s="8">
        <v>20221874</v>
      </c>
      <c r="H226" s="8"/>
      <c r="I226" s="8">
        <v>0</v>
      </c>
      <c r="J226" s="8"/>
      <c r="K226" s="8">
        <v>0</v>
      </c>
      <c r="L226" s="8"/>
      <c r="M226" s="8">
        <v>1029058</v>
      </c>
      <c r="N226" s="8"/>
      <c r="O226" s="8">
        <v>3444193</v>
      </c>
      <c r="P226" s="8"/>
      <c r="Q226" s="8">
        <v>57252</v>
      </c>
      <c r="R226" s="8"/>
      <c r="S226" s="8">
        <f>1587387+174133</f>
        <v>1761520</v>
      </c>
      <c r="T226" s="8"/>
      <c r="U226" s="8">
        <v>13929851</v>
      </c>
      <c r="V226" s="8"/>
      <c r="W226" s="8">
        <f t="shared" si="26"/>
        <v>15748623</v>
      </c>
      <c r="X226" s="8"/>
      <c r="Y226" s="7">
        <f t="shared" si="29"/>
        <v>3444193</v>
      </c>
      <c r="Z226" s="7">
        <f t="shared" si="28"/>
        <v>0</v>
      </c>
    </row>
    <row r="227" spans="1:27" ht="12.75" customHeight="1" x14ac:dyDescent="0.2">
      <c r="A227" s="7" t="s">
        <v>510</v>
      </c>
      <c r="B227" s="7"/>
      <c r="C227" s="7" t="s">
        <v>59</v>
      </c>
      <c r="D227" s="6"/>
      <c r="E227" s="8">
        <v>473208</v>
      </c>
      <c r="F227" s="8"/>
      <c r="G227" s="8">
        <v>473208</v>
      </c>
      <c r="H227" s="8"/>
      <c r="I227" s="8">
        <v>0</v>
      </c>
      <c r="J227" s="8"/>
      <c r="K227" s="8">
        <v>0</v>
      </c>
      <c r="L227" s="8"/>
      <c r="M227" s="8">
        <v>0</v>
      </c>
      <c r="N227" s="8"/>
      <c r="O227" s="8">
        <v>0</v>
      </c>
      <c r="P227" s="8"/>
      <c r="Q227" s="8">
        <v>0</v>
      </c>
      <c r="R227" s="8"/>
      <c r="S227" s="8">
        <f>51588+4493+271824</f>
        <v>327905</v>
      </c>
      <c r="T227" s="8"/>
      <c r="U227" s="8">
        <v>145303</v>
      </c>
      <c r="V227" s="8"/>
      <c r="W227" s="8">
        <f t="shared" ref="W227" si="30">+U227+S227+Q227</f>
        <v>473208</v>
      </c>
      <c r="X227" s="8"/>
      <c r="Y227" s="7">
        <f t="shared" ref="Y227" si="31">+G227-M227-W227</f>
        <v>0</v>
      </c>
      <c r="Z227" s="7">
        <f t="shared" ref="Z227" si="32">+G227-M227-W227+I227-O227</f>
        <v>0</v>
      </c>
    </row>
    <row r="228" spans="1:27" ht="12.75" customHeight="1" x14ac:dyDescent="0.2">
      <c r="A228" s="7" t="s">
        <v>241</v>
      </c>
      <c r="B228" s="7"/>
      <c r="C228" s="7" t="s">
        <v>161</v>
      </c>
      <c r="D228" s="6"/>
      <c r="E228" s="8">
        <f>1106255+3860296</f>
        <v>4966551</v>
      </c>
      <c r="F228" s="8"/>
      <c r="G228" s="8">
        <v>8304949</v>
      </c>
      <c r="H228" s="8"/>
      <c r="I228" s="8">
        <v>0</v>
      </c>
      <c r="J228" s="8"/>
      <c r="K228" s="8">
        <v>0</v>
      </c>
      <c r="L228" s="8"/>
      <c r="M228" s="8">
        <v>700354</v>
      </c>
      <c r="N228" s="8"/>
      <c r="O228" s="8">
        <v>1733843</v>
      </c>
      <c r="P228" s="8"/>
      <c r="Q228" s="8">
        <v>444310</v>
      </c>
      <c r="R228" s="8"/>
      <c r="S228" s="8">
        <v>19409</v>
      </c>
      <c r="T228" s="8"/>
      <c r="U228" s="8">
        <v>5407033</v>
      </c>
      <c r="V228" s="8"/>
      <c r="W228" s="8">
        <f t="shared" ref="W228" si="33">+U228+S228+Q228</f>
        <v>5870752</v>
      </c>
      <c r="X228" s="8"/>
      <c r="Y228" s="7">
        <f t="shared" si="29"/>
        <v>1733843</v>
      </c>
      <c r="Z228" s="7">
        <f t="shared" ref="Z228:Z241" si="34">+G228-M228-W228+I228-O228</f>
        <v>0</v>
      </c>
    </row>
    <row r="229" spans="1:27" ht="12.75" customHeight="1" x14ac:dyDescent="0.2">
      <c r="A229" s="7" t="s">
        <v>242</v>
      </c>
      <c r="C229" s="7" t="s">
        <v>11</v>
      </c>
      <c r="D229" s="6"/>
      <c r="E229" s="8">
        <v>5062056</v>
      </c>
      <c r="F229" s="8"/>
      <c r="G229" s="8">
        <v>8626552</v>
      </c>
      <c r="H229" s="8"/>
      <c r="I229" s="8">
        <v>0</v>
      </c>
      <c r="J229" s="8"/>
      <c r="K229" s="8">
        <v>0</v>
      </c>
      <c r="L229" s="8"/>
      <c r="M229" s="8">
        <v>415078</v>
      </c>
      <c r="N229" s="8"/>
      <c r="O229" s="8">
        <v>1916612</v>
      </c>
      <c r="P229" s="8"/>
      <c r="Q229" s="8">
        <v>103426</v>
      </c>
      <c r="R229" s="8"/>
      <c r="S229" s="8">
        <v>206371</v>
      </c>
      <c r="T229" s="8"/>
      <c r="U229" s="8">
        <v>5985065</v>
      </c>
      <c r="V229" s="8"/>
      <c r="W229" s="8">
        <f t="shared" ref="W229:W241" si="35">+U229+S229+Q229</f>
        <v>6294862</v>
      </c>
      <c r="X229" s="8"/>
      <c r="Y229" s="7">
        <f t="shared" ref="Y229:Y241" si="36">+G229-M229-W229</f>
        <v>1916612</v>
      </c>
      <c r="Z229" s="7">
        <f t="shared" si="34"/>
        <v>0</v>
      </c>
    </row>
    <row r="230" spans="1:27" ht="12.75" customHeight="1" x14ac:dyDescent="0.2">
      <c r="A230" s="7" t="s">
        <v>243</v>
      </c>
      <c r="C230" s="7" t="s">
        <v>108</v>
      </c>
      <c r="D230" s="6"/>
      <c r="E230" s="8">
        <v>1415966</v>
      </c>
      <c r="F230" s="8"/>
      <c r="G230" s="8">
        <v>4542810</v>
      </c>
      <c r="H230" s="8"/>
      <c r="I230" s="8">
        <v>0</v>
      </c>
      <c r="J230" s="8"/>
      <c r="K230" s="8">
        <v>0</v>
      </c>
      <c r="L230" s="8"/>
      <c r="M230" s="8">
        <v>635927</v>
      </c>
      <c r="N230" s="8"/>
      <c r="O230" s="8">
        <v>2166362</v>
      </c>
      <c r="P230" s="8"/>
      <c r="Q230" s="8">
        <v>59528</v>
      </c>
      <c r="R230" s="8"/>
      <c r="S230" s="8">
        <v>106993</v>
      </c>
      <c r="T230" s="8"/>
      <c r="U230" s="8">
        <v>1574000</v>
      </c>
      <c r="V230" s="8"/>
      <c r="W230" s="8">
        <f t="shared" si="35"/>
        <v>1740521</v>
      </c>
      <c r="X230" s="8"/>
      <c r="Y230" s="7">
        <f t="shared" si="36"/>
        <v>2166362</v>
      </c>
      <c r="Z230" s="7">
        <f t="shared" si="34"/>
        <v>0</v>
      </c>
    </row>
    <row r="231" spans="1:27" s="9" customFormat="1" ht="12.75" customHeight="1" x14ac:dyDescent="0.2">
      <c r="A231" s="9" t="s">
        <v>244</v>
      </c>
      <c r="C231" s="9" t="s">
        <v>207</v>
      </c>
      <c r="D231" s="19"/>
      <c r="E231" s="8">
        <f>2591947+1342612</f>
        <v>3934559</v>
      </c>
      <c r="F231" s="8"/>
      <c r="G231" s="8">
        <v>6287004</v>
      </c>
      <c r="H231" s="8"/>
      <c r="I231" s="8">
        <v>0</v>
      </c>
      <c r="J231" s="8"/>
      <c r="K231" s="8">
        <v>0</v>
      </c>
      <c r="L231" s="8"/>
      <c r="M231" s="8">
        <v>412975</v>
      </c>
      <c r="N231" s="8"/>
      <c r="O231" s="8">
        <v>920692</v>
      </c>
      <c r="P231" s="8"/>
      <c r="Q231" s="8">
        <v>101889</v>
      </c>
      <c r="R231" s="8"/>
      <c r="S231" s="8">
        <v>127985</v>
      </c>
      <c r="T231" s="8"/>
      <c r="U231" s="8">
        <v>4723463</v>
      </c>
      <c r="V231" s="8"/>
      <c r="W231" s="8">
        <f t="shared" si="35"/>
        <v>4953337</v>
      </c>
      <c r="X231" s="8"/>
      <c r="Y231" s="7">
        <f t="shared" si="36"/>
        <v>920692</v>
      </c>
      <c r="Z231" s="7">
        <f t="shared" si="34"/>
        <v>0</v>
      </c>
    </row>
    <row r="232" spans="1:27" ht="12.75" hidden="1" customHeight="1" x14ac:dyDescent="0.2">
      <c r="A232" s="7" t="s">
        <v>245</v>
      </c>
      <c r="B232" s="7"/>
      <c r="C232" s="7" t="s">
        <v>161</v>
      </c>
      <c r="D232" s="6"/>
      <c r="E232" s="8">
        <f>9656000+8989000+498000+23168000</f>
        <v>42311000</v>
      </c>
      <c r="F232" s="8"/>
      <c r="G232" s="8">
        <v>92293000</v>
      </c>
      <c r="H232" s="8"/>
      <c r="I232" s="8">
        <v>0</v>
      </c>
      <c r="J232" s="8"/>
      <c r="K232" s="8">
        <v>0</v>
      </c>
      <c r="L232" s="8"/>
      <c r="M232" s="8">
        <v>87285000</v>
      </c>
      <c r="N232" s="8"/>
      <c r="O232" s="8">
        <v>0</v>
      </c>
      <c r="P232" s="8"/>
      <c r="Q232" s="8">
        <f>850000+5406000</f>
        <v>6256000</v>
      </c>
      <c r="R232" s="8"/>
      <c r="S232" s="8">
        <v>326000</v>
      </c>
      <c r="T232" s="8"/>
      <c r="U232" s="8">
        <v>-1574000</v>
      </c>
      <c r="V232" s="8"/>
      <c r="W232" s="8">
        <f t="shared" si="35"/>
        <v>5008000</v>
      </c>
      <c r="X232" s="8"/>
      <c r="Y232" s="7">
        <f t="shared" si="36"/>
        <v>0</v>
      </c>
      <c r="Z232" s="7">
        <f t="shared" si="34"/>
        <v>0</v>
      </c>
      <c r="AA232" s="10"/>
    </row>
    <row r="233" spans="1:27" ht="12.75" customHeight="1" x14ac:dyDescent="0.2">
      <c r="A233" s="7" t="s">
        <v>246</v>
      </c>
      <c r="B233" s="7"/>
      <c r="C233" s="7" t="s">
        <v>247</v>
      </c>
      <c r="D233" s="6"/>
      <c r="E233" s="8">
        <v>785598</v>
      </c>
      <c r="F233" s="8"/>
      <c r="G233" s="8">
        <v>1863859</v>
      </c>
      <c r="H233" s="8"/>
      <c r="I233" s="8">
        <v>0</v>
      </c>
      <c r="J233" s="8"/>
      <c r="K233" s="8">
        <v>799828</v>
      </c>
      <c r="L233" s="8"/>
      <c r="M233" s="8">
        <v>834046</v>
      </c>
      <c r="N233" s="8"/>
      <c r="O233" s="8">
        <v>0</v>
      </c>
      <c r="P233" s="8"/>
      <c r="Q233" s="8">
        <v>20198</v>
      </c>
      <c r="R233" s="8"/>
      <c r="S233" s="8">
        <f>98378+20028</f>
        <v>118406</v>
      </c>
      <c r="T233" s="8"/>
      <c r="U233" s="8">
        <v>891209</v>
      </c>
      <c r="V233" s="8"/>
      <c r="W233" s="8">
        <f t="shared" si="35"/>
        <v>1029813</v>
      </c>
      <c r="X233" s="8"/>
      <c r="Y233" s="7">
        <f t="shared" si="36"/>
        <v>0</v>
      </c>
      <c r="Z233" s="7">
        <f t="shared" si="34"/>
        <v>0</v>
      </c>
    </row>
    <row r="234" spans="1:27" ht="12.75" customHeight="1" x14ac:dyDescent="0.2">
      <c r="A234" s="7" t="s">
        <v>248</v>
      </c>
      <c r="C234" s="7" t="s">
        <v>101</v>
      </c>
      <c r="D234" s="6"/>
      <c r="E234" s="8">
        <v>1880939</v>
      </c>
      <c r="F234" s="8"/>
      <c r="G234" s="8">
        <v>2758329</v>
      </c>
      <c r="H234" s="8"/>
      <c r="I234" s="8">
        <v>0</v>
      </c>
      <c r="J234" s="8"/>
      <c r="K234" s="8">
        <v>0</v>
      </c>
      <c r="L234" s="8"/>
      <c r="M234" s="8">
        <v>594313</v>
      </c>
      <c r="N234" s="8"/>
      <c r="O234" s="8">
        <v>342105</v>
      </c>
      <c r="P234" s="8"/>
      <c r="Q234" s="8">
        <v>5015</v>
      </c>
      <c r="R234" s="8"/>
      <c r="S234" s="8">
        <f>547549+8803</f>
        <v>556352</v>
      </c>
      <c r="T234" s="8"/>
      <c r="U234" s="8">
        <v>1260544</v>
      </c>
      <c r="V234" s="8"/>
      <c r="W234" s="8">
        <f t="shared" si="35"/>
        <v>1821911</v>
      </c>
      <c r="X234" s="8"/>
      <c r="Y234" s="7">
        <f t="shared" si="36"/>
        <v>342105</v>
      </c>
      <c r="Z234" s="7">
        <f t="shared" si="34"/>
        <v>0</v>
      </c>
    </row>
    <row r="235" spans="1:27" ht="12.75" customHeight="1" x14ac:dyDescent="0.2">
      <c r="A235" s="7" t="s">
        <v>249</v>
      </c>
      <c r="C235" s="7" t="s">
        <v>64</v>
      </c>
      <c r="D235" s="6"/>
      <c r="E235" s="8">
        <f>882376+74955</f>
        <v>957331</v>
      </c>
      <c r="F235" s="8"/>
      <c r="G235" s="8">
        <v>5663805</v>
      </c>
      <c r="H235" s="8"/>
      <c r="I235" s="8">
        <v>0</v>
      </c>
      <c r="J235" s="8"/>
      <c r="K235" s="8">
        <v>4077866</v>
      </c>
      <c r="L235" s="8"/>
      <c r="M235" s="8">
        <v>4801964</v>
      </c>
      <c r="N235" s="8"/>
      <c r="O235" s="8">
        <v>0</v>
      </c>
      <c r="P235" s="8"/>
      <c r="Q235" s="8">
        <v>0</v>
      </c>
      <c r="R235" s="8"/>
      <c r="S235" s="8">
        <v>678551</v>
      </c>
      <c r="T235" s="8"/>
      <c r="U235" s="8">
        <v>183290</v>
      </c>
      <c r="V235" s="8"/>
      <c r="W235" s="8">
        <f t="shared" si="35"/>
        <v>861841</v>
      </c>
      <c r="X235" s="8"/>
      <c r="Y235" s="7">
        <f t="shared" si="36"/>
        <v>0</v>
      </c>
      <c r="Z235" s="7">
        <f t="shared" si="34"/>
        <v>0</v>
      </c>
    </row>
    <row r="236" spans="1:27" ht="12.75" customHeight="1" x14ac:dyDescent="0.2">
      <c r="A236" s="7" t="s">
        <v>250</v>
      </c>
      <c r="C236" s="7" t="s">
        <v>207</v>
      </c>
      <c r="D236" s="6"/>
      <c r="E236" s="8">
        <v>48928371</v>
      </c>
      <c r="F236" s="8"/>
      <c r="G236" s="8">
        <v>55001971</v>
      </c>
      <c r="H236" s="8"/>
      <c r="I236" s="8">
        <v>0</v>
      </c>
      <c r="J236" s="8"/>
      <c r="K236" s="8">
        <v>2160398</v>
      </c>
      <c r="L236" s="8"/>
      <c r="M236" s="8">
        <v>3240412</v>
      </c>
      <c r="N236" s="8"/>
      <c r="O236" s="8">
        <v>0</v>
      </c>
      <c r="P236" s="8"/>
      <c r="Q236" s="8">
        <v>1177323</v>
      </c>
      <c r="R236" s="8"/>
      <c r="S236" s="8">
        <v>530678</v>
      </c>
      <c r="T236" s="8"/>
      <c r="U236" s="8">
        <v>50053558</v>
      </c>
      <c r="V236" s="8"/>
      <c r="W236" s="8">
        <f t="shared" si="35"/>
        <v>51761559</v>
      </c>
      <c r="X236" s="8"/>
      <c r="Y236" s="7">
        <f t="shared" si="36"/>
        <v>0</v>
      </c>
      <c r="Z236" s="7">
        <f t="shared" si="34"/>
        <v>0</v>
      </c>
    </row>
    <row r="237" spans="1:27" ht="12.75" hidden="1" customHeight="1" x14ac:dyDescent="0.2">
      <c r="A237" s="7" t="s">
        <v>251</v>
      </c>
      <c r="C237" s="7" t="s">
        <v>11</v>
      </c>
      <c r="D237" s="6"/>
      <c r="E237" s="8">
        <f>16014481+11517</f>
        <v>16025998</v>
      </c>
      <c r="F237" s="8"/>
      <c r="G237" s="8">
        <v>21351172</v>
      </c>
      <c r="H237" s="8"/>
      <c r="I237" s="8"/>
      <c r="J237" s="8"/>
      <c r="K237" s="8">
        <v>1568241</v>
      </c>
      <c r="L237" s="8"/>
      <c r="M237" s="8">
        <v>2484258</v>
      </c>
      <c r="N237" s="8"/>
      <c r="O237" s="8"/>
      <c r="P237" s="8"/>
      <c r="Q237" s="8">
        <v>235191</v>
      </c>
      <c r="R237" s="8"/>
      <c r="S237" s="8">
        <v>363095</v>
      </c>
      <c r="T237" s="8"/>
      <c r="U237" s="8">
        <v>18268628</v>
      </c>
      <c r="V237" s="8"/>
      <c r="W237" s="8">
        <f t="shared" si="35"/>
        <v>18866914</v>
      </c>
      <c r="X237" s="8"/>
      <c r="Y237" s="7">
        <f t="shared" si="36"/>
        <v>0</v>
      </c>
      <c r="Z237" s="7">
        <f t="shared" si="34"/>
        <v>0</v>
      </c>
    </row>
    <row r="238" spans="1:27" ht="12.75" customHeight="1" x14ac:dyDescent="0.2">
      <c r="A238" s="7" t="s">
        <v>252</v>
      </c>
      <c r="C238" s="7" t="s">
        <v>87</v>
      </c>
      <c r="D238" s="6"/>
      <c r="E238" s="8">
        <v>138330</v>
      </c>
      <c r="F238" s="8"/>
      <c r="G238" s="8">
        <v>1032667</v>
      </c>
      <c r="H238" s="8"/>
      <c r="I238" s="8">
        <v>0</v>
      </c>
      <c r="J238" s="8"/>
      <c r="K238" s="8">
        <v>648381</v>
      </c>
      <c r="L238" s="8"/>
      <c r="M238" s="8">
        <v>706431</v>
      </c>
      <c r="N238" s="8"/>
      <c r="O238" s="8">
        <v>0</v>
      </c>
      <c r="P238" s="8"/>
      <c r="Q238" s="8">
        <v>39082</v>
      </c>
      <c r="R238" s="8"/>
      <c r="S238" s="8">
        <v>2646</v>
      </c>
      <c r="T238" s="8"/>
      <c r="U238" s="8">
        <v>284508</v>
      </c>
      <c r="V238" s="8"/>
      <c r="W238" s="8">
        <f t="shared" si="35"/>
        <v>326236</v>
      </c>
      <c r="X238" s="8"/>
      <c r="Y238" s="7">
        <f t="shared" si="36"/>
        <v>0</v>
      </c>
      <c r="Z238" s="7">
        <f t="shared" si="34"/>
        <v>0</v>
      </c>
    </row>
    <row r="239" spans="1:27" ht="12.75" customHeight="1" x14ac:dyDescent="0.2">
      <c r="A239" s="7" t="s">
        <v>157</v>
      </c>
      <c r="B239" s="7"/>
      <c r="C239" s="7" t="s">
        <v>64</v>
      </c>
      <c r="D239" s="6"/>
      <c r="E239" s="8">
        <v>406236</v>
      </c>
      <c r="F239" s="8"/>
      <c r="G239" s="8">
        <v>910024</v>
      </c>
      <c r="H239" s="8"/>
      <c r="I239" s="8">
        <v>0</v>
      </c>
      <c r="J239" s="8"/>
      <c r="K239" s="8">
        <v>450066</v>
      </c>
      <c r="L239" s="8"/>
      <c r="M239" s="8">
        <v>466241</v>
      </c>
      <c r="N239" s="8"/>
      <c r="O239" s="8">
        <v>0</v>
      </c>
      <c r="P239" s="8"/>
      <c r="Q239" s="8">
        <f>25856+2816</f>
        <v>28672</v>
      </c>
      <c r="R239" s="8"/>
      <c r="S239" s="8">
        <v>8000</v>
      </c>
      <c r="T239" s="8"/>
      <c r="U239" s="8">
        <v>407111</v>
      </c>
      <c r="V239" s="8"/>
      <c r="W239" s="8">
        <f t="shared" si="35"/>
        <v>443783</v>
      </c>
      <c r="X239" s="8"/>
      <c r="Y239" s="7">
        <f t="shared" si="36"/>
        <v>0</v>
      </c>
      <c r="Z239" s="7">
        <f t="shared" si="34"/>
        <v>0</v>
      </c>
    </row>
    <row r="240" spans="1:27" ht="12.75" customHeight="1" x14ac:dyDescent="0.2">
      <c r="A240" s="7" t="s">
        <v>253</v>
      </c>
      <c r="C240" s="7" t="s">
        <v>25</v>
      </c>
      <c r="D240" s="6"/>
      <c r="E240" s="8">
        <v>2218208</v>
      </c>
      <c r="F240" s="8"/>
      <c r="G240" s="8">
        <v>9655016</v>
      </c>
      <c r="H240" s="8"/>
      <c r="I240" s="8">
        <v>0</v>
      </c>
      <c r="J240" s="8"/>
      <c r="K240" s="8">
        <v>0</v>
      </c>
      <c r="L240" s="8"/>
      <c r="M240" s="8">
        <v>459547</v>
      </c>
      <c r="N240" s="8"/>
      <c r="O240" s="8">
        <v>5637315</v>
      </c>
      <c r="P240" s="8"/>
      <c r="Q240" s="8">
        <v>95574</v>
      </c>
      <c r="R240" s="8"/>
      <c r="S240" s="8">
        <f>436+2294169</f>
        <v>2294605</v>
      </c>
      <c r="T240" s="8"/>
      <c r="U240" s="8">
        <v>1167975</v>
      </c>
      <c r="V240" s="8"/>
      <c r="W240" s="8">
        <f t="shared" si="35"/>
        <v>3558154</v>
      </c>
      <c r="X240" s="8"/>
      <c r="Y240" s="7">
        <f t="shared" si="36"/>
        <v>5637315</v>
      </c>
      <c r="Z240" s="7">
        <f t="shared" si="34"/>
        <v>0</v>
      </c>
    </row>
    <row r="241" spans="1:26" s="9" customFormat="1" ht="12.75" customHeight="1" x14ac:dyDescent="0.2">
      <c r="A241" s="7" t="s">
        <v>254</v>
      </c>
      <c r="B241" s="14"/>
      <c r="C241" s="7" t="s">
        <v>41</v>
      </c>
      <c r="D241" s="6"/>
      <c r="E241" s="8">
        <v>29208614</v>
      </c>
      <c r="F241" s="8"/>
      <c r="G241" s="8">
        <v>50109740</v>
      </c>
      <c r="H241" s="8"/>
      <c r="I241" s="8">
        <v>0</v>
      </c>
      <c r="J241" s="8"/>
      <c r="K241" s="8">
        <v>0</v>
      </c>
      <c r="L241" s="8"/>
      <c r="M241" s="8">
        <v>1822868</v>
      </c>
      <c r="N241" s="8"/>
      <c r="O241" s="8">
        <v>14207668</v>
      </c>
      <c r="P241" s="8"/>
      <c r="Q241" s="8">
        <f>62127+1026210</f>
        <v>1088337</v>
      </c>
      <c r="R241" s="8"/>
      <c r="S241" s="8">
        <v>8877215</v>
      </c>
      <c r="T241" s="8"/>
      <c r="U241" s="8">
        <v>24113652</v>
      </c>
      <c r="V241" s="8"/>
      <c r="W241" s="8">
        <f t="shared" si="35"/>
        <v>34079204</v>
      </c>
      <c r="X241" s="8"/>
      <c r="Y241" s="9">
        <f t="shared" si="36"/>
        <v>14207668</v>
      </c>
      <c r="Z241" s="7">
        <f t="shared" si="34"/>
        <v>0</v>
      </c>
    </row>
    <row r="242" spans="1:26" ht="12.75" customHeight="1" x14ac:dyDescent="0.2">
      <c r="D242" s="6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11" t="s">
        <v>478</v>
      </c>
      <c r="X242" s="8"/>
    </row>
    <row r="243" spans="1:26" ht="12.75" customHeight="1" x14ac:dyDescent="0.2">
      <c r="A243" s="7" t="s">
        <v>255</v>
      </c>
      <c r="C243" s="7" t="s">
        <v>256</v>
      </c>
      <c r="D243" s="6"/>
      <c r="E243" s="40">
        <v>767911</v>
      </c>
      <c r="F243" s="40"/>
      <c r="G243" s="40">
        <v>2332730</v>
      </c>
      <c r="H243" s="40"/>
      <c r="I243" s="40">
        <v>0</v>
      </c>
      <c r="J243" s="40"/>
      <c r="K243" s="40">
        <v>1471701</v>
      </c>
      <c r="L243" s="40"/>
      <c r="M243" s="40">
        <v>1673848</v>
      </c>
      <c r="N243" s="40"/>
      <c r="O243" s="40">
        <v>0</v>
      </c>
      <c r="P243" s="40"/>
      <c r="Q243" s="40">
        <v>4648</v>
      </c>
      <c r="R243" s="40"/>
      <c r="S243" s="40">
        <v>314607</v>
      </c>
      <c r="T243" s="40"/>
      <c r="U243" s="40">
        <v>339627</v>
      </c>
      <c r="V243" s="40"/>
      <c r="W243" s="40">
        <f>+U243+S243+Q243</f>
        <v>658882</v>
      </c>
      <c r="X243" s="8"/>
      <c r="Y243" s="7">
        <f t="shared" ref="Y243:Y246" si="37">+G243-M243-W243</f>
        <v>0</v>
      </c>
      <c r="Z243" s="7">
        <f t="shared" ref="Z243:Z272" si="38">+G243-M243-W243+I243-O243</f>
        <v>0</v>
      </c>
    </row>
    <row r="244" spans="1:26" ht="12.75" customHeight="1" x14ac:dyDescent="0.2">
      <c r="A244" s="7" t="s">
        <v>257</v>
      </c>
      <c r="C244" s="7" t="s">
        <v>258</v>
      </c>
      <c r="D244" s="6"/>
      <c r="E244" s="8">
        <v>1266008</v>
      </c>
      <c r="F244" s="8"/>
      <c r="G244" s="8">
        <v>3268520</v>
      </c>
      <c r="H244" s="8"/>
      <c r="I244" s="8">
        <v>0</v>
      </c>
      <c r="J244" s="8"/>
      <c r="K244" s="8">
        <v>0</v>
      </c>
      <c r="L244" s="8"/>
      <c r="M244" s="8">
        <v>515125</v>
      </c>
      <c r="N244" s="8"/>
      <c r="O244" s="8">
        <v>1257574</v>
      </c>
      <c r="P244" s="8"/>
      <c r="Q244" s="8">
        <f>32307+35000+22579</f>
        <v>89886</v>
      </c>
      <c r="R244" s="8"/>
      <c r="S244" s="8">
        <f>8495+7092+528+308866</f>
        <v>324981</v>
      </c>
      <c r="T244" s="8"/>
      <c r="U244" s="8">
        <v>1080954</v>
      </c>
      <c r="V244" s="8"/>
      <c r="W244" s="8">
        <f t="shared" ref="W244:W272" si="39">+U244+S244+Q244</f>
        <v>1495821</v>
      </c>
      <c r="X244" s="8"/>
      <c r="Y244" s="7">
        <f t="shared" si="37"/>
        <v>1257574</v>
      </c>
      <c r="Z244" s="7">
        <f t="shared" si="38"/>
        <v>0</v>
      </c>
    </row>
    <row r="245" spans="1:26" ht="12.75" customHeight="1" x14ac:dyDescent="0.2">
      <c r="A245" s="7" t="s">
        <v>259</v>
      </c>
      <c r="C245" s="7" t="s">
        <v>64</v>
      </c>
      <c r="D245" s="6"/>
      <c r="E245" s="8">
        <v>14104484</v>
      </c>
      <c r="F245" s="8"/>
      <c r="G245" s="8">
        <v>18788911</v>
      </c>
      <c r="H245" s="8"/>
      <c r="I245" s="8">
        <v>0</v>
      </c>
      <c r="J245" s="8"/>
      <c r="K245" s="8">
        <v>0</v>
      </c>
      <c r="L245" s="8"/>
      <c r="M245" s="8">
        <v>2365184</v>
      </c>
      <c r="N245" s="8"/>
      <c r="O245" s="8">
        <v>3274671</v>
      </c>
      <c r="P245" s="8"/>
      <c r="Q245" s="8">
        <v>50022</v>
      </c>
      <c r="R245" s="8"/>
      <c r="S245" s="8">
        <f>442531+1348736</f>
        <v>1791267</v>
      </c>
      <c r="T245" s="8"/>
      <c r="U245" s="8">
        <v>11307767</v>
      </c>
      <c r="V245" s="8"/>
      <c r="W245" s="8">
        <f t="shared" si="39"/>
        <v>13149056</v>
      </c>
      <c r="X245" s="8"/>
      <c r="Y245" s="7">
        <f t="shared" si="37"/>
        <v>3274671</v>
      </c>
      <c r="Z245" s="7">
        <f t="shared" si="38"/>
        <v>0</v>
      </c>
    </row>
    <row r="246" spans="1:26" ht="12.75" customHeight="1" x14ac:dyDescent="0.2">
      <c r="A246" s="7" t="s">
        <v>260</v>
      </c>
      <c r="C246" s="7" t="s">
        <v>130</v>
      </c>
      <c r="D246" s="6"/>
      <c r="E246" s="8">
        <v>157280</v>
      </c>
      <c r="F246" s="8"/>
      <c r="G246" s="8">
        <v>3480951</v>
      </c>
      <c r="H246" s="8"/>
      <c r="I246" s="8">
        <v>0</v>
      </c>
      <c r="J246" s="8"/>
      <c r="K246" s="8">
        <v>2586963</v>
      </c>
      <c r="L246" s="8"/>
      <c r="M246" s="8">
        <v>2944783</v>
      </c>
      <c r="N246" s="8"/>
      <c r="O246" s="8">
        <v>0</v>
      </c>
      <c r="P246" s="8"/>
      <c r="Q246" s="8">
        <v>30762</v>
      </c>
      <c r="R246" s="8"/>
      <c r="S246" s="8">
        <v>340740</v>
      </c>
      <c r="T246" s="8"/>
      <c r="U246" s="8">
        <v>164666</v>
      </c>
      <c r="V246" s="8"/>
      <c r="W246" s="8">
        <f t="shared" si="39"/>
        <v>536168</v>
      </c>
      <c r="X246" s="8"/>
      <c r="Y246" s="7">
        <f t="shared" si="37"/>
        <v>0</v>
      </c>
      <c r="Z246" s="7">
        <f t="shared" si="38"/>
        <v>0</v>
      </c>
    </row>
    <row r="247" spans="1:26" ht="12.75" customHeight="1" x14ac:dyDescent="0.2">
      <c r="A247" s="7" t="s">
        <v>497</v>
      </c>
      <c r="B247" s="10"/>
      <c r="C247" s="7" t="s">
        <v>43</v>
      </c>
      <c r="D247" s="6"/>
      <c r="E247" s="8">
        <v>9056491</v>
      </c>
      <c r="F247" s="8"/>
      <c r="G247" s="8">
        <v>19536859</v>
      </c>
      <c r="H247" s="8"/>
      <c r="I247" s="8">
        <v>0</v>
      </c>
      <c r="J247" s="8"/>
      <c r="K247" s="8">
        <v>0</v>
      </c>
      <c r="L247" s="8"/>
      <c r="M247" s="8">
        <v>804174</v>
      </c>
      <c r="N247" s="8"/>
      <c r="O247" s="8">
        <v>9665480</v>
      </c>
      <c r="P247" s="8"/>
      <c r="Q247" s="8">
        <v>300267</v>
      </c>
      <c r="R247" s="8"/>
      <c r="S247" s="8">
        <v>18253</v>
      </c>
      <c r="T247" s="8"/>
      <c r="U247" s="8">
        <v>8748685</v>
      </c>
      <c r="V247" s="8"/>
      <c r="W247" s="8">
        <f t="shared" si="39"/>
        <v>9067205</v>
      </c>
      <c r="X247" s="8"/>
      <c r="Z247" s="7">
        <f t="shared" si="38"/>
        <v>0</v>
      </c>
    </row>
    <row r="248" spans="1:26" ht="12.75" customHeight="1" x14ac:dyDescent="0.2">
      <c r="A248" s="7" t="s">
        <v>261</v>
      </c>
      <c r="C248" s="7" t="s">
        <v>51</v>
      </c>
      <c r="D248" s="6"/>
      <c r="E248" s="8">
        <f>2616426+4964+2043</f>
        <v>2623433</v>
      </c>
      <c r="F248" s="8"/>
      <c r="G248" s="8">
        <v>8136330</v>
      </c>
      <c r="H248" s="8"/>
      <c r="I248" s="8">
        <v>0</v>
      </c>
      <c r="J248" s="8"/>
      <c r="K248" s="8">
        <v>467863</v>
      </c>
      <c r="L248" s="8"/>
      <c r="M248" s="8">
        <v>1703102</v>
      </c>
      <c r="N248" s="8"/>
      <c r="O248" s="8">
        <v>0</v>
      </c>
      <c r="P248" s="8"/>
      <c r="Q248" s="8">
        <f>53315+137536+3827823</f>
        <v>4018674</v>
      </c>
      <c r="R248" s="8"/>
      <c r="S248" s="8">
        <f>162176+378403+816172</f>
        <v>1356751</v>
      </c>
      <c r="T248" s="8"/>
      <c r="U248" s="8">
        <v>1057803</v>
      </c>
      <c r="V248" s="8"/>
      <c r="W248" s="8">
        <f t="shared" si="39"/>
        <v>6433228</v>
      </c>
      <c r="X248" s="8"/>
      <c r="Y248" s="7">
        <f>+G248-M248-W248</f>
        <v>0</v>
      </c>
      <c r="Z248" s="7">
        <f t="shared" si="38"/>
        <v>0</v>
      </c>
    </row>
    <row r="249" spans="1:26" s="9" customFormat="1" ht="12.75" customHeight="1" x14ac:dyDescent="0.2">
      <c r="A249" s="7" t="s">
        <v>262</v>
      </c>
      <c r="B249" s="14"/>
      <c r="C249" s="7" t="s">
        <v>237</v>
      </c>
      <c r="D249" s="6"/>
      <c r="E249" s="8">
        <v>1378905</v>
      </c>
      <c r="F249" s="8"/>
      <c r="G249" s="8">
        <v>3661640</v>
      </c>
      <c r="H249" s="8"/>
      <c r="I249" s="8">
        <v>0</v>
      </c>
      <c r="J249" s="8"/>
      <c r="K249" s="8">
        <v>0</v>
      </c>
      <c r="L249" s="8"/>
      <c r="M249" s="8">
        <v>279035</v>
      </c>
      <c r="N249" s="8"/>
      <c r="O249" s="8">
        <v>1437115</v>
      </c>
      <c r="P249" s="8"/>
      <c r="Q249" s="8">
        <f>85291+18517</f>
        <v>103808</v>
      </c>
      <c r="R249" s="8"/>
      <c r="S249" s="8">
        <v>237724</v>
      </c>
      <c r="T249" s="8"/>
      <c r="U249" s="8">
        <v>1603958</v>
      </c>
      <c r="V249" s="8"/>
      <c r="W249" s="8">
        <f t="shared" si="39"/>
        <v>1945490</v>
      </c>
      <c r="X249" s="8"/>
      <c r="Y249" s="7">
        <f>+G249-M249-W249</f>
        <v>1437115</v>
      </c>
      <c r="Z249" s="7">
        <f t="shared" si="38"/>
        <v>0</v>
      </c>
    </row>
    <row r="250" spans="1:26" ht="12.75" customHeight="1" x14ac:dyDescent="0.2">
      <c r="A250" s="7" t="s">
        <v>109</v>
      </c>
      <c r="C250" s="7" t="s">
        <v>78</v>
      </c>
      <c r="D250" s="6"/>
      <c r="E250" s="8">
        <f>1418242+665959</f>
        <v>2084201</v>
      </c>
      <c r="F250" s="8"/>
      <c r="G250" s="8">
        <v>8640024</v>
      </c>
      <c r="H250" s="8"/>
      <c r="I250" s="8">
        <v>0</v>
      </c>
      <c r="J250" s="8"/>
      <c r="K250" s="8">
        <v>0</v>
      </c>
      <c r="L250" s="8"/>
      <c r="M250" s="8">
        <v>842508</v>
      </c>
      <c r="N250" s="8"/>
      <c r="O250" s="8">
        <v>2574386</v>
      </c>
      <c r="P250" s="8"/>
      <c r="Q250" s="8">
        <f>3538+665959</f>
        <v>669497</v>
      </c>
      <c r="R250" s="8"/>
      <c r="S250" s="8">
        <v>743525</v>
      </c>
      <c r="T250" s="8"/>
      <c r="U250" s="8">
        <v>3810108</v>
      </c>
      <c r="V250" s="8"/>
      <c r="W250" s="8">
        <f t="shared" si="39"/>
        <v>5223130</v>
      </c>
      <c r="X250" s="8"/>
      <c r="Y250" s="7">
        <f>+G250-M250-W250</f>
        <v>2574386</v>
      </c>
      <c r="Z250" s="7">
        <f t="shared" si="38"/>
        <v>0</v>
      </c>
    </row>
    <row r="251" spans="1:26" ht="12.75" hidden="1" customHeight="1" x14ac:dyDescent="0.2">
      <c r="A251" s="7" t="s">
        <v>263</v>
      </c>
      <c r="C251" s="7" t="s">
        <v>25</v>
      </c>
      <c r="D251" s="6"/>
      <c r="E251" s="8">
        <v>2908829</v>
      </c>
      <c r="F251" s="8"/>
      <c r="G251" s="8">
        <v>7841810</v>
      </c>
      <c r="H251" s="8"/>
      <c r="I251" s="8">
        <v>0</v>
      </c>
      <c r="J251" s="8"/>
      <c r="K251" s="8">
        <v>1806067</v>
      </c>
      <c r="L251" s="8"/>
      <c r="M251" s="8">
        <v>2671615</v>
      </c>
      <c r="N251" s="8"/>
      <c r="O251" s="8">
        <v>0</v>
      </c>
      <c r="P251" s="8"/>
      <c r="Q251" s="8">
        <v>346317</v>
      </c>
      <c r="R251" s="8"/>
      <c r="S251" s="8">
        <v>40900</v>
      </c>
      <c r="T251" s="8"/>
      <c r="U251" s="8">
        <v>4999114</v>
      </c>
      <c r="V251" s="8"/>
      <c r="W251" s="8">
        <f t="shared" si="39"/>
        <v>5386331</v>
      </c>
      <c r="X251" s="8"/>
      <c r="Y251" s="7">
        <f>+G251-M251-W251</f>
        <v>-216136</v>
      </c>
      <c r="Z251" s="7">
        <f t="shared" si="38"/>
        <v>-216136</v>
      </c>
    </row>
    <row r="252" spans="1:26" ht="12.75" customHeight="1" x14ac:dyDescent="0.2">
      <c r="A252" s="7" t="s">
        <v>498</v>
      </c>
      <c r="C252" s="10" t="s">
        <v>448</v>
      </c>
      <c r="D252" s="6"/>
      <c r="E252" s="8">
        <f>432968+25954</f>
        <v>458922</v>
      </c>
      <c r="F252" s="8"/>
      <c r="G252" s="8">
        <v>2756656</v>
      </c>
      <c r="H252" s="8"/>
      <c r="I252" s="8">
        <v>0</v>
      </c>
      <c r="J252" s="8"/>
      <c r="K252" s="8">
        <v>1535287</v>
      </c>
      <c r="L252" s="8"/>
      <c r="M252" s="8">
        <v>1985778</v>
      </c>
      <c r="N252" s="8"/>
      <c r="O252" s="8">
        <v>0</v>
      </c>
      <c r="P252" s="8"/>
      <c r="Q252" s="8">
        <v>21219</v>
      </c>
      <c r="R252" s="8"/>
      <c r="S252" s="8">
        <v>84628</v>
      </c>
      <c r="T252" s="8"/>
      <c r="U252" s="8">
        <v>665031</v>
      </c>
      <c r="V252" s="8"/>
      <c r="W252" s="8">
        <f t="shared" si="39"/>
        <v>770878</v>
      </c>
      <c r="X252" s="8"/>
      <c r="Y252" s="7">
        <f>+G252-M252-W252</f>
        <v>0</v>
      </c>
      <c r="Z252" s="7">
        <f t="shared" si="38"/>
        <v>0</v>
      </c>
    </row>
    <row r="253" spans="1:26" ht="12.75" customHeight="1" x14ac:dyDescent="0.2">
      <c r="A253" s="7" t="s">
        <v>499</v>
      </c>
      <c r="B253" s="10"/>
      <c r="C253" s="7" t="s">
        <v>161</v>
      </c>
      <c r="D253" s="6"/>
      <c r="E253" s="8">
        <v>887071</v>
      </c>
      <c r="F253" s="8"/>
      <c r="G253" s="8">
        <v>2034903</v>
      </c>
      <c r="H253" s="8"/>
      <c r="I253" s="8">
        <v>0</v>
      </c>
      <c r="J253" s="8"/>
      <c r="K253" s="8">
        <v>0</v>
      </c>
      <c r="L253" s="8"/>
      <c r="M253" s="8">
        <v>135140</v>
      </c>
      <c r="N253" s="8"/>
      <c r="O253" s="8">
        <v>1012314</v>
      </c>
      <c r="P253" s="8"/>
      <c r="Q253" s="8">
        <v>24036</v>
      </c>
      <c r="R253" s="8"/>
      <c r="S253" s="8">
        <v>50555</v>
      </c>
      <c r="T253" s="8"/>
      <c r="U253" s="8">
        <v>812858</v>
      </c>
      <c r="V253" s="8"/>
      <c r="W253" s="8">
        <f t="shared" si="39"/>
        <v>887449</v>
      </c>
      <c r="X253" s="8"/>
      <c r="Z253" s="7">
        <f t="shared" si="38"/>
        <v>0</v>
      </c>
    </row>
    <row r="254" spans="1:26" s="9" customFormat="1" ht="12.75" customHeight="1" x14ac:dyDescent="0.2">
      <c r="A254" s="7" t="s">
        <v>264</v>
      </c>
      <c r="B254" s="7"/>
      <c r="C254" s="7" t="s">
        <v>265</v>
      </c>
      <c r="D254" s="6"/>
      <c r="E254" s="8">
        <f>313138+196133</f>
        <v>509271</v>
      </c>
      <c r="F254" s="8"/>
      <c r="G254" s="8">
        <v>1411762</v>
      </c>
      <c r="H254" s="8"/>
      <c r="I254" s="8">
        <v>0</v>
      </c>
      <c r="J254" s="8"/>
      <c r="K254" s="8">
        <v>0</v>
      </c>
      <c r="L254" s="8"/>
      <c r="M254" s="8">
        <v>284304</v>
      </c>
      <c r="N254" s="8"/>
      <c r="O254" s="8">
        <v>357096</v>
      </c>
      <c r="P254" s="8"/>
      <c r="Q254" s="8">
        <v>74831</v>
      </c>
      <c r="R254" s="8"/>
      <c r="S254" s="8">
        <v>48155</v>
      </c>
      <c r="T254" s="8"/>
      <c r="U254" s="8">
        <v>647376</v>
      </c>
      <c r="V254" s="8"/>
      <c r="W254" s="8">
        <f t="shared" si="39"/>
        <v>770362</v>
      </c>
      <c r="X254" s="8"/>
      <c r="Y254" s="7">
        <f t="shared" ref="Y254:Y272" si="40">+G254-M254-W254</f>
        <v>357096</v>
      </c>
      <c r="Z254" s="7">
        <f t="shared" si="38"/>
        <v>0</v>
      </c>
    </row>
    <row r="255" spans="1:26" ht="12.75" hidden="1" customHeight="1" x14ac:dyDescent="0.2">
      <c r="A255" s="7" t="s">
        <v>266</v>
      </c>
      <c r="C255" s="7" t="s">
        <v>267</v>
      </c>
      <c r="D255" s="6"/>
      <c r="E255" s="8">
        <v>230042</v>
      </c>
      <c r="F255" s="8"/>
      <c r="G255" s="8">
        <v>891910</v>
      </c>
      <c r="H255" s="8"/>
      <c r="I255" s="8"/>
      <c r="J255" s="8"/>
      <c r="K255" s="8">
        <v>452511</v>
      </c>
      <c r="L255" s="8"/>
      <c r="M255" s="8">
        <v>473837</v>
      </c>
      <c r="N255" s="8"/>
      <c r="O255" s="8"/>
      <c r="P255" s="8"/>
      <c r="Q255" s="8">
        <v>7139</v>
      </c>
      <c r="R255" s="8"/>
      <c r="S255" s="8">
        <v>11363</v>
      </c>
      <c r="T255" s="8"/>
      <c r="U255" s="8">
        <v>399571</v>
      </c>
      <c r="V255" s="8"/>
      <c r="W255" s="8">
        <f t="shared" si="39"/>
        <v>418073</v>
      </c>
      <c r="X255" s="8"/>
      <c r="Y255" s="7">
        <f t="shared" si="40"/>
        <v>0</v>
      </c>
      <c r="Z255" s="7">
        <f t="shared" si="38"/>
        <v>0</v>
      </c>
    </row>
    <row r="256" spans="1:26" ht="12.75" customHeight="1" x14ac:dyDescent="0.2">
      <c r="A256" s="7" t="s">
        <v>268</v>
      </c>
      <c r="C256" s="7" t="s">
        <v>134</v>
      </c>
      <c r="D256" s="6"/>
      <c r="E256" s="8">
        <v>0</v>
      </c>
      <c r="F256" s="8"/>
      <c r="G256" s="8">
        <v>923729</v>
      </c>
      <c r="H256" s="8"/>
      <c r="I256" s="8">
        <v>0</v>
      </c>
      <c r="J256" s="8"/>
      <c r="K256" s="8">
        <v>0</v>
      </c>
      <c r="L256" s="8"/>
      <c r="M256" s="8">
        <v>201208</v>
      </c>
      <c r="N256" s="8"/>
      <c r="O256" s="8">
        <v>234251</v>
      </c>
      <c r="P256" s="8"/>
      <c r="Q256" s="8">
        <v>0</v>
      </c>
      <c r="R256" s="8"/>
      <c r="S256" s="8">
        <v>2528</v>
      </c>
      <c r="T256" s="8"/>
      <c r="U256" s="8">
        <v>485742</v>
      </c>
      <c r="V256" s="8"/>
      <c r="W256" s="8">
        <f>+U256+S256+Q256</f>
        <v>488270</v>
      </c>
      <c r="X256" s="8"/>
      <c r="Y256" s="7">
        <f t="shared" si="40"/>
        <v>234251</v>
      </c>
      <c r="Z256" s="7">
        <f t="shared" si="38"/>
        <v>0</v>
      </c>
    </row>
    <row r="257" spans="1:26" ht="12.75" customHeight="1" x14ac:dyDescent="0.2">
      <c r="A257" s="7" t="s">
        <v>269</v>
      </c>
      <c r="C257" s="7" t="s">
        <v>64</v>
      </c>
      <c r="D257" s="6"/>
      <c r="E257" s="8">
        <v>2482631</v>
      </c>
      <c r="F257" s="8"/>
      <c r="G257" s="8">
        <v>4495905</v>
      </c>
      <c r="H257" s="8"/>
      <c r="I257" s="8">
        <v>0</v>
      </c>
      <c r="J257" s="8"/>
      <c r="K257" s="8">
        <v>1471445</v>
      </c>
      <c r="L257" s="8"/>
      <c r="M257" s="8">
        <v>3452717</v>
      </c>
      <c r="N257" s="8"/>
      <c r="O257" s="8">
        <v>0</v>
      </c>
      <c r="P257" s="8"/>
      <c r="Q257" s="8">
        <v>3758</v>
      </c>
      <c r="R257" s="8"/>
      <c r="S257" s="8">
        <v>29993</v>
      </c>
      <c r="T257" s="8"/>
      <c r="U257" s="8">
        <v>1009437</v>
      </c>
      <c r="V257" s="8"/>
      <c r="W257" s="8">
        <f t="shared" si="39"/>
        <v>1043188</v>
      </c>
      <c r="X257" s="8"/>
      <c r="Y257" s="7">
        <f t="shared" si="40"/>
        <v>0</v>
      </c>
      <c r="Z257" s="7">
        <f t="shared" si="38"/>
        <v>0</v>
      </c>
    </row>
    <row r="258" spans="1:26" s="9" customFormat="1" ht="12.75" customHeight="1" x14ac:dyDescent="0.2">
      <c r="A258" s="7" t="s">
        <v>270</v>
      </c>
      <c r="B258" s="14"/>
      <c r="C258" s="7" t="s">
        <v>41</v>
      </c>
      <c r="D258" s="6"/>
      <c r="E258" s="8">
        <v>26392077</v>
      </c>
      <c r="F258" s="8"/>
      <c r="G258" s="8">
        <v>46210824</v>
      </c>
      <c r="H258" s="8"/>
      <c r="I258" s="8">
        <v>0</v>
      </c>
      <c r="J258" s="8"/>
      <c r="K258" s="8">
        <v>0</v>
      </c>
      <c r="L258" s="8"/>
      <c r="M258" s="8">
        <v>1309506</v>
      </c>
      <c r="N258" s="8"/>
      <c r="O258" s="8">
        <v>5777535</v>
      </c>
      <c r="P258" s="8"/>
      <c r="Q258" s="8">
        <v>10713187</v>
      </c>
      <c r="R258" s="8"/>
      <c r="S258" s="8">
        <v>984689</v>
      </c>
      <c r="T258" s="8"/>
      <c r="U258" s="8">
        <v>27425907</v>
      </c>
      <c r="V258" s="8"/>
      <c r="W258" s="8">
        <f t="shared" si="39"/>
        <v>39123783</v>
      </c>
      <c r="X258" s="8"/>
      <c r="Y258" s="7">
        <f t="shared" si="40"/>
        <v>5777535</v>
      </c>
      <c r="Z258" s="7">
        <f t="shared" si="38"/>
        <v>0</v>
      </c>
    </row>
    <row r="259" spans="1:26" ht="12.75" customHeight="1" x14ac:dyDescent="0.2">
      <c r="A259" s="7" t="s">
        <v>271</v>
      </c>
      <c r="C259" s="7" t="s">
        <v>25</v>
      </c>
      <c r="D259" s="6"/>
      <c r="E259" s="8">
        <f>36676137+510143</f>
        <v>37186280</v>
      </c>
      <c r="F259" s="8"/>
      <c r="G259" s="8">
        <v>54777380</v>
      </c>
      <c r="H259" s="8"/>
      <c r="I259" s="8">
        <v>0</v>
      </c>
      <c r="J259" s="8"/>
      <c r="K259" s="8">
        <v>0</v>
      </c>
      <c r="L259" s="8"/>
      <c r="M259" s="8">
        <v>1924184</v>
      </c>
      <c r="N259" s="8"/>
      <c r="O259" s="8">
        <v>13380816</v>
      </c>
      <c r="P259" s="8"/>
      <c r="Q259" s="8">
        <f>1198198+510143</f>
        <v>1708341</v>
      </c>
      <c r="R259" s="8"/>
      <c r="S259" s="8">
        <f>78494+17151115</f>
        <v>17229609</v>
      </c>
      <c r="T259" s="8"/>
      <c r="U259" s="8">
        <v>20534430</v>
      </c>
      <c r="V259" s="8"/>
      <c r="W259" s="8">
        <f t="shared" si="39"/>
        <v>39472380</v>
      </c>
      <c r="X259" s="8"/>
      <c r="Y259" s="7">
        <f t="shared" si="40"/>
        <v>13380816</v>
      </c>
      <c r="Z259" s="7">
        <f t="shared" si="38"/>
        <v>0</v>
      </c>
    </row>
    <row r="260" spans="1:26" ht="12.75" customHeight="1" x14ac:dyDescent="0.2">
      <c r="A260" s="7" t="s">
        <v>272</v>
      </c>
      <c r="C260" s="7" t="s">
        <v>41</v>
      </c>
      <c r="D260" s="6"/>
      <c r="E260" s="8">
        <v>6487064</v>
      </c>
      <c r="F260" s="8"/>
      <c r="G260" s="8">
        <v>10039568</v>
      </c>
      <c r="H260" s="8"/>
      <c r="I260" s="8">
        <v>0</v>
      </c>
      <c r="J260" s="8"/>
      <c r="K260" s="8">
        <v>0</v>
      </c>
      <c r="L260" s="8"/>
      <c r="M260" s="8">
        <v>1515433</v>
      </c>
      <c r="N260" s="8"/>
      <c r="O260" s="8">
        <v>1913544</v>
      </c>
      <c r="P260" s="8"/>
      <c r="Q260" s="8">
        <v>141617</v>
      </c>
      <c r="R260" s="8"/>
      <c r="S260" s="8">
        <f>693269+613335</f>
        <v>1306604</v>
      </c>
      <c r="T260" s="8"/>
      <c r="U260" s="8">
        <v>5162370</v>
      </c>
      <c r="V260" s="8"/>
      <c r="W260" s="8">
        <f t="shared" si="39"/>
        <v>6610591</v>
      </c>
      <c r="X260" s="8"/>
      <c r="Y260" s="7">
        <f t="shared" si="40"/>
        <v>1913544</v>
      </c>
      <c r="Z260" s="7">
        <f t="shared" si="38"/>
        <v>0</v>
      </c>
    </row>
    <row r="261" spans="1:26" ht="12.75" customHeight="1" x14ac:dyDescent="0.2">
      <c r="A261" s="7" t="s">
        <v>273</v>
      </c>
      <c r="C261" s="7" t="s">
        <v>90</v>
      </c>
      <c r="D261" s="6"/>
      <c r="E261" s="8">
        <v>7184070</v>
      </c>
      <c r="F261" s="8"/>
      <c r="G261" s="8">
        <v>11400582</v>
      </c>
      <c r="H261" s="8"/>
      <c r="I261" s="8">
        <v>0</v>
      </c>
      <c r="J261" s="8"/>
      <c r="K261" s="8">
        <v>0</v>
      </c>
      <c r="L261" s="8"/>
      <c r="M261" s="8">
        <v>1003807</v>
      </c>
      <c r="N261" s="8"/>
      <c r="O261" s="8">
        <v>1709161</v>
      </c>
      <c r="P261" s="8"/>
      <c r="Q261" s="8">
        <v>114593</v>
      </c>
      <c r="R261" s="8"/>
      <c r="S261" s="8">
        <v>16837</v>
      </c>
      <c r="T261" s="8"/>
      <c r="U261" s="8">
        <v>8556184</v>
      </c>
      <c r="V261" s="8"/>
      <c r="W261" s="8">
        <f t="shared" si="39"/>
        <v>8687614</v>
      </c>
      <c r="X261" s="8"/>
      <c r="Y261" s="7">
        <f t="shared" si="40"/>
        <v>1709161</v>
      </c>
      <c r="Z261" s="7">
        <f t="shared" si="38"/>
        <v>0</v>
      </c>
    </row>
    <row r="262" spans="1:26" ht="12.75" customHeight="1" x14ac:dyDescent="0.2">
      <c r="A262" s="7" t="s">
        <v>274</v>
      </c>
      <c r="B262" s="7"/>
      <c r="C262" s="7" t="s">
        <v>36</v>
      </c>
      <c r="D262" s="6"/>
      <c r="E262" s="8">
        <v>3445251</v>
      </c>
      <c r="F262" s="8"/>
      <c r="G262" s="8">
        <v>4646032</v>
      </c>
      <c r="H262" s="8"/>
      <c r="I262" s="8">
        <v>0</v>
      </c>
      <c r="J262" s="8"/>
      <c r="K262" s="8">
        <v>0</v>
      </c>
      <c r="L262" s="8"/>
      <c r="M262" s="8">
        <v>242062</v>
      </c>
      <c r="N262" s="8"/>
      <c r="O262" s="8">
        <v>481337</v>
      </c>
      <c r="P262" s="8"/>
      <c r="Q262" s="8">
        <v>1626017</v>
      </c>
      <c r="R262" s="8"/>
      <c r="S262" s="8">
        <v>735606</v>
      </c>
      <c r="T262" s="8"/>
      <c r="U262" s="8">
        <v>1561010</v>
      </c>
      <c r="V262" s="8"/>
      <c r="W262" s="8">
        <f t="shared" si="39"/>
        <v>3922633</v>
      </c>
      <c r="X262" s="8"/>
      <c r="Y262" s="7">
        <f t="shared" si="40"/>
        <v>481337</v>
      </c>
      <c r="Z262" s="7">
        <f t="shared" si="38"/>
        <v>0</v>
      </c>
    </row>
    <row r="263" spans="1:26" ht="12.75" customHeight="1" x14ac:dyDescent="0.2">
      <c r="A263" s="7" t="s">
        <v>275</v>
      </c>
      <c r="C263" s="7" t="s">
        <v>90</v>
      </c>
      <c r="D263" s="6"/>
      <c r="E263" s="8">
        <v>7593180</v>
      </c>
      <c r="F263" s="8"/>
      <c r="G263" s="8">
        <v>17438166</v>
      </c>
      <c r="H263" s="8"/>
      <c r="I263" s="8">
        <v>0</v>
      </c>
      <c r="J263" s="8"/>
      <c r="K263" s="8">
        <v>0</v>
      </c>
      <c r="L263" s="8"/>
      <c r="M263" s="8">
        <v>1818055</v>
      </c>
      <c r="N263" s="8"/>
      <c r="O263" s="8">
        <v>4693980</v>
      </c>
      <c r="P263" s="8"/>
      <c r="Q263" s="8">
        <v>1480683</v>
      </c>
      <c r="R263" s="8"/>
      <c r="S263" s="8">
        <v>2082503</v>
      </c>
      <c r="T263" s="8"/>
      <c r="U263" s="8">
        <v>7362945</v>
      </c>
      <c r="V263" s="8"/>
      <c r="W263" s="8">
        <f t="shared" si="39"/>
        <v>10926131</v>
      </c>
      <c r="X263" s="8"/>
      <c r="Y263" s="7">
        <f t="shared" si="40"/>
        <v>4693980</v>
      </c>
      <c r="Z263" s="7">
        <f t="shared" si="38"/>
        <v>0</v>
      </c>
    </row>
    <row r="264" spans="1:26" ht="12.75" customHeight="1" x14ac:dyDescent="0.2">
      <c r="A264" s="7" t="s">
        <v>276</v>
      </c>
      <c r="C264" s="7" t="s">
        <v>90</v>
      </c>
      <c r="D264" s="6"/>
      <c r="E264" s="8">
        <f>868309+31052</f>
        <v>899361</v>
      </c>
      <c r="F264" s="8"/>
      <c r="G264" s="8">
        <v>3052833</v>
      </c>
      <c r="H264" s="8"/>
      <c r="I264" s="8">
        <v>0</v>
      </c>
      <c r="J264" s="8"/>
      <c r="K264" s="8">
        <v>0</v>
      </c>
      <c r="L264" s="8"/>
      <c r="M264" s="8">
        <v>229299</v>
      </c>
      <c r="N264" s="8"/>
      <c r="O264" s="8">
        <v>1738417</v>
      </c>
      <c r="P264" s="8"/>
      <c r="Q264" s="8">
        <v>84045</v>
      </c>
      <c r="R264" s="8"/>
      <c r="S264" s="8">
        <f>14582+95921</f>
        <v>110503</v>
      </c>
      <c r="T264" s="8"/>
      <c r="U264" s="8">
        <v>890569</v>
      </c>
      <c r="V264" s="8"/>
      <c r="W264" s="8">
        <f t="shared" si="39"/>
        <v>1085117</v>
      </c>
      <c r="X264" s="8"/>
      <c r="Y264" s="7">
        <f t="shared" si="40"/>
        <v>1738417</v>
      </c>
      <c r="Z264" s="7">
        <f t="shared" si="38"/>
        <v>0</v>
      </c>
    </row>
    <row r="265" spans="1:26" ht="12.75" customHeight="1" x14ac:dyDescent="0.2">
      <c r="A265" s="7" t="s">
        <v>277</v>
      </c>
      <c r="B265" s="7"/>
      <c r="C265" s="7" t="s">
        <v>90</v>
      </c>
      <c r="D265" s="6"/>
      <c r="E265" s="8">
        <v>1299175</v>
      </c>
      <c r="F265" s="8"/>
      <c r="G265" s="8">
        <v>5499654</v>
      </c>
      <c r="H265" s="8"/>
      <c r="I265" s="8">
        <v>0</v>
      </c>
      <c r="J265" s="8"/>
      <c r="K265" s="8">
        <v>3610076</v>
      </c>
      <c r="L265" s="8"/>
      <c r="M265" s="8">
        <v>4154301</v>
      </c>
      <c r="N265" s="8"/>
      <c r="O265" s="8">
        <v>0</v>
      </c>
      <c r="P265" s="8"/>
      <c r="Q265" s="8">
        <v>17004</v>
      </c>
      <c r="R265" s="8"/>
      <c r="S265" s="8">
        <f>100474+15157</f>
        <v>115631</v>
      </c>
      <c r="T265" s="8"/>
      <c r="U265" s="8">
        <v>1212718</v>
      </c>
      <c r="V265" s="8"/>
      <c r="W265" s="8">
        <f t="shared" si="39"/>
        <v>1345353</v>
      </c>
      <c r="X265" s="8"/>
      <c r="Y265" s="7">
        <f t="shared" si="40"/>
        <v>0</v>
      </c>
      <c r="Z265" s="7">
        <f t="shared" si="38"/>
        <v>0</v>
      </c>
    </row>
    <row r="266" spans="1:26" ht="12.75" customHeight="1" x14ac:dyDescent="0.2">
      <c r="A266" s="7" t="s">
        <v>278</v>
      </c>
      <c r="C266" s="7" t="s">
        <v>279</v>
      </c>
      <c r="D266" s="6"/>
      <c r="E266" s="8">
        <v>3483625</v>
      </c>
      <c r="F266" s="8"/>
      <c r="G266" s="8">
        <v>5603627</v>
      </c>
      <c r="H266" s="8"/>
      <c r="I266" s="8">
        <v>0</v>
      </c>
      <c r="J266" s="8"/>
      <c r="K266" s="8">
        <v>997897</v>
      </c>
      <c r="L266" s="8"/>
      <c r="M266" s="8">
        <v>1612824</v>
      </c>
      <c r="N266" s="8"/>
      <c r="O266" s="8">
        <v>0</v>
      </c>
      <c r="P266" s="8"/>
      <c r="Q266" s="8">
        <v>0</v>
      </c>
      <c r="R266" s="8"/>
      <c r="S266" s="8">
        <f>450117+84146</f>
        <v>534263</v>
      </c>
      <c r="T266" s="8"/>
      <c r="U266" s="8">
        <v>3456540</v>
      </c>
      <c r="V266" s="8"/>
      <c r="W266" s="8">
        <f t="shared" si="39"/>
        <v>3990803</v>
      </c>
      <c r="X266" s="8"/>
      <c r="Y266" s="7">
        <f t="shared" si="40"/>
        <v>0</v>
      </c>
      <c r="Z266" s="7">
        <f t="shared" si="38"/>
        <v>0</v>
      </c>
    </row>
    <row r="267" spans="1:26" ht="12.75" customHeight="1" x14ac:dyDescent="0.2">
      <c r="A267" s="7" t="s">
        <v>280</v>
      </c>
      <c r="C267" s="7" t="s">
        <v>197</v>
      </c>
      <c r="D267" s="6"/>
      <c r="E267" s="8">
        <v>11331441</v>
      </c>
      <c r="F267" s="8"/>
      <c r="G267" s="8">
        <v>16465168</v>
      </c>
      <c r="H267" s="8"/>
      <c r="I267" s="8">
        <v>0</v>
      </c>
      <c r="J267" s="8"/>
      <c r="K267" s="8">
        <v>3757106</v>
      </c>
      <c r="L267" s="8"/>
      <c r="M267" s="8">
        <v>5095555</v>
      </c>
      <c r="N267" s="8"/>
      <c r="O267" s="8">
        <v>0</v>
      </c>
      <c r="P267" s="8"/>
      <c r="Q267" s="8">
        <v>55429</v>
      </c>
      <c r="R267" s="8"/>
      <c r="S267" s="8">
        <v>5512738</v>
      </c>
      <c r="T267" s="8"/>
      <c r="U267" s="8">
        <v>5801446</v>
      </c>
      <c r="V267" s="8"/>
      <c r="W267" s="8">
        <f t="shared" si="39"/>
        <v>11369613</v>
      </c>
      <c r="X267" s="8"/>
      <c r="Y267" s="7">
        <f t="shared" si="40"/>
        <v>0</v>
      </c>
      <c r="Z267" s="7">
        <f t="shared" si="38"/>
        <v>0</v>
      </c>
    </row>
    <row r="268" spans="1:26" ht="12.75" customHeight="1" x14ac:dyDescent="0.2">
      <c r="A268" s="7" t="s">
        <v>281</v>
      </c>
      <c r="C268" s="7" t="s">
        <v>41</v>
      </c>
      <c r="D268" s="6"/>
      <c r="E268" s="8">
        <v>5684751</v>
      </c>
      <c r="F268" s="8"/>
      <c r="G268" s="8">
        <v>12139784</v>
      </c>
      <c r="H268" s="8"/>
      <c r="I268" s="8">
        <v>0</v>
      </c>
      <c r="J268" s="8"/>
      <c r="K268" s="8">
        <v>0</v>
      </c>
      <c r="L268" s="8"/>
      <c r="M268" s="8">
        <v>1453986</v>
      </c>
      <c r="N268" s="8"/>
      <c r="O268" s="8">
        <v>3215460</v>
      </c>
      <c r="P268" s="8"/>
      <c r="Q268" s="8">
        <v>34185</v>
      </c>
      <c r="R268" s="8"/>
      <c r="S268" s="8">
        <f>579337+126830</f>
        <v>706167</v>
      </c>
      <c r="T268" s="8"/>
      <c r="U268" s="8">
        <v>6729986</v>
      </c>
      <c r="V268" s="8"/>
      <c r="W268" s="8">
        <f t="shared" si="39"/>
        <v>7470338</v>
      </c>
      <c r="X268" s="8"/>
      <c r="Y268" s="7">
        <f t="shared" si="40"/>
        <v>3215460</v>
      </c>
      <c r="Z268" s="7">
        <f t="shared" si="38"/>
        <v>0</v>
      </c>
    </row>
    <row r="269" spans="1:26" ht="12.75" customHeight="1" x14ac:dyDescent="0.2">
      <c r="A269" s="7" t="s">
        <v>282</v>
      </c>
      <c r="C269" s="7" t="s">
        <v>43</v>
      </c>
      <c r="D269" s="6"/>
      <c r="E269" s="8">
        <v>1818706</v>
      </c>
      <c r="F269" s="8"/>
      <c r="G269" s="8">
        <v>6546546</v>
      </c>
      <c r="H269" s="8"/>
      <c r="I269" s="8">
        <v>0</v>
      </c>
      <c r="J269" s="8"/>
      <c r="K269" s="8">
        <v>3858045</v>
      </c>
      <c r="L269" s="8"/>
      <c r="M269" s="8">
        <v>4588110</v>
      </c>
      <c r="N269" s="8"/>
      <c r="O269" s="8">
        <v>0</v>
      </c>
      <c r="P269" s="8"/>
      <c r="Q269" s="8">
        <v>0</v>
      </c>
      <c r="R269" s="8"/>
      <c r="S269" s="8">
        <v>1234012</v>
      </c>
      <c r="T269" s="8"/>
      <c r="U269" s="8">
        <v>724424</v>
      </c>
      <c r="V269" s="8"/>
      <c r="W269" s="8">
        <f t="shared" si="39"/>
        <v>1958436</v>
      </c>
      <c r="X269" s="8"/>
      <c r="Y269" s="7">
        <f t="shared" si="40"/>
        <v>0</v>
      </c>
      <c r="Z269" s="7">
        <f t="shared" si="38"/>
        <v>0</v>
      </c>
    </row>
    <row r="270" spans="1:26" ht="12.75" customHeight="1" x14ac:dyDescent="0.2">
      <c r="A270" s="7" t="s">
        <v>283</v>
      </c>
      <c r="C270" s="7" t="s">
        <v>28</v>
      </c>
      <c r="D270" s="6"/>
      <c r="E270" s="8">
        <f>569208+1304315</f>
        <v>1873523</v>
      </c>
      <c r="F270" s="8"/>
      <c r="G270" s="8">
        <v>5305472</v>
      </c>
      <c r="H270" s="8"/>
      <c r="I270" s="8">
        <v>0</v>
      </c>
      <c r="J270" s="8"/>
      <c r="K270" s="8">
        <v>1779041</v>
      </c>
      <c r="L270" s="8"/>
      <c r="M270" s="8">
        <v>1940831</v>
      </c>
      <c r="N270" s="8"/>
      <c r="O270" s="8">
        <v>0</v>
      </c>
      <c r="P270" s="8"/>
      <c r="Q270" s="8">
        <f>4264+49223</f>
        <v>53487</v>
      </c>
      <c r="R270" s="8"/>
      <c r="S270" s="8">
        <v>94815</v>
      </c>
      <c r="T270" s="8"/>
      <c r="U270" s="8">
        <v>3216339</v>
      </c>
      <c r="V270" s="8"/>
      <c r="W270" s="8">
        <f t="shared" si="39"/>
        <v>3364641</v>
      </c>
      <c r="X270" s="8"/>
      <c r="Y270" s="7">
        <f t="shared" si="40"/>
        <v>0</v>
      </c>
      <c r="Z270" s="7">
        <f t="shared" si="38"/>
        <v>0</v>
      </c>
    </row>
    <row r="271" spans="1:26" ht="12.75" customHeight="1" x14ac:dyDescent="0.2">
      <c r="A271" s="7" t="s">
        <v>284</v>
      </c>
      <c r="C271" s="7" t="s">
        <v>59</v>
      </c>
      <c r="D271" s="6"/>
      <c r="E271" s="8">
        <v>0</v>
      </c>
      <c r="F271" s="8"/>
      <c r="G271" s="8">
        <v>11253130</v>
      </c>
      <c r="H271" s="8"/>
      <c r="I271" s="8">
        <v>0</v>
      </c>
      <c r="J271" s="8"/>
      <c r="K271" s="8">
        <v>2934198</v>
      </c>
      <c r="L271" s="8"/>
      <c r="M271" s="8">
        <v>4856461</v>
      </c>
      <c r="N271" s="8"/>
      <c r="O271" s="8">
        <v>0</v>
      </c>
      <c r="P271" s="8"/>
      <c r="Q271" s="8">
        <v>3254817</v>
      </c>
      <c r="R271" s="8"/>
      <c r="S271" s="8">
        <v>404887</v>
      </c>
      <c r="T271" s="8"/>
      <c r="U271" s="8">
        <v>2736965</v>
      </c>
      <c r="V271" s="8"/>
      <c r="W271" s="8">
        <f t="shared" si="39"/>
        <v>6396669</v>
      </c>
      <c r="X271" s="8"/>
      <c r="Y271" s="7">
        <f t="shared" si="40"/>
        <v>0</v>
      </c>
      <c r="Z271" s="7">
        <f t="shared" si="38"/>
        <v>0</v>
      </c>
    </row>
    <row r="272" spans="1:26" ht="12.75" customHeight="1" x14ac:dyDescent="0.2">
      <c r="A272" s="7" t="s">
        <v>285</v>
      </c>
      <c r="B272" s="7"/>
      <c r="C272" s="7" t="s">
        <v>286</v>
      </c>
      <c r="D272" s="6"/>
      <c r="E272" s="8">
        <f>2281289+8274+7545</f>
        <v>2297108</v>
      </c>
      <c r="F272" s="8"/>
      <c r="G272" s="8">
        <v>8265960</v>
      </c>
      <c r="H272" s="8"/>
      <c r="I272" s="8">
        <v>0</v>
      </c>
      <c r="J272" s="8"/>
      <c r="K272" s="8">
        <v>0</v>
      </c>
      <c r="L272" s="8"/>
      <c r="M272" s="8">
        <v>835879</v>
      </c>
      <c r="N272" s="8"/>
      <c r="O272" s="8">
        <v>4040481</v>
      </c>
      <c r="P272" s="8"/>
      <c r="Q272" s="8">
        <v>29004</v>
      </c>
      <c r="R272" s="8"/>
      <c r="S272" s="8">
        <v>271905</v>
      </c>
      <c r="T272" s="8"/>
      <c r="U272" s="8">
        <v>3088691</v>
      </c>
      <c r="V272" s="8"/>
      <c r="W272" s="8">
        <f t="shared" si="39"/>
        <v>3389600</v>
      </c>
      <c r="X272" s="8"/>
      <c r="Y272" s="7">
        <f t="shared" si="40"/>
        <v>4040481</v>
      </c>
      <c r="Z272" s="7">
        <f t="shared" si="38"/>
        <v>0</v>
      </c>
    </row>
    <row r="275" spans="7:7" ht="12.75" customHeight="1" x14ac:dyDescent="0.2">
      <c r="G275" s="66"/>
    </row>
  </sheetData>
  <phoneticPr fontId="4" type="noConversion"/>
  <pageMargins left="0.75" right="0.75" top="0.5" bottom="0.5" header="0" footer="0.25"/>
  <pageSetup scale="74" firstPageNumber="28" pageOrder="overThenDown" orientation="portrait" useFirstPageNumber="1" r:id="rId1"/>
  <headerFooter alignWithMargins="0">
    <oddFooter>&amp;C&amp;"Times New Roman,Regular"&amp;11&amp;P</oddFooter>
  </headerFooter>
  <rowBreaks count="1" manualBreakCount="1">
    <brk id="87" max="22" man="1"/>
  </rowBreaks>
  <colBreaks count="1" manualBreakCount="1">
    <brk id="15" max="272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74"/>
  <sheetViews>
    <sheetView view="pageBreakPreview" zoomScaleNormal="100" zoomScaleSheetLayoutView="100" workbookViewId="0">
      <pane xSplit="3" ySplit="8" topLeftCell="D247" activePane="bottomRight" state="frozen"/>
      <selection pane="topRight" activeCell="D1" sqref="D1"/>
      <selection pane="bottomLeft" activeCell="A9" sqref="A9"/>
      <selection pane="bottomRight" activeCell="M71" sqref="M71"/>
    </sheetView>
  </sheetViews>
  <sheetFormatPr defaultColWidth="0" defaultRowHeight="12.75" customHeight="1" x14ac:dyDescent="0.2"/>
  <cols>
    <col min="1" max="1" width="18.7109375" style="7" customWidth="1"/>
    <col min="2" max="2" width="1.7109375" style="14" customWidth="1"/>
    <col min="3" max="3" width="11.5703125" style="7" customWidth="1"/>
    <col min="4" max="4" width="1.7109375" style="7" customWidth="1"/>
    <col min="5" max="5" width="12.28515625" style="7" bestFit="1" customWidth="1"/>
    <col min="6" max="6" width="1.7109375" style="7" customWidth="1"/>
    <col min="7" max="7" width="12.28515625" style="7" bestFit="1" customWidth="1"/>
    <col min="8" max="8" width="1.7109375" style="7" hidden="1" customWidth="1"/>
    <col min="9" max="9" width="9.5703125" style="7" hidden="1" customWidth="1"/>
    <col min="10" max="10" width="1.7109375" style="7" customWidth="1"/>
    <col min="11" max="11" width="12.28515625" style="7" bestFit="1" customWidth="1"/>
    <col min="12" max="12" width="1.7109375" style="7" customWidth="1"/>
    <col min="13" max="13" width="12.28515625" style="7" bestFit="1" customWidth="1"/>
    <col min="14" max="14" width="1.7109375" style="7" customWidth="1"/>
    <col min="15" max="15" width="11.7109375" style="7" bestFit="1" customWidth="1"/>
    <col min="16" max="16" width="1.7109375" style="7" customWidth="1"/>
    <col min="17" max="17" width="12.28515625" style="7" bestFit="1" customWidth="1"/>
    <col min="18" max="18" width="1.7109375" style="7" customWidth="1"/>
    <col min="19" max="19" width="11.7109375" style="7" customWidth="1"/>
    <col min="20" max="20" width="1.7109375" style="7" customWidth="1"/>
    <col min="21" max="21" width="11.7109375" style="7" customWidth="1"/>
    <col min="22" max="22" width="1.7109375" style="7" customWidth="1"/>
    <col min="23" max="23" width="12.28515625" style="7" bestFit="1" customWidth="1"/>
    <col min="24" max="24" width="1.7109375" style="7" customWidth="1"/>
    <col min="25" max="26" width="11.7109375" style="7" customWidth="1"/>
    <col min="27" max="31" width="11.7109375" style="7" hidden="1" customWidth="1"/>
    <col min="32" max="16384" width="0" style="7" hidden="1"/>
  </cols>
  <sheetData>
    <row r="1" spans="1:26" ht="12.75" customHeight="1" x14ac:dyDescent="0.2">
      <c r="A1" s="29" t="s">
        <v>388</v>
      </c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6" ht="12.75" customHeight="1" x14ac:dyDescent="0.2">
      <c r="A2" s="23" t="s">
        <v>504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pans="1:26" ht="12.75" customHeight="1" x14ac:dyDescent="0.2">
      <c r="A3" s="24" t="s">
        <v>287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</row>
    <row r="4" spans="1:26" ht="12.75" customHeight="1" x14ac:dyDescent="0.2">
      <c r="A4" s="24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1:26" ht="12.75" customHeight="1" x14ac:dyDescent="0.2">
      <c r="S5" s="68" t="s">
        <v>316</v>
      </c>
      <c r="T5" s="68"/>
      <c r="U5" s="68" t="s">
        <v>316</v>
      </c>
    </row>
    <row r="6" spans="1:26" s="63" customFormat="1" ht="12.75" customHeight="1" x14ac:dyDescent="0.2">
      <c r="A6" s="68"/>
      <c r="C6" s="68"/>
      <c r="D6" s="68"/>
      <c r="E6" s="68"/>
      <c r="F6" s="68"/>
      <c r="G6" s="68"/>
      <c r="H6" s="68"/>
      <c r="I6" s="68" t="s">
        <v>4</v>
      </c>
      <c r="J6" s="68"/>
      <c r="K6" s="68"/>
      <c r="L6" s="68"/>
      <c r="M6" s="68"/>
      <c r="N6" s="68"/>
      <c r="O6" s="68" t="s">
        <v>4</v>
      </c>
      <c r="P6" s="68"/>
      <c r="Q6" s="68" t="s">
        <v>315</v>
      </c>
      <c r="R6" s="68"/>
      <c r="S6" s="68" t="s">
        <v>434</v>
      </c>
      <c r="T6" s="68"/>
      <c r="U6" s="68" t="s">
        <v>319</v>
      </c>
      <c r="V6" s="68"/>
      <c r="W6" s="68" t="s">
        <v>5</v>
      </c>
      <c r="X6" s="68"/>
    </row>
    <row r="7" spans="1:26" s="63" customFormat="1" ht="12.75" customHeight="1" x14ac:dyDescent="0.2">
      <c r="A7" s="68"/>
      <c r="C7" s="68"/>
      <c r="D7" s="68"/>
      <c r="E7" s="68" t="s">
        <v>317</v>
      </c>
      <c r="F7" s="68"/>
      <c r="G7" s="68" t="s">
        <v>5</v>
      </c>
      <c r="H7" s="68"/>
      <c r="I7" s="68" t="s">
        <v>506</v>
      </c>
      <c r="J7" s="68"/>
      <c r="K7" s="68" t="s">
        <v>4</v>
      </c>
      <c r="L7" s="68"/>
      <c r="M7" s="68" t="s">
        <v>5</v>
      </c>
      <c r="N7" s="68"/>
      <c r="O7" s="68" t="s">
        <v>508</v>
      </c>
      <c r="P7" s="68"/>
      <c r="Q7" s="68" t="s">
        <v>318</v>
      </c>
      <c r="R7" s="68"/>
      <c r="S7" s="63" t="s">
        <v>491</v>
      </c>
      <c r="U7" s="63" t="s">
        <v>492</v>
      </c>
      <c r="V7" s="68"/>
      <c r="W7" s="68" t="s">
        <v>318</v>
      </c>
      <c r="X7" s="68"/>
      <c r="Y7" s="63" t="s">
        <v>425</v>
      </c>
    </row>
    <row r="8" spans="1:26" s="63" customFormat="1" ht="12.75" customHeight="1" x14ac:dyDescent="0.2">
      <c r="A8" s="27" t="s">
        <v>6</v>
      </c>
      <c r="C8" s="27" t="s">
        <v>7</v>
      </c>
      <c r="D8" s="68"/>
      <c r="E8" s="27" t="s">
        <v>320</v>
      </c>
      <c r="F8" s="68"/>
      <c r="G8" s="27" t="s">
        <v>0</v>
      </c>
      <c r="H8" s="68"/>
      <c r="I8" s="87" t="s">
        <v>507</v>
      </c>
      <c r="J8" s="68"/>
      <c r="K8" s="27" t="s">
        <v>321</v>
      </c>
      <c r="L8" s="68"/>
      <c r="M8" s="27" t="s">
        <v>1</v>
      </c>
      <c r="N8" s="68"/>
      <c r="O8" s="87" t="s">
        <v>507</v>
      </c>
      <c r="P8" s="68"/>
      <c r="Q8" s="27" t="s">
        <v>322</v>
      </c>
      <c r="R8" s="68"/>
      <c r="S8" s="27" t="s">
        <v>323</v>
      </c>
      <c r="T8" s="68"/>
      <c r="U8" s="27" t="s">
        <v>323</v>
      </c>
      <c r="V8" s="68"/>
      <c r="W8" s="27" t="s">
        <v>322</v>
      </c>
      <c r="X8" s="68"/>
      <c r="Y8" s="50" t="s">
        <v>426</v>
      </c>
    </row>
    <row r="9" spans="1:26" s="63" customFormat="1" ht="12.75" customHeight="1" x14ac:dyDescent="0.2">
      <c r="A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</row>
    <row r="10" spans="1:26" s="9" customFormat="1" ht="12.75" hidden="1" customHeight="1" x14ac:dyDescent="0.2">
      <c r="A10" s="9" t="s">
        <v>10</v>
      </c>
      <c r="C10" s="9" t="s">
        <v>11</v>
      </c>
      <c r="E10" s="40">
        <f>43313697+55618829</f>
        <v>98932526</v>
      </c>
      <c r="F10" s="40"/>
      <c r="G10" s="40">
        <v>318540279</v>
      </c>
      <c r="H10" s="40"/>
      <c r="I10" s="40">
        <v>0</v>
      </c>
      <c r="J10" s="40"/>
      <c r="K10" s="40">
        <v>0</v>
      </c>
      <c r="L10" s="40"/>
      <c r="M10" s="40">
        <v>58828130</v>
      </c>
      <c r="N10" s="40"/>
      <c r="O10" s="40">
        <v>145801342</v>
      </c>
      <c r="P10" s="40"/>
      <c r="Q10" s="40">
        <f>3085645+117789306+13769668</f>
        <v>134644619</v>
      </c>
      <c r="R10" s="40"/>
      <c r="S10" s="40">
        <v>1612346</v>
      </c>
      <c r="T10" s="40"/>
      <c r="U10" s="40">
        <v>-22346158</v>
      </c>
      <c r="V10" s="40"/>
      <c r="W10" s="40">
        <f t="shared" ref="W10:W67" si="0">+U10+S10+Q10</f>
        <v>113910807</v>
      </c>
      <c r="X10" s="40"/>
      <c r="Y10" s="9">
        <f>+G10-M10-W10+I10-O10</f>
        <v>0</v>
      </c>
    </row>
    <row r="11" spans="1:26" s="9" customFormat="1" ht="12.75" customHeight="1" x14ac:dyDescent="0.2">
      <c r="A11" s="9" t="s">
        <v>12</v>
      </c>
      <c r="C11" s="9" t="s">
        <v>13</v>
      </c>
      <c r="E11" s="40">
        <v>7550281</v>
      </c>
      <c r="F11" s="40"/>
      <c r="G11" s="40">
        <v>14804060</v>
      </c>
      <c r="H11" s="40"/>
      <c r="I11" s="40">
        <v>0</v>
      </c>
      <c r="J11" s="40"/>
      <c r="K11" s="40">
        <v>0</v>
      </c>
      <c r="L11" s="40"/>
      <c r="M11" s="40">
        <v>1088036</v>
      </c>
      <c r="N11" s="40"/>
      <c r="O11" s="40">
        <v>3649810</v>
      </c>
      <c r="P11" s="40"/>
      <c r="Q11" s="40">
        <f>131990+5891152</f>
        <v>6023142</v>
      </c>
      <c r="R11" s="40"/>
      <c r="S11" s="40">
        <f>1234340+136180</f>
        <v>1370520</v>
      </c>
      <c r="T11" s="40"/>
      <c r="U11" s="40">
        <v>2672552</v>
      </c>
      <c r="V11" s="40"/>
      <c r="W11" s="40">
        <f t="shared" si="0"/>
        <v>10066214</v>
      </c>
      <c r="X11" s="40"/>
      <c r="Y11" s="9">
        <f t="shared" ref="Y11:Y67" si="1">+G11-M11-W11+I11-O11</f>
        <v>0</v>
      </c>
    </row>
    <row r="12" spans="1:26" ht="12.75" customHeight="1" x14ac:dyDescent="0.2">
      <c r="A12" s="7" t="s">
        <v>14</v>
      </c>
      <c r="B12" s="7"/>
      <c r="C12" s="7" t="s">
        <v>15</v>
      </c>
      <c r="E12" s="8">
        <v>9620794</v>
      </c>
      <c r="F12" s="8"/>
      <c r="G12" s="8">
        <v>13380660</v>
      </c>
      <c r="H12" s="8"/>
      <c r="I12" s="8">
        <v>0</v>
      </c>
      <c r="J12" s="8"/>
      <c r="K12" s="8">
        <v>0</v>
      </c>
      <c r="L12" s="8"/>
      <c r="M12" s="8">
        <v>382677</v>
      </c>
      <c r="N12" s="8"/>
      <c r="O12" s="8">
        <v>2165154</v>
      </c>
      <c r="P12" s="8"/>
      <c r="Q12" s="8">
        <f>236532+8018095</f>
        <v>8254627</v>
      </c>
      <c r="R12" s="8"/>
      <c r="S12" s="8">
        <f>50000+16106</f>
        <v>66106</v>
      </c>
      <c r="T12" s="8"/>
      <c r="U12" s="8">
        <v>2512096</v>
      </c>
      <c r="V12" s="8"/>
      <c r="W12" s="8">
        <f t="shared" si="0"/>
        <v>10832829</v>
      </c>
      <c r="X12" s="8"/>
      <c r="Y12" s="9">
        <f t="shared" si="1"/>
        <v>0</v>
      </c>
    </row>
    <row r="13" spans="1:26" ht="12.75" customHeight="1" x14ac:dyDescent="0.2">
      <c r="A13" s="7" t="s">
        <v>16</v>
      </c>
      <c r="B13" s="7"/>
      <c r="C13" s="7" t="s">
        <v>16</v>
      </c>
      <c r="E13" s="8">
        <v>4517231</v>
      </c>
      <c r="F13" s="8"/>
      <c r="G13" s="8">
        <v>9836148</v>
      </c>
      <c r="H13" s="8"/>
      <c r="I13" s="8">
        <v>0</v>
      </c>
      <c r="J13" s="8"/>
      <c r="K13" s="8">
        <v>3377947</v>
      </c>
      <c r="L13" s="8"/>
      <c r="M13" s="8">
        <v>4344509</v>
      </c>
      <c r="N13" s="8"/>
      <c r="O13" s="8">
        <v>0</v>
      </c>
      <c r="P13" s="8"/>
      <c r="Q13" s="8">
        <f>314049+3348469</f>
        <v>3662518</v>
      </c>
      <c r="R13" s="8"/>
      <c r="S13" s="8">
        <f>505472+1360086</f>
        <v>1865558</v>
      </c>
      <c r="T13" s="8"/>
      <c r="U13" s="8">
        <v>-36437</v>
      </c>
      <c r="V13" s="8"/>
      <c r="W13" s="8">
        <f t="shared" si="0"/>
        <v>5491639</v>
      </c>
      <c r="X13" s="8"/>
      <c r="Y13" s="9">
        <f t="shared" si="1"/>
        <v>0</v>
      </c>
    </row>
    <row r="14" spans="1:26" ht="12.75" customHeight="1" x14ac:dyDescent="0.2">
      <c r="A14" s="7" t="s">
        <v>17</v>
      </c>
      <c r="B14" s="7"/>
      <c r="C14" s="7" t="s">
        <v>17</v>
      </c>
      <c r="E14" s="8">
        <f>1759401+8577+19915</f>
        <v>1787893</v>
      </c>
      <c r="F14" s="8"/>
      <c r="G14" s="8">
        <v>7512497</v>
      </c>
      <c r="H14" s="8"/>
      <c r="I14" s="8">
        <v>0</v>
      </c>
      <c r="J14" s="8"/>
      <c r="K14" s="8">
        <v>0</v>
      </c>
      <c r="L14" s="8"/>
      <c r="M14" s="8">
        <v>720888</v>
      </c>
      <c r="N14" s="8"/>
      <c r="O14" s="8">
        <v>4435582</v>
      </c>
      <c r="P14" s="8"/>
      <c r="Q14" s="8">
        <f>126857+1591067</f>
        <v>1717924</v>
      </c>
      <c r="R14" s="8"/>
      <c r="S14" s="8">
        <f>76467+70852</f>
        <v>147319</v>
      </c>
      <c r="T14" s="8"/>
      <c r="U14" s="8">
        <v>490784</v>
      </c>
      <c r="V14" s="8"/>
      <c r="W14" s="8">
        <f t="shared" si="0"/>
        <v>2356027</v>
      </c>
      <c r="X14" s="8"/>
      <c r="Y14" s="9">
        <f t="shared" si="1"/>
        <v>0</v>
      </c>
      <c r="Z14" s="9"/>
    </row>
    <row r="15" spans="1:26" ht="12.75" customHeight="1" x14ac:dyDescent="0.2">
      <c r="A15" s="7" t="s">
        <v>18</v>
      </c>
      <c r="B15" s="7"/>
      <c r="C15" s="7" t="s">
        <v>18</v>
      </c>
      <c r="E15" s="8">
        <v>8282439</v>
      </c>
      <c r="F15" s="8"/>
      <c r="G15" s="8">
        <v>10584600</v>
      </c>
      <c r="H15" s="8"/>
      <c r="I15" s="8">
        <v>0</v>
      </c>
      <c r="J15" s="8"/>
      <c r="K15" s="8">
        <v>0</v>
      </c>
      <c r="L15" s="8"/>
      <c r="M15" s="8">
        <v>2029095</v>
      </c>
      <c r="N15" s="8"/>
      <c r="O15" s="8">
        <v>911363</v>
      </c>
      <c r="P15" s="8"/>
      <c r="Q15" s="8">
        <f>310606+6057214</f>
        <v>6367820</v>
      </c>
      <c r="R15" s="8"/>
      <c r="S15" s="8">
        <v>547379</v>
      </c>
      <c r="T15" s="8"/>
      <c r="U15" s="8">
        <v>728943</v>
      </c>
      <c r="V15" s="8"/>
      <c r="W15" s="8">
        <f t="shared" si="0"/>
        <v>7644142</v>
      </c>
      <c r="X15" s="8"/>
      <c r="Y15" s="9">
        <f t="shared" si="1"/>
        <v>0</v>
      </c>
      <c r="Z15" s="9"/>
    </row>
    <row r="16" spans="1:26" ht="12.75" customHeight="1" x14ac:dyDescent="0.2">
      <c r="A16" s="7" t="s">
        <v>19</v>
      </c>
      <c r="B16" s="7"/>
      <c r="C16" s="7" t="s">
        <v>20</v>
      </c>
      <c r="E16" s="8">
        <v>16010734</v>
      </c>
      <c r="F16" s="8"/>
      <c r="G16" s="8">
        <v>25356838</v>
      </c>
      <c r="H16" s="8"/>
      <c r="I16" s="8">
        <v>0</v>
      </c>
      <c r="J16" s="8"/>
      <c r="K16" s="8">
        <v>0</v>
      </c>
      <c r="L16" s="8"/>
      <c r="M16" s="8">
        <v>2108938</v>
      </c>
      <c r="N16" s="8"/>
      <c r="O16" s="8">
        <v>6335434</v>
      </c>
      <c r="P16" s="8"/>
      <c r="Q16" s="8">
        <f>135908+3977485</f>
        <v>4113393</v>
      </c>
      <c r="R16" s="8"/>
      <c r="S16" s="8">
        <f>2338675+2995164</f>
        <v>5333839</v>
      </c>
      <c r="T16" s="8"/>
      <c r="U16" s="8">
        <v>7465234</v>
      </c>
      <c r="V16" s="8"/>
      <c r="W16" s="8">
        <f t="shared" si="0"/>
        <v>16912466</v>
      </c>
      <c r="X16" s="8"/>
      <c r="Y16" s="9">
        <f t="shared" si="1"/>
        <v>0</v>
      </c>
    </row>
    <row r="17" spans="1:25" ht="12.75" customHeight="1" x14ac:dyDescent="0.2">
      <c r="A17" s="7" t="s">
        <v>21</v>
      </c>
      <c r="B17" s="7"/>
      <c r="C17" s="7" t="s">
        <v>15</v>
      </c>
      <c r="E17" s="8">
        <f>15264332+971816</f>
        <v>16236148</v>
      </c>
      <c r="F17" s="8"/>
      <c r="G17" s="8">
        <v>36996061</v>
      </c>
      <c r="H17" s="8"/>
      <c r="I17" s="8">
        <v>0</v>
      </c>
      <c r="J17" s="8"/>
      <c r="K17" s="8">
        <v>0</v>
      </c>
      <c r="L17" s="8"/>
      <c r="M17" s="8">
        <v>24290411</v>
      </c>
      <c r="N17" s="8"/>
      <c r="O17" s="8">
        <v>14963489</v>
      </c>
      <c r="P17" s="8"/>
      <c r="Q17" s="8">
        <f>1371616+6180850</f>
        <v>7552466</v>
      </c>
      <c r="R17" s="8"/>
      <c r="S17" s="8">
        <f>497513+2426119</f>
        <v>2923632</v>
      </c>
      <c r="T17" s="8"/>
      <c r="U17" s="8">
        <v>-12733937</v>
      </c>
      <c r="V17" s="8"/>
      <c r="W17" s="8">
        <f t="shared" si="0"/>
        <v>-2257839</v>
      </c>
      <c r="X17" s="8"/>
      <c r="Y17" s="9">
        <f t="shared" si="1"/>
        <v>0</v>
      </c>
    </row>
    <row r="18" spans="1:25" ht="12.75" customHeight="1" x14ac:dyDescent="0.2">
      <c r="A18" s="7" t="s">
        <v>22</v>
      </c>
      <c r="B18" s="7"/>
      <c r="C18" s="7" t="s">
        <v>15</v>
      </c>
      <c r="E18" s="8">
        <v>11536019</v>
      </c>
      <c r="F18" s="8"/>
      <c r="G18" s="8">
        <v>25385846</v>
      </c>
      <c r="H18" s="8"/>
      <c r="I18" s="8">
        <v>0</v>
      </c>
      <c r="J18" s="8"/>
      <c r="K18" s="8">
        <v>0</v>
      </c>
      <c r="L18" s="8"/>
      <c r="M18" s="8">
        <v>1685759</v>
      </c>
      <c r="N18" s="8"/>
      <c r="O18" s="8">
        <v>11347188</v>
      </c>
      <c r="P18" s="8"/>
      <c r="Q18" s="8">
        <f>234541+2603420</f>
        <v>2837961</v>
      </c>
      <c r="R18" s="8"/>
      <c r="S18" s="8">
        <f>7000873+2117177</f>
        <v>9118050</v>
      </c>
      <c r="T18" s="8"/>
      <c r="U18" s="8">
        <v>396888</v>
      </c>
      <c r="V18" s="8"/>
      <c r="W18" s="8">
        <f t="shared" ref="W18" si="2">+U18+S18+Q18</f>
        <v>12352899</v>
      </c>
      <c r="X18" s="8"/>
      <c r="Y18" s="9">
        <f t="shared" si="1"/>
        <v>0</v>
      </c>
    </row>
    <row r="19" spans="1:25" ht="12.75" customHeight="1" x14ac:dyDescent="0.2">
      <c r="A19" s="7" t="s">
        <v>23</v>
      </c>
      <c r="B19" s="7"/>
      <c r="C19" s="7" t="s">
        <v>11</v>
      </c>
      <c r="E19" s="8">
        <f>6532930+201481</f>
        <v>6734411</v>
      </c>
      <c r="F19" s="8"/>
      <c r="G19" s="8">
        <v>12998674</v>
      </c>
      <c r="H19" s="8"/>
      <c r="I19" s="8">
        <v>0</v>
      </c>
      <c r="J19" s="8"/>
      <c r="K19" s="8">
        <v>0</v>
      </c>
      <c r="L19" s="8"/>
      <c r="M19" s="8">
        <v>2337446</v>
      </c>
      <c r="N19" s="8"/>
      <c r="O19" s="8">
        <v>3373275</v>
      </c>
      <c r="P19" s="8"/>
      <c r="Q19" s="8">
        <f>68530+2640966</f>
        <v>2709496</v>
      </c>
      <c r="R19" s="8"/>
      <c r="S19" s="8">
        <f>1433733+1257550</f>
        <v>2691283</v>
      </c>
      <c r="T19" s="8"/>
      <c r="U19" s="8">
        <v>1887174</v>
      </c>
      <c r="V19" s="8"/>
      <c r="W19" s="8">
        <f t="shared" si="0"/>
        <v>7287953</v>
      </c>
      <c r="X19" s="8"/>
      <c r="Y19" s="9">
        <f t="shared" si="1"/>
        <v>0</v>
      </c>
    </row>
    <row r="20" spans="1:25" ht="12.75" customHeight="1" x14ac:dyDescent="0.2">
      <c r="A20" s="7" t="s">
        <v>24</v>
      </c>
      <c r="B20" s="7"/>
      <c r="C20" s="7" t="s">
        <v>25</v>
      </c>
      <c r="E20" s="8">
        <v>10287553</v>
      </c>
      <c r="F20" s="8"/>
      <c r="G20" s="8">
        <v>25387603</v>
      </c>
      <c r="H20" s="8"/>
      <c r="I20" s="8">
        <v>0</v>
      </c>
      <c r="J20" s="8"/>
      <c r="K20" s="8">
        <v>0</v>
      </c>
      <c r="L20" s="8"/>
      <c r="M20" s="8">
        <v>2424039</v>
      </c>
      <c r="N20" s="8"/>
      <c r="O20" s="8">
        <v>10049320</v>
      </c>
      <c r="P20" s="8"/>
      <c r="Q20" s="8">
        <f>468750+549345</f>
        <v>1018095</v>
      </c>
      <c r="R20" s="8"/>
      <c r="S20" s="8">
        <f>10523656+123179</f>
        <v>10646835</v>
      </c>
      <c r="T20" s="8"/>
      <c r="U20" s="8">
        <v>1249314</v>
      </c>
      <c r="V20" s="8"/>
      <c r="W20" s="8">
        <f t="shared" si="0"/>
        <v>12914244</v>
      </c>
      <c r="X20" s="8"/>
      <c r="Y20" s="9">
        <f t="shared" si="1"/>
        <v>0</v>
      </c>
    </row>
    <row r="21" spans="1:25" ht="12.75" customHeight="1" x14ac:dyDescent="0.2">
      <c r="A21" s="7" t="s">
        <v>26</v>
      </c>
      <c r="B21" s="7"/>
      <c r="C21" s="7" t="s">
        <v>25</v>
      </c>
      <c r="E21" s="8">
        <f>31525396+2375+20368</f>
        <v>31548139</v>
      </c>
      <c r="F21" s="8"/>
      <c r="G21" s="8">
        <v>47813754</v>
      </c>
      <c r="H21" s="8"/>
      <c r="I21" s="8">
        <v>0</v>
      </c>
      <c r="J21" s="8"/>
      <c r="K21" s="8">
        <v>0</v>
      </c>
      <c r="L21" s="8"/>
      <c r="M21" s="8">
        <v>7402209</v>
      </c>
      <c r="N21" s="8"/>
      <c r="O21" s="8">
        <v>9218725</v>
      </c>
      <c r="P21" s="8"/>
      <c r="Q21" s="8">
        <f>1057697+1438347</f>
        <v>2496044</v>
      </c>
      <c r="R21" s="8"/>
      <c r="S21" s="8">
        <f>619438+1703310</f>
        <v>2322748</v>
      </c>
      <c r="T21" s="8"/>
      <c r="U21" s="8">
        <v>26374028</v>
      </c>
      <c r="V21" s="8"/>
      <c r="W21" s="8">
        <f t="shared" si="0"/>
        <v>31192820</v>
      </c>
      <c r="X21" s="8"/>
      <c r="Y21" s="9">
        <f t="shared" si="1"/>
        <v>0</v>
      </c>
    </row>
    <row r="22" spans="1:25" ht="12.75" customHeight="1" x14ac:dyDescent="0.2">
      <c r="A22" s="7" t="s">
        <v>27</v>
      </c>
      <c r="B22" s="7"/>
      <c r="C22" s="7" t="s">
        <v>28</v>
      </c>
      <c r="E22" s="8">
        <f>9260703+158760</f>
        <v>9419463</v>
      </c>
      <c r="F22" s="8"/>
      <c r="G22" s="8">
        <v>29763424</v>
      </c>
      <c r="H22" s="8"/>
      <c r="I22" s="8">
        <v>0</v>
      </c>
      <c r="J22" s="8"/>
      <c r="K22" s="8">
        <v>0</v>
      </c>
      <c r="L22" s="8"/>
      <c r="M22" s="8">
        <v>1582043</v>
      </c>
      <c r="N22" s="8"/>
      <c r="O22" s="8">
        <v>17565647</v>
      </c>
      <c r="P22" s="8"/>
      <c r="Q22" s="8">
        <f>628150+6524956</f>
        <v>7153106</v>
      </c>
      <c r="R22" s="8"/>
      <c r="S22" s="8">
        <v>1179606</v>
      </c>
      <c r="T22" s="8"/>
      <c r="U22" s="8">
        <v>2283022</v>
      </c>
      <c r="V22" s="8"/>
      <c r="W22" s="8">
        <f t="shared" si="0"/>
        <v>10615734</v>
      </c>
      <c r="X22" s="8"/>
      <c r="Y22" s="9">
        <f t="shared" si="1"/>
        <v>0</v>
      </c>
    </row>
    <row r="23" spans="1:25" ht="12.75" customHeight="1" x14ac:dyDescent="0.2">
      <c r="A23" s="7" t="s">
        <v>29</v>
      </c>
      <c r="B23" s="7"/>
      <c r="C23" s="7" t="s">
        <v>25</v>
      </c>
      <c r="E23" s="8">
        <v>13179361</v>
      </c>
      <c r="F23" s="8"/>
      <c r="G23" s="8">
        <v>24876330</v>
      </c>
      <c r="H23" s="8"/>
      <c r="I23" s="8">
        <v>0</v>
      </c>
      <c r="J23" s="8"/>
      <c r="K23" s="8">
        <v>0</v>
      </c>
      <c r="L23" s="8"/>
      <c r="M23" s="8">
        <v>2141122</v>
      </c>
      <c r="N23" s="8"/>
      <c r="O23" s="8">
        <v>8269160</v>
      </c>
      <c r="P23" s="8"/>
      <c r="Q23" s="8">
        <f>230992+3791264</f>
        <v>4022256</v>
      </c>
      <c r="R23" s="8"/>
      <c r="S23" s="8">
        <f>103438+170673</f>
        <v>274111</v>
      </c>
      <c r="T23" s="8"/>
      <c r="U23" s="8">
        <v>10169681</v>
      </c>
      <c r="V23" s="8"/>
      <c r="W23" s="8">
        <f t="shared" si="0"/>
        <v>14466048</v>
      </c>
      <c r="X23" s="8"/>
      <c r="Y23" s="9">
        <f t="shared" si="1"/>
        <v>0</v>
      </c>
    </row>
    <row r="24" spans="1:25" ht="12.75" customHeight="1" x14ac:dyDescent="0.2">
      <c r="A24" s="7" t="s">
        <v>30</v>
      </c>
      <c r="B24" s="7"/>
      <c r="C24" s="7" t="s">
        <v>25</v>
      </c>
      <c r="E24" s="8">
        <v>4524438</v>
      </c>
      <c r="F24" s="8"/>
      <c r="G24" s="8">
        <v>12604010</v>
      </c>
      <c r="H24" s="8"/>
      <c r="I24" s="8">
        <v>0</v>
      </c>
      <c r="J24" s="8"/>
      <c r="K24" s="8">
        <v>2977837</v>
      </c>
      <c r="L24" s="8"/>
      <c r="M24" s="8">
        <v>6901239</v>
      </c>
      <c r="N24" s="8"/>
      <c r="O24" s="8">
        <v>0</v>
      </c>
      <c r="P24" s="8"/>
      <c r="Q24" s="8">
        <f>159224+1348611</f>
        <v>1507835</v>
      </c>
      <c r="R24" s="8"/>
      <c r="S24" s="8">
        <f>1146741+59056</f>
        <v>1205797</v>
      </c>
      <c r="T24" s="8"/>
      <c r="U24" s="8">
        <v>2989139</v>
      </c>
      <c r="V24" s="8"/>
      <c r="W24" s="8">
        <f t="shared" si="0"/>
        <v>5702771</v>
      </c>
      <c r="X24" s="8"/>
      <c r="Y24" s="9">
        <f t="shared" si="1"/>
        <v>0</v>
      </c>
    </row>
    <row r="25" spans="1:25" ht="12.75" customHeight="1" x14ac:dyDescent="0.2">
      <c r="A25" s="7" t="s">
        <v>32</v>
      </c>
      <c r="C25" s="7" t="s">
        <v>28</v>
      </c>
      <c r="E25" s="8">
        <f>1115400+118755+158415+195610+1489142+106408</f>
        <v>3183730</v>
      </c>
      <c r="F25" s="8"/>
      <c r="G25" s="8">
        <v>6473247</v>
      </c>
      <c r="H25" s="8"/>
      <c r="I25" s="8">
        <v>0</v>
      </c>
      <c r="J25" s="8"/>
      <c r="K25" s="8">
        <v>3071418</v>
      </c>
      <c r="L25" s="8"/>
      <c r="M25" s="8">
        <v>3339702</v>
      </c>
      <c r="N25" s="8"/>
      <c r="O25" s="8">
        <v>0</v>
      </c>
      <c r="P25" s="8"/>
      <c r="Q25" s="8">
        <f>1231+19712+18257+6589+31277+13587+135738+877</f>
        <v>227268</v>
      </c>
      <c r="R25" s="8"/>
      <c r="S25" s="8">
        <f>58679+522+1430463</f>
        <v>1489664</v>
      </c>
      <c r="T25" s="8"/>
      <c r="U25" s="8">
        <f>3133545-Q25-S25</f>
        <v>1416613</v>
      </c>
      <c r="V25" s="8"/>
      <c r="W25" s="8">
        <f t="shared" si="0"/>
        <v>3133545</v>
      </c>
      <c r="X25" s="8"/>
      <c r="Y25" s="9">
        <f>+G25-M25-W25+I25-O25</f>
        <v>0</v>
      </c>
    </row>
    <row r="26" spans="1:25" ht="12.75" customHeight="1" x14ac:dyDescent="0.2">
      <c r="A26" s="7" t="s">
        <v>33</v>
      </c>
      <c r="B26" s="7"/>
      <c r="C26" s="7" t="s">
        <v>34</v>
      </c>
      <c r="E26" s="8">
        <f>6103179+1085900</f>
        <v>7189079</v>
      </c>
      <c r="F26" s="8"/>
      <c r="G26" s="8">
        <v>9587399</v>
      </c>
      <c r="H26" s="8"/>
      <c r="I26" s="8">
        <v>0</v>
      </c>
      <c r="J26" s="8"/>
      <c r="K26" s="8">
        <v>0</v>
      </c>
      <c r="L26" s="8"/>
      <c r="M26" s="8">
        <v>1599796</v>
      </c>
      <c r="N26" s="8"/>
      <c r="O26" s="8">
        <v>1245885</v>
      </c>
      <c r="P26" s="8"/>
      <c r="Q26" s="8">
        <f>142799+37037+2566+239843+10349+245813+581893+419987+225127</f>
        <v>1905414</v>
      </c>
      <c r="R26" s="8"/>
      <c r="S26" s="8">
        <f>19429+69372+2508760+52863+57244+216+25306</f>
        <v>2733190</v>
      </c>
      <c r="T26" s="8"/>
      <c r="U26" s="8">
        <v>2103114</v>
      </c>
      <c r="V26" s="8"/>
      <c r="W26" s="8">
        <f t="shared" si="0"/>
        <v>6741718</v>
      </c>
      <c r="X26" s="8"/>
      <c r="Y26" s="9">
        <f t="shared" si="1"/>
        <v>0</v>
      </c>
    </row>
    <row r="27" spans="1:25" ht="12.75" customHeight="1" x14ac:dyDescent="0.2">
      <c r="A27" s="7" t="s">
        <v>35</v>
      </c>
      <c r="B27" s="7"/>
      <c r="C27" s="7" t="s">
        <v>36</v>
      </c>
      <c r="E27" s="8">
        <f>4675450+495</f>
        <v>4675945</v>
      </c>
      <c r="F27" s="8"/>
      <c r="G27" s="8">
        <v>7080715</v>
      </c>
      <c r="H27" s="8"/>
      <c r="I27" s="8">
        <v>0</v>
      </c>
      <c r="J27" s="8"/>
      <c r="K27" s="8">
        <v>0</v>
      </c>
      <c r="L27" s="8"/>
      <c r="M27" s="8">
        <v>261081</v>
      </c>
      <c r="N27" s="8"/>
      <c r="O27" s="8">
        <v>1852311</v>
      </c>
      <c r="P27" s="8"/>
      <c r="Q27" s="8">
        <f>53592+3198296</f>
        <v>3251888</v>
      </c>
      <c r="R27" s="8"/>
      <c r="S27" s="8">
        <f>997+33262</f>
        <v>34259</v>
      </c>
      <c r="T27" s="8"/>
      <c r="U27" s="8">
        <v>1681176</v>
      </c>
      <c r="V27" s="8"/>
      <c r="W27" s="8">
        <f t="shared" si="0"/>
        <v>4967323</v>
      </c>
      <c r="X27" s="8"/>
      <c r="Y27" s="9">
        <f t="shared" si="1"/>
        <v>0</v>
      </c>
    </row>
    <row r="28" spans="1:25" ht="12.75" customHeight="1" x14ac:dyDescent="0.2">
      <c r="A28" s="7" t="s">
        <v>37</v>
      </c>
      <c r="B28" s="7"/>
      <c r="C28" s="7" t="s">
        <v>38</v>
      </c>
      <c r="E28" s="8">
        <f>1985681+6627+21084</f>
        <v>2013392</v>
      </c>
      <c r="F28" s="8"/>
      <c r="G28" s="8">
        <v>3194622</v>
      </c>
      <c r="H28" s="8"/>
      <c r="I28" s="8">
        <v>0</v>
      </c>
      <c r="J28" s="8"/>
      <c r="K28" s="8">
        <v>0</v>
      </c>
      <c r="L28" s="8"/>
      <c r="M28" s="8">
        <v>140966</v>
      </c>
      <c r="N28" s="8"/>
      <c r="O28" s="8">
        <v>739599</v>
      </c>
      <c r="P28" s="8"/>
      <c r="Q28" s="8">
        <f>40191+284660</f>
        <v>324851</v>
      </c>
      <c r="R28" s="8"/>
      <c r="S28" s="8">
        <f>3196+604628</f>
        <v>607824</v>
      </c>
      <c r="T28" s="8"/>
      <c r="U28" s="8">
        <v>1381382</v>
      </c>
      <c r="V28" s="8"/>
      <c r="W28" s="8">
        <f t="shared" si="0"/>
        <v>2314057</v>
      </c>
      <c r="X28" s="8"/>
      <c r="Y28" s="9">
        <f t="shared" si="1"/>
        <v>0</v>
      </c>
    </row>
    <row r="29" spans="1:25" ht="12.75" customHeight="1" x14ac:dyDescent="0.2">
      <c r="A29" s="7" t="s">
        <v>39</v>
      </c>
      <c r="B29" s="7"/>
      <c r="C29" s="7" t="s">
        <v>25</v>
      </c>
      <c r="E29" s="8">
        <v>8356682</v>
      </c>
      <c r="F29" s="8"/>
      <c r="G29" s="8">
        <v>19685344</v>
      </c>
      <c r="H29" s="8"/>
      <c r="I29" s="8">
        <v>0</v>
      </c>
      <c r="J29" s="8"/>
      <c r="K29" s="8">
        <v>6290072</v>
      </c>
      <c r="L29" s="8"/>
      <c r="M29" s="8">
        <v>8054598</v>
      </c>
      <c r="N29" s="8"/>
      <c r="O29" s="8">
        <v>0</v>
      </c>
      <c r="P29" s="8"/>
      <c r="Q29" s="8">
        <f>209235+4736896</f>
        <v>4946131</v>
      </c>
      <c r="R29" s="8"/>
      <c r="S29" s="8">
        <f>3644148+174933</f>
        <v>3819081</v>
      </c>
      <c r="T29" s="8"/>
      <c r="U29" s="8">
        <v>2865534</v>
      </c>
      <c r="V29" s="8"/>
      <c r="W29" s="8">
        <f t="shared" si="0"/>
        <v>11630746</v>
      </c>
      <c r="X29" s="8"/>
      <c r="Y29" s="9">
        <f t="shared" si="1"/>
        <v>0</v>
      </c>
    </row>
    <row r="30" spans="1:25" ht="12.75" customHeight="1" x14ac:dyDescent="0.2">
      <c r="A30" s="7" t="s">
        <v>40</v>
      </c>
      <c r="B30" s="7"/>
      <c r="C30" s="7" t="s">
        <v>41</v>
      </c>
      <c r="E30" s="8">
        <f>6928790+45274+2934</f>
        <v>6976998</v>
      </c>
      <c r="F30" s="8"/>
      <c r="G30" s="8">
        <v>13581589</v>
      </c>
      <c r="H30" s="8"/>
      <c r="I30" s="8">
        <v>0</v>
      </c>
      <c r="J30" s="8"/>
      <c r="K30" s="8">
        <v>0</v>
      </c>
      <c r="L30" s="8"/>
      <c r="M30" s="8">
        <v>2609979</v>
      </c>
      <c r="N30" s="8"/>
      <c r="O30" s="8">
        <v>4558229</v>
      </c>
      <c r="P30" s="8"/>
      <c r="Q30" s="8">
        <f>42009+2422037</f>
        <v>2464046</v>
      </c>
      <c r="R30" s="8"/>
      <c r="S30" s="8">
        <f>10868+1528842</f>
        <v>1539710</v>
      </c>
      <c r="T30" s="8"/>
      <c r="U30" s="8">
        <v>2409625</v>
      </c>
      <c r="V30" s="8"/>
      <c r="W30" s="8">
        <f t="shared" si="0"/>
        <v>6413381</v>
      </c>
      <c r="X30" s="8"/>
      <c r="Y30" s="9">
        <f t="shared" si="1"/>
        <v>0</v>
      </c>
    </row>
    <row r="31" spans="1:25" ht="12.75" customHeight="1" x14ac:dyDescent="0.2">
      <c r="A31" s="7" t="s">
        <v>42</v>
      </c>
      <c r="B31" s="7"/>
      <c r="C31" s="7" t="s">
        <v>43</v>
      </c>
      <c r="E31" s="8">
        <f>36062842+670000</f>
        <v>36732842</v>
      </c>
      <c r="F31" s="8"/>
      <c r="G31" s="8">
        <v>48621150</v>
      </c>
      <c r="H31" s="8"/>
      <c r="I31" s="8">
        <v>0</v>
      </c>
      <c r="J31" s="8"/>
      <c r="K31" s="8">
        <v>0</v>
      </c>
      <c r="L31" s="8"/>
      <c r="M31" s="8">
        <v>3027231</v>
      </c>
      <c r="N31" s="8"/>
      <c r="O31" s="8">
        <v>6349795</v>
      </c>
      <c r="P31" s="8"/>
      <c r="Q31" s="8">
        <f>313703+5584468</f>
        <v>5898171</v>
      </c>
      <c r="R31" s="8"/>
      <c r="S31" s="8">
        <f>389934+490568</f>
        <v>880502</v>
      </c>
      <c r="T31" s="8"/>
      <c r="U31" s="8">
        <v>32465451</v>
      </c>
      <c r="V31" s="8"/>
      <c r="W31" s="8">
        <f t="shared" si="0"/>
        <v>39244124</v>
      </c>
      <c r="X31" s="8"/>
      <c r="Y31" s="9">
        <f t="shared" si="1"/>
        <v>0</v>
      </c>
    </row>
    <row r="32" spans="1:25" ht="12.75" customHeight="1" x14ac:dyDescent="0.2">
      <c r="A32" s="7" t="s">
        <v>44</v>
      </c>
      <c r="B32" s="7"/>
      <c r="C32" s="7" t="s">
        <v>45</v>
      </c>
      <c r="E32" s="8">
        <f>15402091+4336</f>
        <v>15406427</v>
      </c>
      <c r="F32" s="8"/>
      <c r="G32" s="8">
        <v>24969682</v>
      </c>
      <c r="H32" s="8"/>
      <c r="I32" s="8">
        <v>0</v>
      </c>
      <c r="J32" s="8"/>
      <c r="K32" s="8">
        <v>0</v>
      </c>
      <c r="L32" s="8"/>
      <c r="M32" s="8">
        <v>3607765</v>
      </c>
      <c r="N32" s="8"/>
      <c r="O32" s="8">
        <v>5726763</v>
      </c>
      <c r="P32" s="8"/>
      <c r="Q32" s="8">
        <f>125140+10701959</f>
        <v>10827099</v>
      </c>
      <c r="R32" s="8"/>
      <c r="S32" s="8">
        <f>1060542+261408</f>
        <v>1321950</v>
      </c>
      <c r="T32" s="8"/>
      <c r="U32" s="8">
        <v>3486105</v>
      </c>
      <c r="V32" s="8"/>
      <c r="W32" s="8">
        <f t="shared" si="0"/>
        <v>15635154</v>
      </c>
      <c r="X32" s="8"/>
      <c r="Y32" s="9">
        <f t="shared" si="1"/>
        <v>0</v>
      </c>
    </row>
    <row r="33" spans="1:25" ht="12.75" customHeight="1" x14ac:dyDescent="0.2">
      <c r="A33" s="7" t="s">
        <v>46</v>
      </c>
      <c r="B33" s="7"/>
      <c r="C33" s="7" t="s">
        <v>25</v>
      </c>
      <c r="E33" s="8">
        <f>13885420+48380+5449</f>
        <v>13939249</v>
      </c>
      <c r="F33" s="8"/>
      <c r="G33" s="8">
        <v>29111203</v>
      </c>
      <c r="H33" s="8"/>
      <c r="I33" s="8">
        <v>0</v>
      </c>
      <c r="J33" s="8"/>
      <c r="K33" s="8">
        <v>0</v>
      </c>
      <c r="L33" s="8"/>
      <c r="M33" s="8">
        <v>2221721</v>
      </c>
      <c r="N33" s="8"/>
      <c r="O33" s="8">
        <v>12369664</v>
      </c>
      <c r="P33" s="8"/>
      <c r="Q33" s="8">
        <f>443703+2219654</f>
        <v>2663357</v>
      </c>
      <c r="R33" s="8"/>
      <c r="S33" s="8">
        <f>2184917+1287603</f>
        <v>3472520</v>
      </c>
      <c r="T33" s="8"/>
      <c r="U33" s="8">
        <v>8383941</v>
      </c>
      <c r="V33" s="8"/>
      <c r="W33" s="8">
        <f t="shared" si="0"/>
        <v>14519818</v>
      </c>
      <c r="X33" s="8"/>
      <c r="Y33" s="9">
        <f t="shared" si="1"/>
        <v>0</v>
      </c>
    </row>
    <row r="34" spans="1:25" ht="12.75" customHeight="1" x14ac:dyDescent="0.2">
      <c r="A34" s="7" t="s">
        <v>47</v>
      </c>
      <c r="B34" s="7"/>
      <c r="C34" s="7" t="s">
        <v>25</v>
      </c>
      <c r="E34" s="8">
        <v>7000304</v>
      </c>
      <c r="F34" s="8"/>
      <c r="G34" s="8">
        <v>19273414</v>
      </c>
      <c r="H34" s="8"/>
      <c r="I34" s="8">
        <v>0</v>
      </c>
      <c r="J34" s="8"/>
      <c r="K34" s="8">
        <v>9524882</v>
      </c>
      <c r="L34" s="8"/>
      <c r="M34" s="8">
        <v>12480514</v>
      </c>
      <c r="N34" s="8"/>
      <c r="O34" s="8">
        <v>0</v>
      </c>
      <c r="P34" s="8"/>
      <c r="Q34" s="8">
        <f>64068+1315892</f>
        <v>1379960</v>
      </c>
      <c r="R34" s="8"/>
      <c r="S34" s="8">
        <f>2632316+568938</f>
        <v>3201254</v>
      </c>
      <c r="T34" s="8"/>
      <c r="U34" s="8">
        <v>2211686</v>
      </c>
      <c r="V34" s="8"/>
      <c r="W34" s="8">
        <f t="shared" si="0"/>
        <v>6792900</v>
      </c>
      <c r="X34" s="8"/>
      <c r="Y34" s="9">
        <f t="shared" si="1"/>
        <v>0</v>
      </c>
    </row>
    <row r="35" spans="1:25" ht="12.75" customHeight="1" x14ac:dyDescent="0.2">
      <c r="A35" s="7" t="s">
        <v>48</v>
      </c>
      <c r="B35" s="7"/>
      <c r="C35" s="7" t="s">
        <v>25</v>
      </c>
      <c r="E35" s="8">
        <v>12954297</v>
      </c>
      <c r="F35" s="8"/>
      <c r="G35" s="8">
        <v>20583915</v>
      </c>
      <c r="H35" s="8"/>
      <c r="I35" s="8">
        <v>0</v>
      </c>
      <c r="J35" s="8"/>
      <c r="K35" s="8">
        <v>0</v>
      </c>
      <c r="L35" s="8"/>
      <c r="M35" s="8">
        <v>2981307</v>
      </c>
      <c r="N35" s="8"/>
      <c r="O35" s="8">
        <v>3596652</v>
      </c>
      <c r="P35" s="8"/>
      <c r="Q35" s="8">
        <f>266001+3980814</f>
        <v>4246815</v>
      </c>
      <c r="R35" s="8"/>
      <c r="S35" s="8">
        <f>6906468+2034530</f>
        <v>8940998</v>
      </c>
      <c r="T35" s="8"/>
      <c r="U35" s="8">
        <v>818143</v>
      </c>
      <c r="V35" s="8"/>
      <c r="W35" s="8">
        <f t="shared" si="0"/>
        <v>14005956</v>
      </c>
      <c r="X35" s="8"/>
      <c r="Y35" s="9">
        <f t="shared" si="1"/>
        <v>0</v>
      </c>
    </row>
    <row r="36" spans="1:25" ht="12.75" customHeight="1" x14ac:dyDescent="0.2">
      <c r="A36" s="7" t="s">
        <v>49</v>
      </c>
      <c r="B36" s="7"/>
      <c r="C36" s="7" t="s">
        <v>25</v>
      </c>
      <c r="E36" s="8">
        <f>12685247+38700+1456650+2862826</f>
        <v>17043423</v>
      </c>
      <c r="F36" s="8"/>
      <c r="G36" s="8">
        <v>23301853</v>
      </c>
      <c r="H36" s="8"/>
      <c r="I36" s="8">
        <v>0</v>
      </c>
      <c r="J36" s="8"/>
      <c r="K36" s="8">
        <v>0</v>
      </c>
      <c r="L36" s="8"/>
      <c r="M36" s="8">
        <v>1756395</v>
      </c>
      <c r="N36" s="8"/>
      <c r="O36" s="8">
        <v>3411108</v>
      </c>
      <c r="P36" s="8"/>
      <c r="Q36" s="8">
        <f>201253+5700855</f>
        <v>5902108</v>
      </c>
      <c r="R36" s="8"/>
      <c r="S36" s="8">
        <f>2747128+692919</f>
        <v>3440047</v>
      </c>
      <c r="T36" s="8"/>
      <c r="U36" s="8">
        <v>8792195</v>
      </c>
      <c r="V36" s="8"/>
      <c r="W36" s="8">
        <f t="shared" si="0"/>
        <v>18134350</v>
      </c>
      <c r="X36" s="8"/>
      <c r="Y36" s="9">
        <f t="shared" si="1"/>
        <v>0</v>
      </c>
    </row>
    <row r="37" spans="1:25" ht="12.75" customHeight="1" x14ac:dyDescent="0.2">
      <c r="A37" s="7" t="s">
        <v>458</v>
      </c>
      <c r="B37" s="7"/>
      <c r="C37" s="7" t="s">
        <v>64</v>
      </c>
      <c r="E37" s="8">
        <v>2151923</v>
      </c>
      <c r="F37" s="8"/>
      <c r="G37" s="8">
        <v>3630357</v>
      </c>
      <c r="H37" s="8"/>
      <c r="I37" s="8">
        <v>0</v>
      </c>
      <c r="J37" s="8"/>
      <c r="K37" s="8">
        <v>0</v>
      </c>
      <c r="L37" s="8"/>
      <c r="M37" s="8">
        <v>382405</v>
      </c>
      <c r="N37" s="8"/>
      <c r="O37" s="8">
        <v>566689</v>
      </c>
      <c r="P37" s="8"/>
      <c r="Q37" s="8">
        <f>73000+538113</f>
        <v>611113</v>
      </c>
      <c r="R37" s="8"/>
      <c r="S37" s="8">
        <f>506345+492016</f>
        <v>998361</v>
      </c>
      <c r="T37" s="8"/>
      <c r="U37" s="8">
        <v>1071789</v>
      </c>
      <c r="V37" s="8"/>
      <c r="W37" s="8">
        <f t="shared" si="0"/>
        <v>2681263</v>
      </c>
      <c r="X37" s="8"/>
      <c r="Y37" s="9">
        <f t="shared" si="1"/>
        <v>0</v>
      </c>
    </row>
    <row r="38" spans="1:25" ht="12.75" customHeight="1" x14ac:dyDescent="0.2">
      <c r="A38" s="7" t="s">
        <v>50</v>
      </c>
      <c r="B38" s="7"/>
      <c r="C38" s="7" t="s">
        <v>51</v>
      </c>
      <c r="E38" s="8">
        <f>18252252+2775+18960</f>
        <v>18273987</v>
      </c>
      <c r="F38" s="8"/>
      <c r="G38" s="8">
        <v>35694970</v>
      </c>
      <c r="H38" s="8"/>
      <c r="I38" s="8">
        <v>0</v>
      </c>
      <c r="J38" s="8"/>
      <c r="K38" s="8">
        <v>0</v>
      </c>
      <c r="L38" s="8"/>
      <c r="M38" s="8">
        <v>4142373</v>
      </c>
      <c r="N38" s="8"/>
      <c r="O38" s="8">
        <v>11543270</v>
      </c>
      <c r="P38" s="8"/>
      <c r="Q38" s="8">
        <f>1617427+9534618</f>
        <v>11152045</v>
      </c>
      <c r="R38" s="8"/>
      <c r="S38" s="8">
        <f>1598983+4336295</f>
        <v>5935278</v>
      </c>
      <c r="T38" s="8"/>
      <c r="U38" s="8">
        <v>2922004</v>
      </c>
      <c r="V38" s="8"/>
      <c r="W38" s="8">
        <f t="shared" si="0"/>
        <v>20009327</v>
      </c>
      <c r="X38" s="8"/>
      <c r="Y38" s="9">
        <f t="shared" si="1"/>
        <v>0</v>
      </c>
    </row>
    <row r="39" spans="1:25" ht="12.75" customHeight="1" x14ac:dyDescent="0.2">
      <c r="A39" s="7" t="s">
        <v>52</v>
      </c>
      <c r="B39" s="7"/>
      <c r="C39" s="7" t="s">
        <v>53</v>
      </c>
      <c r="E39" s="8">
        <v>11655476</v>
      </c>
      <c r="F39" s="8"/>
      <c r="G39" s="8">
        <v>15638470</v>
      </c>
      <c r="H39" s="8"/>
      <c r="I39" s="8">
        <v>0</v>
      </c>
      <c r="J39" s="8"/>
      <c r="K39" s="8">
        <v>0</v>
      </c>
      <c r="L39" s="8"/>
      <c r="M39" s="8">
        <v>343807</v>
      </c>
      <c r="N39" s="8"/>
      <c r="O39" s="8">
        <v>1051130</v>
      </c>
      <c r="P39" s="8"/>
      <c r="Q39" s="8">
        <f>1755666+5842278</f>
        <v>7597944</v>
      </c>
      <c r="R39" s="8"/>
      <c r="S39" s="8">
        <v>1290539</v>
      </c>
      <c r="T39" s="8"/>
      <c r="U39" s="8">
        <v>5355050</v>
      </c>
      <c r="V39" s="8"/>
      <c r="W39" s="8">
        <f t="shared" si="0"/>
        <v>14243533</v>
      </c>
      <c r="X39" s="8"/>
      <c r="Y39" s="9">
        <f t="shared" si="1"/>
        <v>0</v>
      </c>
    </row>
    <row r="40" spans="1:25" ht="12.75" customHeight="1" x14ac:dyDescent="0.2">
      <c r="A40" s="7" t="s">
        <v>54</v>
      </c>
      <c r="B40" s="7"/>
      <c r="C40" s="7" t="s">
        <v>55</v>
      </c>
      <c r="E40" s="8">
        <v>4318768</v>
      </c>
      <c r="F40" s="8"/>
      <c r="G40" s="8">
        <v>7367989</v>
      </c>
      <c r="H40" s="8"/>
      <c r="I40" s="8">
        <v>0</v>
      </c>
      <c r="J40" s="8"/>
      <c r="K40" s="8">
        <v>0</v>
      </c>
      <c r="L40" s="8"/>
      <c r="M40" s="8">
        <v>873377</v>
      </c>
      <c r="N40" s="8"/>
      <c r="O40" s="8">
        <v>1980407</v>
      </c>
      <c r="P40" s="8"/>
      <c r="Q40" s="8">
        <f>136683+3613172</f>
        <v>3749855</v>
      </c>
      <c r="R40" s="8"/>
      <c r="S40" s="8">
        <f>49777+22485</f>
        <v>72262</v>
      </c>
      <c r="T40" s="8"/>
      <c r="U40" s="8">
        <v>692088</v>
      </c>
      <c r="V40" s="8"/>
      <c r="W40" s="8">
        <f t="shared" si="0"/>
        <v>4514205</v>
      </c>
      <c r="X40" s="8"/>
      <c r="Y40" s="9">
        <f t="shared" si="1"/>
        <v>0</v>
      </c>
    </row>
    <row r="41" spans="1:25" ht="12.75" customHeight="1" x14ac:dyDescent="0.2">
      <c r="A41" s="7" t="s">
        <v>56</v>
      </c>
      <c r="B41" s="7"/>
      <c r="C41" s="7" t="s">
        <v>57</v>
      </c>
      <c r="E41" s="8">
        <f>3870448+261989</f>
        <v>4132437</v>
      </c>
      <c r="F41" s="8"/>
      <c r="G41" s="8">
        <v>11446944</v>
      </c>
      <c r="H41" s="8"/>
      <c r="I41" s="8">
        <v>0</v>
      </c>
      <c r="J41" s="8"/>
      <c r="K41" s="8">
        <v>5432153</v>
      </c>
      <c r="L41" s="8"/>
      <c r="M41" s="8">
        <v>6183758</v>
      </c>
      <c r="N41" s="8"/>
      <c r="O41" s="8">
        <v>0</v>
      </c>
      <c r="P41" s="8"/>
      <c r="Q41" s="8">
        <f>89441+3455250</f>
        <v>3544691</v>
      </c>
      <c r="R41" s="8"/>
      <c r="S41" s="8">
        <f>29454+630470</f>
        <v>659924</v>
      </c>
      <c r="T41" s="8"/>
      <c r="U41" s="8">
        <v>1058571</v>
      </c>
      <c r="V41" s="8"/>
      <c r="W41" s="8">
        <f t="shared" si="0"/>
        <v>5263186</v>
      </c>
      <c r="X41" s="8"/>
      <c r="Y41" s="9">
        <f t="shared" si="1"/>
        <v>0</v>
      </c>
    </row>
    <row r="42" spans="1:25" ht="12.75" customHeight="1" x14ac:dyDescent="0.2">
      <c r="A42" s="7" t="s">
        <v>509</v>
      </c>
      <c r="B42" s="7"/>
      <c r="C42" s="7" t="s">
        <v>59</v>
      </c>
      <c r="E42" s="8">
        <f>2196010+13498</f>
        <v>2209508</v>
      </c>
      <c r="F42" s="8"/>
      <c r="G42" s="8">
        <v>5563981</v>
      </c>
      <c r="H42" s="8"/>
      <c r="I42" s="8">
        <v>0</v>
      </c>
      <c r="J42" s="8"/>
      <c r="K42" s="8">
        <v>0</v>
      </c>
      <c r="L42" s="8"/>
      <c r="M42" s="8">
        <v>1022413</v>
      </c>
      <c r="N42" s="8"/>
      <c r="O42" s="8">
        <v>2140679</v>
      </c>
      <c r="P42" s="8"/>
      <c r="Q42" s="8">
        <f>16488+1166262</f>
        <v>1182750</v>
      </c>
      <c r="R42" s="8"/>
      <c r="S42" s="8">
        <f>28859+107912</f>
        <v>136771</v>
      </c>
      <c r="T42" s="8"/>
      <c r="U42" s="8">
        <v>1081368</v>
      </c>
      <c r="V42" s="8"/>
      <c r="W42" s="8">
        <f t="shared" ref="W42" si="3">+U42+S42+Q42</f>
        <v>2400889</v>
      </c>
      <c r="X42" s="8"/>
      <c r="Y42" s="9">
        <f t="shared" ref="Y42" si="4">+G42-M42-W42+I42-O42</f>
        <v>0</v>
      </c>
    </row>
    <row r="43" spans="1:25" ht="12.75" customHeight="1" x14ac:dyDescent="0.2">
      <c r="A43" s="7" t="s">
        <v>470</v>
      </c>
      <c r="B43" s="7"/>
      <c r="C43" s="7" t="s">
        <v>13</v>
      </c>
      <c r="E43" s="8">
        <f>2019185+2825</f>
        <v>2022010</v>
      </c>
      <c r="F43" s="8"/>
      <c r="G43" s="8">
        <v>3252040</v>
      </c>
      <c r="H43" s="8"/>
      <c r="I43" s="8">
        <v>0</v>
      </c>
      <c r="J43" s="8"/>
      <c r="K43" s="8">
        <v>0</v>
      </c>
      <c r="L43" s="8"/>
      <c r="M43" s="8">
        <v>148933</v>
      </c>
      <c r="N43" s="8"/>
      <c r="O43" s="8">
        <v>847330</v>
      </c>
      <c r="P43" s="8"/>
      <c r="Q43" s="8">
        <f>28767+747026</f>
        <v>775793</v>
      </c>
      <c r="R43" s="8"/>
      <c r="S43" s="8">
        <f>249540+23550</f>
        <v>273090</v>
      </c>
      <c r="T43" s="8"/>
      <c r="U43" s="8">
        <v>1206894</v>
      </c>
      <c r="V43" s="8"/>
      <c r="W43" s="8">
        <f t="shared" si="0"/>
        <v>2255777</v>
      </c>
      <c r="X43" s="8"/>
      <c r="Y43" s="9">
        <f t="shared" si="1"/>
        <v>0</v>
      </c>
    </row>
    <row r="44" spans="1:25" ht="12.75" customHeight="1" x14ac:dyDescent="0.2">
      <c r="A44" s="7" t="s">
        <v>493</v>
      </c>
      <c r="B44" s="10"/>
      <c r="C44" s="7" t="s">
        <v>41</v>
      </c>
      <c r="E44" s="8">
        <v>3941993</v>
      </c>
      <c r="F44" s="8"/>
      <c r="G44" s="8">
        <v>6089590</v>
      </c>
      <c r="H44" s="8"/>
      <c r="I44" s="8">
        <v>0</v>
      </c>
      <c r="J44" s="8"/>
      <c r="K44" s="8">
        <v>0</v>
      </c>
      <c r="L44" s="8"/>
      <c r="M44" s="8">
        <v>804976</v>
      </c>
      <c r="N44" s="8"/>
      <c r="O44" s="8">
        <v>1468915</v>
      </c>
      <c r="P44" s="8"/>
      <c r="Q44" s="8">
        <f>57707+1003759</f>
        <v>1061466</v>
      </c>
      <c r="R44" s="8"/>
      <c r="S44" s="8">
        <v>237308</v>
      </c>
      <c r="T44" s="8"/>
      <c r="U44" s="8">
        <v>2516925</v>
      </c>
      <c r="V44" s="8"/>
      <c r="W44" s="8">
        <f t="shared" ref="W44" si="5">+U44+S44+Q44</f>
        <v>3815699</v>
      </c>
      <c r="X44" s="8"/>
      <c r="Y44" s="9">
        <f t="shared" si="1"/>
        <v>0</v>
      </c>
    </row>
    <row r="45" spans="1:25" ht="12.75" customHeight="1" x14ac:dyDescent="0.2">
      <c r="A45" s="7" t="s">
        <v>58</v>
      </c>
      <c r="B45" s="7"/>
      <c r="C45" s="7" t="s">
        <v>59</v>
      </c>
      <c r="E45" s="8">
        <v>3304399</v>
      </c>
      <c r="F45" s="8"/>
      <c r="G45" s="8">
        <v>5310974</v>
      </c>
      <c r="H45" s="8"/>
      <c r="I45" s="8">
        <v>0</v>
      </c>
      <c r="J45" s="8"/>
      <c r="K45" s="8">
        <v>0</v>
      </c>
      <c r="L45" s="8"/>
      <c r="M45" s="8">
        <v>474177</v>
      </c>
      <c r="N45" s="8"/>
      <c r="O45" s="8">
        <v>1274885</v>
      </c>
      <c r="P45" s="8"/>
      <c r="Q45" s="8">
        <f>154745+1634350</f>
        <v>1789095</v>
      </c>
      <c r="R45" s="8"/>
      <c r="S45" s="8">
        <f>421732+892440</f>
        <v>1314172</v>
      </c>
      <c r="T45" s="8"/>
      <c r="U45" s="8">
        <v>458645</v>
      </c>
      <c r="V45" s="8"/>
      <c r="W45" s="8">
        <f t="shared" si="0"/>
        <v>3561912</v>
      </c>
      <c r="X45" s="8"/>
      <c r="Y45" s="9">
        <f t="shared" si="1"/>
        <v>0</v>
      </c>
    </row>
    <row r="46" spans="1:25" ht="12.75" hidden="1" customHeight="1" x14ac:dyDescent="0.2">
      <c r="A46" s="7" t="s">
        <v>60</v>
      </c>
      <c r="B46" s="7"/>
      <c r="C46" s="7" t="s">
        <v>13</v>
      </c>
      <c r="E46" s="8">
        <v>18042198</v>
      </c>
      <c r="F46" s="8"/>
      <c r="G46" s="8">
        <v>49892457</v>
      </c>
      <c r="H46" s="8"/>
      <c r="I46" s="8"/>
      <c r="J46" s="8"/>
      <c r="K46" s="8">
        <v>0</v>
      </c>
      <c r="L46" s="8"/>
      <c r="M46" s="8">
        <v>6938760</v>
      </c>
      <c r="N46" s="8"/>
      <c r="O46" s="8">
        <v>18629247</v>
      </c>
      <c r="P46" s="8"/>
      <c r="Q46" s="8">
        <f>1938909+10036415</f>
        <v>11975324</v>
      </c>
      <c r="R46" s="8"/>
      <c r="S46" s="8">
        <v>4751938</v>
      </c>
      <c r="T46" s="8"/>
      <c r="U46" s="8">
        <v>7597188</v>
      </c>
      <c r="V46" s="8"/>
      <c r="W46" s="8">
        <f t="shared" si="0"/>
        <v>24324450</v>
      </c>
      <c r="X46" s="8"/>
      <c r="Y46" s="9">
        <f t="shared" si="1"/>
        <v>0</v>
      </c>
    </row>
    <row r="47" spans="1:25" ht="12.75" hidden="1" customHeight="1" x14ac:dyDescent="0.2">
      <c r="A47" s="7" t="s">
        <v>479</v>
      </c>
      <c r="B47" s="7"/>
      <c r="C47" s="7" t="s">
        <v>109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>
        <f t="shared" si="0"/>
        <v>0</v>
      </c>
      <c r="X47" s="8"/>
      <c r="Y47" s="9">
        <f t="shared" si="1"/>
        <v>0</v>
      </c>
    </row>
    <row r="48" spans="1:25" ht="12.75" customHeight="1" x14ac:dyDescent="0.2">
      <c r="A48" s="7" t="s">
        <v>61</v>
      </c>
      <c r="B48" s="7"/>
      <c r="C48" s="7" t="s">
        <v>62</v>
      </c>
      <c r="E48" s="8">
        <f>5540680+14238</f>
        <v>5554918</v>
      </c>
      <c r="F48" s="8"/>
      <c r="G48" s="8">
        <v>9035385</v>
      </c>
      <c r="H48" s="8"/>
      <c r="I48" s="8">
        <v>0</v>
      </c>
      <c r="J48" s="8"/>
      <c r="K48" s="8">
        <v>0</v>
      </c>
      <c r="L48" s="8"/>
      <c r="M48" s="8">
        <v>2051435</v>
      </c>
      <c r="N48" s="8"/>
      <c r="O48" s="8">
        <v>2415860</v>
      </c>
      <c r="P48" s="8"/>
      <c r="Q48" s="8">
        <f>119327+1479132</f>
        <v>1598459</v>
      </c>
      <c r="R48" s="8"/>
      <c r="S48" s="8">
        <f>420072+37668</f>
        <v>457740</v>
      </c>
      <c r="T48" s="8"/>
      <c r="U48" s="8">
        <v>2511891</v>
      </c>
      <c r="V48" s="8"/>
      <c r="W48" s="8">
        <f t="shared" si="0"/>
        <v>4568090</v>
      </c>
      <c r="X48" s="8"/>
      <c r="Y48" s="9">
        <f t="shared" si="1"/>
        <v>0</v>
      </c>
    </row>
    <row r="49" spans="1:25" ht="12.75" customHeight="1" x14ac:dyDescent="0.2">
      <c r="A49" s="7" t="s">
        <v>63</v>
      </c>
      <c r="B49" s="7"/>
      <c r="C49" s="7" t="s">
        <v>64</v>
      </c>
      <c r="E49" s="8">
        <v>16675965</v>
      </c>
      <c r="F49" s="8"/>
      <c r="G49" s="8">
        <v>32817263</v>
      </c>
      <c r="H49" s="8"/>
      <c r="I49" s="8">
        <v>0</v>
      </c>
      <c r="J49" s="8"/>
      <c r="K49" s="8">
        <v>13480441</v>
      </c>
      <c r="L49" s="8"/>
      <c r="M49" s="8">
        <v>14427660</v>
      </c>
      <c r="N49" s="8"/>
      <c r="O49" s="8">
        <v>0</v>
      </c>
      <c r="P49" s="8"/>
      <c r="Q49" s="8">
        <f>187611+2771364</f>
        <v>2958975</v>
      </c>
      <c r="R49" s="8"/>
      <c r="S49" s="8">
        <v>4874000</v>
      </c>
      <c r="T49" s="8"/>
      <c r="U49" s="8">
        <v>10556628</v>
      </c>
      <c r="V49" s="8"/>
      <c r="W49" s="8">
        <f t="shared" si="0"/>
        <v>18389603</v>
      </c>
      <c r="X49" s="8"/>
      <c r="Y49" s="9">
        <f t="shared" si="1"/>
        <v>0</v>
      </c>
    </row>
    <row r="50" spans="1:25" ht="12.75" hidden="1" customHeight="1" x14ac:dyDescent="0.2">
      <c r="A50" s="7" t="s">
        <v>65</v>
      </c>
      <c r="B50" s="7"/>
      <c r="C50" s="7" t="s">
        <v>373</v>
      </c>
      <c r="E50" s="8">
        <v>4278454</v>
      </c>
      <c r="F50" s="8"/>
      <c r="G50" s="8">
        <v>7481577</v>
      </c>
      <c r="H50" s="8"/>
      <c r="I50" s="8"/>
      <c r="J50" s="8"/>
      <c r="K50" s="8">
        <v>1893251</v>
      </c>
      <c r="L50" s="8"/>
      <c r="M50" s="8">
        <v>2512189</v>
      </c>
      <c r="N50" s="8"/>
      <c r="O50" s="8"/>
      <c r="P50" s="8"/>
      <c r="Q50" s="8">
        <f>313211+1383181+595643</f>
        <v>2292035</v>
      </c>
      <c r="R50" s="8"/>
      <c r="S50" s="8">
        <v>757469</v>
      </c>
      <c r="T50" s="8"/>
      <c r="U50" s="8">
        <v>1919884</v>
      </c>
      <c r="V50" s="8"/>
      <c r="W50" s="8">
        <f t="shared" si="0"/>
        <v>4969388</v>
      </c>
      <c r="X50" s="8"/>
      <c r="Y50" s="9">
        <f t="shared" si="1"/>
        <v>0</v>
      </c>
    </row>
    <row r="51" spans="1:25" ht="12.75" customHeight="1" x14ac:dyDescent="0.2">
      <c r="A51" s="7" t="s">
        <v>66</v>
      </c>
      <c r="B51" s="7"/>
      <c r="C51" s="7" t="s">
        <v>43</v>
      </c>
      <c r="E51" s="8">
        <v>1760099</v>
      </c>
      <c r="F51" s="8"/>
      <c r="G51" s="8">
        <v>4489755</v>
      </c>
      <c r="H51" s="8"/>
      <c r="I51" s="8">
        <v>0</v>
      </c>
      <c r="J51" s="8"/>
      <c r="K51" s="8">
        <v>0</v>
      </c>
      <c r="L51" s="8"/>
      <c r="M51" s="8">
        <v>334017</v>
      </c>
      <c r="N51" s="8"/>
      <c r="O51" s="8">
        <v>2262361</v>
      </c>
      <c r="P51" s="8"/>
      <c r="Q51" s="8">
        <f>74917+1134313</f>
        <v>1209230</v>
      </c>
      <c r="R51" s="8"/>
      <c r="S51" s="8">
        <v>44051</v>
      </c>
      <c r="T51" s="8"/>
      <c r="U51" s="8">
        <v>640096</v>
      </c>
      <c r="V51" s="8"/>
      <c r="W51" s="8">
        <f t="shared" si="0"/>
        <v>1893377</v>
      </c>
      <c r="X51" s="8"/>
      <c r="Y51" s="9">
        <f t="shared" si="1"/>
        <v>0</v>
      </c>
    </row>
    <row r="52" spans="1:25" ht="12.75" hidden="1" customHeight="1" x14ac:dyDescent="0.2">
      <c r="A52" s="7" t="s">
        <v>67</v>
      </c>
      <c r="B52" s="7"/>
      <c r="C52" s="7" t="s">
        <v>68</v>
      </c>
      <c r="E52" s="8">
        <f>6071456+103044+1000</f>
        <v>6175500</v>
      </c>
      <c r="F52" s="8"/>
      <c r="G52" s="8">
        <v>11189677</v>
      </c>
      <c r="H52" s="8"/>
      <c r="I52" s="8"/>
      <c r="J52" s="8"/>
      <c r="K52" s="8">
        <v>5100000</v>
      </c>
      <c r="L52" s="8"/>
      <c r="M52" s="8">
        <v>9370618</v>
      </c>
      <c r="N52" s="8"/>
      <c r="O52" s="8"/>
      <c r="P52" s="8"/>
      <c r="Q52" s="8">
        <f>297178+1658904+159667</f>
        <v>2115749</v>
      </c>
      <c r="R52" s="8"/>
      <c r="S52" s="8">
        <v>52029</v>
      </c>
      <c r="T52" s="8"/>
      <c r="U52" s="8">
        <v>-348719</v>
      </c>
      <c r="V52" s="8"/>
      <c r="W52" s="8">
        <f t="shared" si="0"/>
        <v>1819059</v>
      </c>
      <c r="X52" s="8"/>
      <c r="Y52" s="9">
        <f t="shared" si="1"/>
        <v>0</v>
      </c>
    </row>
    <row r="53" spans="1:25" ht="12.75" customHeight="1" x14ac:dyDescent="0.2">
      <c r="A53" s="7" t="s">
        <v>69</v>
      </c>
      <c r="B53" s="7"/>
      <c r="C53" s="7" t="s">
        <v>43</v>
      </c>
      <c r="E53" s="8">
        <f>83120000+366016000+153000</f>
        <v>449289000</v>
      </c>
      <c r="F53" s="8"/>
      <c r="G53" s="8">
        <v>746456000</v>
      </c>
      <c r="H53" s="8"/>
      <c r="I53" s="8">
        <v>0</v>
      </c>
      <c r="J53" s="8"/>
      <c r="K53" s="8">
        <v>0</v>
      </c>
      <c r="L53" s="8"/>
      <c r="M53" s="8">
        <v>119709000</v>
      </c>
      <c r="N53" s="8"/>
      <c r="O53" s="8">
        <v>180219000</v>
      </c>
      <c r="P53" s="8"/>
      <c r="Q53" s="8">
        <f>9973000+331242000</f>
        <v>341215000</v>
      </c>
      <c r="R53" s="8"/>
      <c r="S53" s="8">
        <f>19999000+24548000</f>
        <v>44547000</v>
      </c>
      <c r="T53" s="8"/>
      <c r="U53" s="8">
        <v>60766000</v>
      </c>
      <c r="V53" s="8"/>
      <c r="W53" s="8">
        <f t="shared" si="0"/>
        <v>446528000</v>
      </c>
      <c r="X53" s="8"/>
      <c r="Y53" s="9">
        <f t="shared" si="1"/>
        <v>0</v>
      </c>
    </row>
    <row r="54" spans="1:25" ht="12.75" customHeight="1" x14ac:dyDescent="0.2">
      <c r="A54" s="7" t="s">
        <v>459</v>
      </c>
      <c r="B54" s="7"/>
      <c r="C54" s="7" t="s">
        <v>460</v>
      </c>
      <c r="E54" s="8">
        <f>5593694+34831</f>
        <v>5628525</v>
      </c>
      <c r="F54" s="8"/>
      <c r="G54" s="8">
        <v>10300232</v>
      </c>
      <c r="H54" s="8"/>
      <c r="I54" s="8">
        <v>0</v>
      </c>
      <c r="J54" s="8"/>
      <c r="K54" s="8">
        <v>0</v>
      </c>
      <c r="L54" s="8"/>
      <c r="M54" s="8">
        <v>2834628</v>
      </c>
      <c r="N54" s="8"/>
      <c r="O54" s="8">
        <v>3279693</v>
      </c>
      <c r="P54" s="8"/>
      <c r="Q54" s="8">
        <f>173359+1950331</f>
        <v>2123690</v>
      </c>
      <c r="R54" s="8"/>
      <c r="S54" s="8">
        <f>1112772+934166</f>
        <v>2046938</v>
      </c>
      <c r="T54" s="8"/>
      <c r="U54" s="8">
        <v>15283</v>
      </c>
      <c r="V54" s="8"/>
      <c r="W54" s="8">
        <f t="shared" si="0"/>
        <v>4185911</v>
      </c>
      <c r="X54" s="8"/>
      <c r="Y54" s="9">
        <f t="shared" si="1"/>
        <v>0</v>
      </c>
    </row>
    <row r="55" spans="1:25" ht="12.75" customHeight="1" x14ac:dyDescent="0.2">
      <c r="A55" s="7" t="s">
        <v>70</v>
      </c>
      <c r="B55" s="7"/>
      <c r="C55" s="7" t="s">
        <v>64</v>
      </c>
      <c r="E55" s="8">
        <v>6516724</v>
      </c>
      <c r="F55" s="8"/>
      <c r="G55" s="8">
        <v>12079443</v>
      </c>
      <c r="H55" s="8"/>
      <c r="I55" s="8">
        <v>0</v>
      </c>
      <c r="J55" s="8"/>
      <c r="K55" s="8">
        <v>0</v>
      </c>
      <c r="L55" s="8"/>
      <c r="M55" s="8">
        <v>732483</v>
      </c>
      <c r="N55" s="8"/>
      <c r="O55" s="8">
        <v>4871781</v>
      </c>
      <c r="P55" s="8"/>
      <c r="Q55" s="8">
        <f>80806+2327503</f>
        <v>2408309</v>
      </c>
      <c r="R55" s="8"/>
      <c r="S55" s="8">
        <v>232142</v>
      </c>
      <c r="T55" s="8"/>
      <c r="U55" s="8">
        <v>3834728</v>
      </c>
      <c r="V55" s="8"/>
      <c r="W55" s="8">
        <f t="shared" si="0"/>
        <v>6475179</v>
      </c>
      <c r="X55" s="8"/>
      <c r="Y55" s="9">
        <f t="shared" si="1"/>
        <v>0</v>
      </c>
    </row>
    <row r="56" spans="1:25" ht="12.75" customHeight="1" x14ac:dyDescent="0.2">
      <c r="A56" s="7" t="s">
        <v>340</v>
      </c>
      <c r="B56" s="7"/>
      <c r="C56" s="7" t="s">
        <v>25</v>
      </c>
      <c r="E56" s="8">
        <v>328394000</v>
      </c>
      <c r="F56" s="8"/>
      <c r="G56" s="8">
        <v>736968000</v>
      </c>
      <c r="H56" s="8"/>
      <c r="I56" s="8">
        <v>0</v>
      </c>
      <c r="J56" s="8"/>
      <c r="K56" s="8">
        <v>138619000</v>
      </c>
      <c r="L56" s="8"/>
      <c r="M56" s="8">
        <v>327988000</v>
      </c>
      <c r="N56" s="8"/>
      <c r="O56" s="8">
        <v>0</v>
      </c>
      <c r="P56" s="8"/>
      <c r="Q56" s="8">
        <f>1127000+233832000</f>
        <v>234959000</v>
      </c>
      <c r="R56" s="8"/>
      <c r="S56" s="8">
        <f>102901000+9241000</f>
        <v>112142000</v>
      </c>
      <c r="T56" s="8"/>
      <c r="U56" s="8">
        <v>61879000</v>
      </c>
      <c r="V56" s="8"/>
      <c r="W56" s="8">
        <f t="shared" si="0"/>
        <v>408980000</v>
      </c>
      <c r="X56" s="8"/>
      <c r="Y56" s="9">
        <f t="shared" si="1"/>
        <v>0</v>
      </c>
    </row>
    <row r="57" spans="1:25" ht="12.75" customHeight="1" x14ac:dyDescent="0.2">
      <c r="A57" s="7" t="s">
        <v>72</v>
      </c>
      <c r="B57" s="7"/>
      <c r="C57" s="7" t="s">
        <v>25</v>
      </c>
      <c r="E57" s="8">
        <v>14992388</v>
      </c>
      <c r="F57" s="8"/>
      <c r="G57" s="8">
        <v>48841494</v>
      </c>
      <c r="H57" s="8"/>
      <c r="I57" s="8">
        <v>0</v>
      </c>
      <c r="J57" s="8"/>
      <c r="K57" s="8">
        <v>0</v>
      </c>
      <c r="L57" s="8"/>
      <c r="M57" s="8">
        <v>5601737</v>
      </c>
      <c r="N57" s="8"/>
      <c r="O57" s="8">
        <v>26758592</v>
      </c>
      <c r="P57" s="8"/>
      <c r="Q57" s="8">
        <f>446219+8123924</f>
        <v>8570143</v>
      </c>
      <c r="R57" s="8"/>
      <c r="S57" s="8">
        <f>1187932+4625577</f>
        <v>5813509</v>
      </c>
      <c r="T57" s="8"/>
      <c r="U57" s="8">
        <v>2097513</v>
      </c>
      <c r="V57" s="8"/>
      <c r="W57" s="8">
        <f t="shared" si="0"/>
        <v>16481165</v>
      </c>
      <c r="X57" s="8"/>
      <c r="Y57" s="9">
        <f t="shared" si="1"/>
        <v>0</v>
      </c>
    </row>
    <row r="58" spans="1:25" ht="12.75" customHeight="1" x14ac:dyDescent="0.2">
      <c r="A58" s="7" t="s">
        <v>73</v>
      </c>
      <c r="B58" s="7"/>
      <c r="C58" s="7" t="s">
        <v>74</v>
      </c>
      <c r="E58" s="8">
        <v>2452385</v>
      </c>
      <c r="F58" s="8"/>
      <c r="G58" s="8">
        <v>4073799</v>
      </c>
      <c r="H58" s="8"/>
      <c r="I58" s="8">
        <v>0</v>
      </c>
      <c r="J58" s="8"/>
      <c r="K58" s="8">
        <v>0</v>
      </c>
      <c r="L58" s="8"/>
      <c r="M58" s="8">
        <v>178839</v>
      </c>
      <c r="N58" s="8"/>
      <c r="O58" s="8">
        <v>947963</v>
      </c>
      <c r="P58" s="8"/>
      <c r="Q58" s="8">
        <f>29476+579956</f>
        <v>609432</v>
      </c>
      <c r="R58" s="8"/>
      <c r="S58" s="8">
        <f>816009+612156</f>
        <v>1428165</v>
      </c>
      <c r="T58" s="8"/>
      <c r="U58" s="8">
        <v>909400</v>
      </c>
      <c r="V58" s="8"/>
      <c r="W58" s="8">
        <f t="shared" si="0"/>
        <v>2946997</v>
      </c>
      <c r="X58" s="8"/>
      <c r="Y58" s="9">
        <f t="shared" si="1"/>
        <v>0</v>
      </c>
    </row>
    <row r="59" spans="1:25" ht="12.75" hidden="1" customHeight="1" x14ac:dyDescent="0.2">
      <c r="A59" s="7" t="s">
        <v>75</v>
      </c>
      <c r="B59" s="7"/>
      <c r="C59" s="7" t="s">
        <v>41</v>
      </c>
      <c r="E59" s="8">
        <f>668439000+613000+152000+1632000</f>
        <v>670836000</v>
      </c>
      <c r="F59" s="8"/>
      <c r="G59" s="8">
        <v>893567000</v>
      </c>
      <c r="H59" s="8"/>
      <c r="I59" s="8">
        <v>0</v>
      </c>
      <c r="J59" s="8"/>
      <c r="K59" s="8">
        <v>0</v>
      </c>
      <c r="L59" s="8"/>
      <c r="M59" s="8">
        <v>81310000</v>
      </c>
      <c r="N59" s="8"/>
      <c r="O59" s="8">
        <v>153566000</v>
      </c>
      <c r="P59" s="8"/>
      <c r="Q59" s="8">
        <f>348665000+205367000</f>
        <v>554032000</v>
      </c>
      <c r="R59" s="8"/>
      <c r="S59" s="8">
        <v>9217000</v>
      </c>
      <c r="T59" s="8"/>
      <c r="U59" s="8">
        <v>95442000</v>
      </c>
      <c r="V59" s="8"/>
      <c r="W59" s="8">
        <f t="shared" si="0"/>
        <v>658691000</v>
      </c>
      <c r="X59" s="8"/>
      <c r="Y59" s="9">
        <f t="shared" si="1"/>
        <v>0</v>
      </c>
    </row>
    <row r="60" spans="1:25" ht="12.75" customHeight="1" x14ac:dyDescent="0.2">
      <c r="A60" s="7" t="s">
        <v>92</v>
      </c>
      <c r="B60" s="7"/>
      <c r="C60" s="7" t="s">
        <v>92</v>
      </c>
      <c r="E60" s="8">
        <v>3112726</v>
      </c>
      <c r="F60" s="8"/>
      <c r="G60" s="8">
        <v>4566208</v>
      </c>
      <c r="H60" s="8"/>
      <c r="I60" s="8">
        <v>0</v>
      </c>
      <c r="J60" s="8"/>
      <c r="K60" s="8">
        <v>0</v>
      </c>
      <c r="L60" s="8"/>
      <c r="M60" s="8">
        <v>203127</v>
      </c>
      <c r="N60" s="8"/>
      <c r="O60" s="8">
        <v>817065</v>
      </c>
      <c r="P60" s="8"/>
      <c r="Q60" s="8">
        <f>154476+1820177</f>
        <v>1974653</v>
      </c>
      <c r="R60" s="8"/>
      <c r="S60" s="8">
        <f>11970+107000</f>
        <v>118970</v>
      </c>
      <c r="T60" s="8"/>
      <c r="U60" s="8">
        <v>1452393</v>
      </c>
      <c r="V60" s="8"/>
      <c r="W60" s="8">
        <f t="shared" si="0"/>
        <v>3546016</v>
      </c>
      <c r="X60" s="8"/>
      <c r="Y60" s="9">
        <f t="shared" si="1"/>
        <v>0</v>
      </c>
    </row>
    <row r="61" spans="1:25" ht="12.75" customHeight="1" x14ac:dyDescent="0.2">
      <c r="A61" s="7" t="s">
        <v>76</v>
      </c>
      <c r="B61" s="7"/>
      <c r="C61" s="7" t="s">
        <v>17</v>
      </c>
      <c r="E61" s="8">
        <f>2447357+20376</f>
        <v>2467733</v>
      </c>
      <c r="F61" s="8"/>
      <c r="G61" s="8">
        <v>6985504</v>
      </c>
      <c r="H61" s="8"/>
      <c r="I61" s="8">
        <v>0</v>
      </c>
      <c r="J61" s="8"/>
      <c r="K61" s="8">
        <v>0</v>
      </c>
      <c r="L61" s="8"/>
      <c r="M61" s="8">
        <v>794832</v>
      </c>
      <c r="N61" s="8"/>
      <c r="O61" s="8">
        <v>3628811</v>
      </c>
      <c r="P61" s="8"/>
      <c r="Q61" s="8">
        <f>106860+1171627</f>
        <v>1278487</v>
      </c>
      <c r="R61" s="8"/>
      <c r="S61" s="8">
        <f>30049+343253</f>
        <v>373302</v>
      </c>
      <c r="T61" s="8"/>
      <c r="U61" s="8">
        <v>910072</v>
      </c>
      <c r="V61" s="8"/>
      <c r="W61" s="8">
        <f t="shared" si="0"/>
        <v>2561861</v>
      </c>
      <c r="X61" s="8"/>
      <c r="Y61" s="9">
        <f t="shared" si="1"/>
        <v>0</v>
      </c>
    </row>
    <row r="62" spans="1:25" ht="12.75" customHeight="1" x14ac:dyDescent="0.2">
      <c r="A62" s="7" t="s">
        <v>77</v>
      </c>
      <c r="B62" s="7"/>
      <c r="C62" s="7" t="s">
        <v>78</v>
      </c>
      <c r="E62" s="8">
        <v>1445841</v>
      </c>
      <c r="F62" s="8"/>
      <c r="G62" s="8">
        <v>4311653</v>
      </c>
      <c r="H62" s="8"/>
      <c r="I62" s="8">
        <v>0</v>
      </c>
      <c r="J62" s="8"/>
      <c r="K62" s="8">
        <v>0</v>
      </c>
      <c r="L62" s="8"/>
      <c r="M62" s="8">
        <v>183626</v>
      </c>
      <c r="N62" s="8"/>
      <c r="O62" s="8">
        <v>2673683</v>
      </c>
      <c r="P62" s="8"/>
      <c r="Q62" s="8">
        <f>28459+989540</f>
        <v>1017999</v>
      </c>
      <c r="R62" s="8"/>
      <c r="S62" s="8">
        <f>123687+1143</f>
        <v>124830</v>
      </c>
      <c r="T62" s="8"/>
      <c r="U62" s="8">
        <v>311515</v>
      </c>
      <c r="V62" s="8"/>
      <c r="W62" s="8">
        <f t="shared" si="0"/>
        <v>1454344</v>
      </c>
      <c r="X62" s="8"/>
      <c r="Y62" s="9">
        <f t="shared" si="1"/>
        <v>0</v>
      </c>
    </row>
    <row r="63" spans="1:25" ht="12.75" customHeight="1" x14ac:dyDescent="0.2">
      <c r="A63" s="7" t="s">
        <v>79</v>
      </c>
      <c r="B63" s="7"/>
      <c r="C63" s="7" t="s">
        <v>79</v>
      </c>
      <c r="E63" s="8">
        <v>3104847</v>
      </c>
      <c r="F63" s="8"/>
      <c r="G63" s="8">
        <v>5199199</v>
      </c>
      <c r="H63" s="8"/>
      <c r="I63" s="8">
        <v>0</v>
      </c>
      <c r="J63" s="8"/>
      <c r="K63" s="8">
        <v>0</v>
      </c>
      <c r="L63" s="8"/>
      <c r="M63" s="8">
        <v>515476</v>
      </c>
      <c r="N63" s="8"/>
      <c r="O63" s="8">
        <v>1463518</v>
      </c>
      <c r="P63" s="8"/>
      <c r="Q63" s="8">
        <f>307034+2208380</f>
        <v>2515414</v>
      </c>
      <c r="R63" s="8"/>
      <c r="S63" s="8">
        <f>258610+2714</f>
        <v>261324</v>
      </c>
      <c r="T63" s="8"/>
      <c r="U63" s="8">
        <v>443467</v>
      </c>
      <c r="V63" s="8"/>
      <c r="W63" s="8">
        <f t="shared" si="0"/>
        <v>3220205</v>
      </c>
      <c r="X63" s="8"/>
      <c r="Y63" s="9">
        <f t="shared" si="1"/>
        <v>0</v>
      </c>
    </row>
    <row r="64" spans="1:25" ht="12.75" hidden="1" customHeight="1" x14ac:dyDescent="0.2">
      <c r="A64" s="10" t="s">
        <v>461</v>
      </c>
      <c r="B64" s="10"/>
      <c r="C64" s="10" t="s">
        <v>55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>
        <f t="shared" si="0"/>
        <v>0</v>
      </c>
      <c r="X64" s="8"/>
      <c r="Y64" s="9">
        <f t="shared" si="1"/>
        <v>0</v>
      </c>
    </row>
    <row r="65" spans="1:25" ht="12.75" hidden="1" customHeight="1" x14ac:dyDescent="0.2">
      <c r="A65" s="7" t="s">
        <v>80</v>
      </c>
      <c r="B65" s="7"/>
      <c r="C65" s="7" t="s">
        <v>11</v>
      </c>
      <c r="E65" s="8">
        <f>15528551+239417</f>
        <v>15767968</v>
      </c>
      <c r="F65" s="8"/>
      <c r="G65" s="8">
        <v>53152706</v>
      </c>
      <c r="H65" s="8"/>
      <c r="I65" s="8">
        <v>0</v>
      </c>
      <c r="J65" s="8"/>
      <c r="K65" s="8">
        <v>14472104</v>
      </c>
      <c r="L65" s="8"/>
      <c r="M65" s="8">
        <v>30810922</v>
      </c>
      <c r="N65" s="8"/>
      <c r="O65" s="8">
        <v>0</v>
      </c>
      <c r="P65" s="8"/>
      <c r="Q65" s="8">
        <f>13750827+5329792</f>
        <v>19080619</v>
      </c>
      <c r="R65" s="8"/>
      <c r="S65" s="8">
        <f>561494+2127354</f>
        <v>2688848</v>
      </c>
      <c r="T65" s="8"/>
      <c r="U65" s="8">
        <v>572317</v>
      </c>
      <c r="V65" s="8"/>
      <c r="W65" s="8">
        <f t="shared" si="0"/>
        <v>22341784</v>
      </c>
      <c r="X65" s="8"/>
      <c r="Y65" s="9">
        <f t="shared" si="1"/>
        <v>0</v>
      </c>
    </row>
    <row r="66" spans="1:25" ht="12.75" customHeight="1" x14ac:dyDescent="0.2">
      <c r="A66" s="7" t="s">
        <v>81</v>
      </c>
      <c r="B66" s="7"/>
      <c r="C66" s="7" t="s">
        <v>64</v>
      </c>
      <c r="E66" s="8">
        <f>87137715+675</f>
        <v>87138390</v>
      </c>
      <c r="F66" s="8"/>
      <c r="G66" s="8">
        <v>202052330</v>
      </c>
      <c r="H66" s="8"/>
      <c r="I66" s="8">
        <v>0</v>
      </c>
      <c r="J66" s="8"/>
      <c r="K66" s="8">
        <v>0</v>
      </c>
      <c r="L66" s="8"/>
      <c r="M66" s="8">
        <v>14169004</v>
      </c>
      <c r="N66" s="8"/>
      <c r="O66" s="8">
        <v>45782053</v>
      </c>
      <c r="P66" s="8"/>
      <c r="Q66" s="8">
        <f>10268340+59584768</f>
        <v>69853108</v>
      </c>
      <c r="R66" s="8"/>
      <c r="S66" s="8">
        <f>11719389+28789044</f>
        <v>40508433</v>
      </c>
      <c r="T66" s="8"/>
      <c r="U66" s="8">
        <v>31739732</v>
      </c>
      <c r="V66" s="8"/>
      <c r="W66" s="8">
        <f t="shared" si="0"/>
        <v>142101273</v>
      </c>
      <c r="X66" s="8"/>
      <c r="Y66" s="9">
        <f t="shared" si="1"/>
        <v>0</v>
      </c>
    </row>
    <row r="67" spans="1:25" ht="12.75" customHeight="1" x14ac:dyDescent="0.2">
      <c r="A67" s="7" t="s">
        <v>82</v>
      </c>
      <c r="B67" s="7"/>
      <c r="C67" s="7" t="s">
        <v>43</v>
      </c>
      <c r="E67" s="8">
        <v>1881616</v>
      </c>
      <c r="F67" s="8"/>
      <c r="G67" s="8">
        <v>3770145</v>
      </c>
      <c r="H67" s="8"/>
      <c r="I67" s="8">
        <v>0</v>
      </c>
      <c r="J67" s="8"/>
      <c r="K67" s="8">
        <v>1527815</v>
      </c>
      <c r="L67" s="8"/>
      <c r="M67" s="8">
        <v>1983385</v>
      </c>
      <c r="N67" s="8"/>
      <c r="O67" s="8">
        <v>0</v>
      </c>
      <c r="P67" s="8"/>
      <c r="Q67" s="8">
        <f>49745+203218+959+85969</f>
        <v>339891</v>
      </c>
      <c r="R67" s="8"/>
      <c r="S67" s="8">
        <v>0</v>
      </c>
      <c r="T67" s="8"/>
      <c r="U67" s="8">
        <v>1446869</v>
      </c>
      <c r="V67" s="8"/>
      <c r="W67" s="8">
        <f t="shared" si="0"/>
        <v>1786760</v>
      </c>
      <c r="X67" s="8"/>
      <c r="Y67" s="9">
        <f t="shared" si="1"/>
        <v>0</v>
      </c>
    </row>
    <row r="68" spans="1:25" s="9" customFormat="1" ht="12.75" customHeight="1" x14ac:dyDescent="0.2">
      <c r="A68" s="9" t="s">
        <v>83</v>
      </c>
      <c r="C68" s="9" t="s">
        <v>83</v>
      </c>
      <c r="E68" s="8">
        <f>4653902+1314+106890</f>
        <v>4762106</v>
      </c>
      <c r="F68" s="8"/>
      <c r="G68" s="8">
        <v>9180494</v>
      </c>
      <c r="H68" s="8"/>
      <c r="I68" s="8">
        <v>0</v>
      </c>
      <c r="J68" s="8"/>
      <c r="K68" s="8">
        <v>0</v>
      </c>
      <c r="L68" s="8"/>
      <c r="M68" s="8">
        <v>845035</v>
      </c>
      <c r="N68" s="8"/>
      <c r="O68" s="8">
        <v>1442471</v>
      </c>
      <c r="P68" s="8"/>
      <c r="Q68" s="8">
        <f>37217+4223607</f>
        <v>4260824</v>
      </c>
      <c r="R68" s="8"/>
      <c r="S68" s="8">
        <f>1045334+535956</f>
        <v>1581290</v>
      </c>
      <c r="T68" s="8"/>
      <c r="U68" s="8">
        <v>1050874</v>
      </c>
      <c r="V68" s="8"/>
      <c r="W68" s="8">
        <f t="shared" ref="W68:W86" si="6">+U68+S68+Q68</f>
        <v>6892988</v>
      </c>
      <c r="X68" s="40"/>
      <c r="Y68" s="9">
        <f t="shared" ref="Y68:Y86" si="7">+G68-M68-W68+I68-O68</f>
        <v>0</v>
      </c>
    </row>
    <row r="69" spans="1:25" ht="12.75" hidden="1" customHeight="1" x14ac:dyDescent="0.2">
      <c r="A69" s="7" t="s">
        <v>84</v>
      </c>
      <c r="B69" s="7"/>
      <c r="C69" s="7" t="s">
        <v>84</v>
      </c>
      <c r="E69" s="8">
        <v>21389425</v>
      </c>
      <c r="F69" s="8"/>
      <c r="G69" s="8">
        <v>35113448</v>
      </c>
      <c r="H69" s="8"/>
      <c r="I69" s="8"/>
      <c r="J69" s="8"/>
      <c r="K69" s="8">
        <v>5854927</v>
      </c>
      <c r="L69" s="8"/>
      <c r="M69" s="8">
        <v>28544746</v>
      </c>
      <c r="N69" s="8"/>
      <c r="O69" s="8"/>
      <c r="P69" s="8"/>
      <c r="Q69" s="8">
        <f>6568702+9494428-171094</f>
        <v>15892036</v>
      </c>
      <c r="R69" s="8"/>
      <c r="S69" s="8">
        <v>171094</v>
      </c>
      <c r="T69" s="8"/>
      <c r="U69" s="8">
        <v>-9494428</v>
      </c>
      <c r="V69" s="8"/>
      <c r="W69" s="8">
        <f t="shared" si="6"/>
        <v>6568702</v>
      </c>
      <c r="X69" s="8"/>
      <c r="Y69" s="9">
        <f t="shared" si="7"/>
        <v>0</v>
      </c>
    </row>
    <row r="70" spans="1:25" ht="12.75" customHeight="1" x14ac:dyDescent="0.2">
      <c r="A70" s="7" t="s">
        <v>85</v>
      </c>
      <c r="B70" s="7"/>
      <c r="C70" s="7" t="s">
        <v>86</v>
      </c>
      <c r="D70" s="6"/>
      <c r="E70" s="8">
        <v>535633</v>
      </c>
      <c r="F70" s="8"/>
      <c r="G70" s="8">
        <v>2368554</v>
      </c>
      <c r="H70" s="8"/>
      <c r="I70" s="8">
        <v>0</v>
      </c>
      <c r="J70" s="8"/>
      <c r="K70" s="8">
        <v>1226165</v>
      </c>
      <c r="L70" s="8"/>
      <c r="M70" s="8">
        <v>1446335</v>
      </c>
      <c r="N70" s="8"/>
      <c r="O70" s="8">
        <v>0</v>
      </c>
      <c r="P70" s="8"/>
      <c r="Q70" s="8">
        <f>44263+237321</f>
        <v>281584</v>
      </c>
      <c r="R70" s="8"/>
      <c r="S70" s="8">
        <f>238812+150474</f>
        <v>389286</v>
      </c>
      <c r="T70" s="8"/>
      <c r="U70" s="8">
        <v>251349</v>
      </c>
      <c r="V70" s="8"/>
      <c r="W70" s="8">
        <f t="shared" si="6"/>
        <v>922219</v>
      </c>
      <c r="X70" s="8"/>
      <c r="Y70" s="9">
        <f t="shared" si="7"/>
        <v>0</v>
      </c>
    </row>
    <row r="71" spans="1:25" ht="12.75" customHeight="1" x14ac:dyDescent="0.2">
      <c r="A71" s="7" t="s">
        <v>392</v>
      </c>
      <c r="B71" s="7"/>
      <c r="C71" s="7" t="s">
        <v>87</v>
      </c>
      <c r="E71" s="8">
        <f>4947739+4377</f>
        <v>4952116</v>
      </c>
      <c r="F71" s="8"/>
      <c r="G71" s="8">
        <v>8996211</v>
      </c>
      <c r="H71" s="8"/>
      <c r="I71" s="8">
        <v>0</v>
      </c>
      <c r="J71" s="8"/>
      <c r="K71" s="8">
        <v>0</v>
      </c>
      <c r="L71" s="8"/>
      <c r="M71" s="8">
        <v>676993</v>
      </c>
      <c r="N71" s="8"/>
      <c r="O71" s="8">
        <v>2877168</v>
      </c>
      <c r="P71" s="8"/>
      <c r="Q71" s="8">
        <f>268182+1444346</f>
        <v>1712528</v>
      </c>
      <c r="R71" s="8"/>
      <c r="S71" s="8">
        <f>1971026+1042593</f>
        <v>3013619</v>
      </c>
      <c r="T71" s="8"/>
      <c r="U71" s="8">
        <v>715903</v>
      </c>
      <c r="V71" s="8"/>
      <c r="W71" s="8">
        <f t="shared" si="6"/>
        <v>5442050</v>
      </c>
      <c r="X71" s="8"/>
      <c r="Y71" s="9">
        <f t="shared" si="7"/>
        <v>0</v>
      </c>
    </row>
    <row r="72" spans="1:25" ht="12.75" customHeight="1" x14ac:dyDescent="0.2">
      <c r="A72" s="7" t="s">
        <v>88</v>
      </c>
      <c r="B72" s="7"/>
      <c r="C72" s="7" t="s">
        <v>41</v>
      </c>
      <c r="E72" s="8">
        <f>112128786+1221163</f>
        <v>113349949</v>
      </c>
      <c r="F72" s="8"/>
      <c r="G72" s="8">
        <v>178799127</v>
      </c>
      <c r="H72" s="8"/>
      <c r="I72" s="8">
        <v>0</v>
      </c>
      <c r="J72" s="8"/>
      <c r="K72" s="8">
        <v>0</v>
      </c>
      <c r="L72" s="8"/>
      <c r="M72" s="8">
        <v>50649346</v>
      </c>
      <c r="N72" s="8"/>
      <c r="O72" s="8">
        <v>21938514</v>
      </c>
      <c r="P72" s="8"/>
      <c r="Q72" s="8">
        <f>2223203+11608539</f>
        <v>13831742</v>
      </c>
      <c r="R72" s="8"/>
      <c r="S72" s="8">
        <f>63116279+1206378</f>
        <v>64322657</v>
      </c>
      <c r="T72" s="8"/>
      <c r="U72" s="8">
        <v>28056868</v>
      </c>
      <c r="V72" s="8"/>
      <c r="W72" s="8">
        <f t="shared" si="6"/>
        <v>106211267</v>
      </c>
      <c r="X72" s="8"/>
      <c r="Y72" s="9">
        <f t="shared" si="7"/>
        <v>0</v>
      </c>
    </row>
    <row r="73" spans="1:25" ht="12.75" customHeight="1" x14ac:dyDescent="0.2">
      <c r="A73" s="10" t="s">
        <v>482</v>
      </c>
      <c r="B73" s="10"/>
      <c r="C73" s="10" t="s">
        <v>25</v>
      </c>
      <c r="E73" s="8">
        <f>690854+100960</f>
        <v>791814</v>
      </c>
      <c r="F73" s="8"/>
      <c r="G73" s="8">
        <v>15608024</v>
      </c>
      <c r="H73" s="8"/>
      <c r="I73" s="8">
        <v>0</v>
      </c>
      <c r="J73" s="8"/>
      <c r="K73" s="8">
        <v>0</v>
      </c>
      <c r="L73" s="8"/>
      <c r="M73" s="8">
        <v>4169174</v>
      </c>
      <c r="N73" s="8"/>
      <c r="O73" s="8">
        <v>10714510</v>
      </c>
      <c r="P73" s="8"/>
      <c r="Q73" s="8">
        <f>21469+2808231</f>
        <v>2829700</v>
      </c>
      <c r="R73" s="8"/>
      <c r="S73" s="8">
        <f>910471+126144</f>
        <v>1036615</v>
      </c>
      <c r="T73" s="8"/>
      <c r="U73" s="8">
        <v>-3141975</v>
      </c>
      <c r="V73" s="8"/>
      <c r="W73" s="8">
        <f t="shared" si="6"/>
        <v>724340</v>
      </c>
      <c r="X73" s="8"/>
      <c r="Y73" s="9">
        <f t="shared" si="7"/>
        <v>0</v>
      </c>
    </row>
    <row r="74" spans="1:25" ht="12.75" customHeight="1" x14ac:dyDescent="0.2">
      <c r="A74" s="7" t="s">
        <v>91</v>
      </c>
      <c r="B74" s="10"/>
      <c r="C74" s="7" t="s">
        <v>92</v>
      </c>
      <c r="E74" s="8">
        <f>1903105+1581</f>
        <v>1904686</v>
      </c>
      <c r="F74" s="8"/>
      <c r="G74" s="8">
        <v>5443288</v>
      </c>
      <c r="H74" s="8"/>
      <c r="I74" s="8">
        <v>0</v>
      </c>
      <c r="J74" s="8"/>
      <c r="K74" s="8">
        <v>0</v>
      </c>
      <c r="L74" s="8"/>
      <c r="M74" s="8">
        <v>395670</v>
      </c>
      <c r="N74" s="8"/>
      <c r="O74" s="8">
        <v>2600893</v>
      </c>
      <c r="P74" s="8"/>
      <c r="Q74" s="8">
        <f>97614+783133</f>
        <v>880747</v>
      </c>
      <c r="R74" s="8"/>
      <c r="S74" s="8">
        <f>28546+108138</f>
        <v>136684</v>
      </c>
      <c r="T74" s="8"/>
      <c r="U74" s="8">
        <v>1429294</v>
      </c>
      <c r="V74" s="8"/>
      <c r="W74" s="8">
        <f t="shared" si="6"/>
        <v>2446725</v>
      </c>
      <c r="X74" s="8"/>
      <c r="Y74" s="9">
        <f t="shared" si="7"/>
        <v>0</v>
      </c>
    </row>
    <row r="75" spans="1:25" s="9" customFormat="1" ht="12.75" hidden="1" customHeight="1" x14ac:dyDescent="0.2">
      <c r="A75" s="9" t="s">
        <v>93</v>
      </c>
      <c r="C75" s="9" t="s">
        <v>92</v>
      </c>
      <c r="E75" s="8">
        <f>464305+132584</f>
        <v>596889</v>
      </c>
      <c r="F75" s="8"/>
      <c r="G75" s="8">
        <v>5263810</v>
      </c>
      <c r="H75" s="8"/>
      <c r="I75" s="8"/>
      <c r="J75" s="8"/>
      <c r="K75" s="8">
        <v>1304107</v>
      </c>
      <c r="L75" s="8"/>
      <c r="M75" s="8">
        <v>4416090</v>
      </c>
      <c r="N75" s="8"/>
      <c r="O75" s="8"/>
      <c r="P75" s="8"/>
      <c r="Q75" s="8">
        <f>1500+22149+7223+32371</f>
        <v>63243</v>
      </c>
      <c r="R75" s="8"/>
      <c r="S75" s="8">
        <v>0</v>
      </c>
      <c r="T75" s="8"/>
      <c r="U75" s="8">
        <f>3199376-442476-1972423</f>
        <v>784477</v>
      </c>
      <c r="V75" s="8"/>
      <c r="W75" s="8">
        <f t="shared" si="6"/>
        <v>847720</v>
      </c>
      <c r="X75" s="8"/>
      <c r="Y75" s="9">
        <f t="shared" si="7"/>
        <v>0</v>
      </c>
    </row>
    <row r="76" spans="1:25" ht="12.75" customHeight="1" x14ac:dyDescent="0.2">
      <c r="A76" s="7" t="s">
        <v>89</v>
      </c>
      <c r="B76" s="7"/>
      <c r="C76" s="7" t="s">
        <v>90</v>
      </c>
      <c r="E76" s="8">
        <f>3795854+11665</f>
        <v>3807519</v>
      </c>
      <c r="F76" s="8"/>
      <c r="G76" s="8">
        <v>10240968</v>
      </c>
      <c r="H76" s="8"/>
      <c r="I76" s="8">
        <v>0</v>
      </c>
      <c r="J76" s="8"/>
      <c r="K76" s="8">
        <v>0</v>
      </c>
      <c r="L76" s="8"/>
      <c r="M76" s="8">
        <v>970377</v>
      </c>
      <c r="N76" s="8"/>
      <c r="O76" s="8">
        <v>4608493</v>
      </c>
      <c r="P76" s="8"/>
      <c r="Q76" s="8">
        <f>594069+2853822</f>
        <v>3447891</v>
      </c>
      <c r="R76" s="8"/>
      <c r="S76" s="8">
        <v>85741</v>
      </c>
      <c r="T76" s="8"/>
      <c r="U76" s="8">
        <v>1128466</v>
      </c>
      <c r="V76" s="8"/>
      <c r="W76" s="8">
        <f t="shared" si="6"/>
        <v>4662098</v>
      </c>
      <c r="X76" s="8"/>
      <c r="Y76" s="9">
        <f t="shared" si="7"/>
        <v>0</v>
      </c>
    </row>
    <row r="77" spans="1:25" ht="12.75" customHeight="1" x14ac:dyDescent="0.2">
      <c r="A77" s="7" t="s">
        <v>94</v>
      </c>
      <c r="B77" s="7"/>
      <c r="C77" s="7" t="s">
        <v>95</v>
      </c>
      <c r="E77" s="8">
        <f>5690285+20228</f>
        <v>5710513</v>
      </c>
      <c r="F77" s="8"/>
      <c r="G77" s="8">
        <v>7438566</v>
      </c>
      <c r="H77" s="8"/>
      <c r="I77" s="8">
        <v>0</v>
      </c>
      <c r="J77" s="8"/>
      <c r="K77" s="8">
        <v>0</v>
      </c>
      <c r="L77" s="8"/>
      <c r="M77" s="8">
        <v>479495</v>
      </c>
      <c r="N77" s="8"/>
      <c r="O77" s="8">
        <v>1182487</v>
      </c>
      <c r="P77" s="8"/>
      <c r="Q77" s="8">
        <f>10000+4378520</f>
        <v>4388520</v>
      </c>
      <c r="R77" s="8"/>
      <c r="S77" s="8">
        <v>802425</v>
      </c>
      <c r="T77" s="8"/>
      <c r="U77" s="8">
        <v>585639</v>
      </c>
      <c r="V77" s="8"/>
      <c r="W77" s="8">
        <f t="shared" si="6"/>
        <v>5776584</v>
      </c>
      <c r="X77" s="8"/>
      <c r="Y77" s="9">
        <f t="shared" si="7"/>
        <v>0</v>
      </c>
    </row>
    <row r="78" spans="1:25" ht="12.75" customHeight="1" x14ac:dyDescent="0.2">
      <c r="A78" s="7" t="s">
        <v>96</v>
      </c>
      <c r="B78" s="7"/>
      <c r="C78" s="7" t="s">
        <v>15</v>
      </c>
      <c r="E78" s="8">
        <f>8243435+878092</f>
        <v>9121527</v>
      </c>
      <c r="F78" s="8"/>
      <c r="G78" s="8">
        <v>28794531</v>
      </c>
      <c r="H78" s="8"/>
      <c r="I78" s="8">
        <v>0</v>
      </c>
      <c r="J78" s="8"/>
      <c r="K78" s="8">
        <v>8490750</v>
      </c>
      <c r="L78" s="8"/>
      <c r="M78" s="8">
        <v>16852197</v>
      </c>
      <c r="N78" s="8"/>
      <c r="O78" s="8">
        <v>0</v>
      </c>
      <c r="P78" s="8"/>
      <c r="Q78" s="8">
        <f>486924+6812516</f>
        <v>7299440</v>
      </c>
      <c r="R78" s="8"/>
      <c r="S78" s="8">
        <f>3458239+257475</f>
        <v>3715714</v>
      </c>
      <c r="T78" s="8"/>
      <c r="U78" s="8">
        <v>927180</v>
      </c>
      <c r="V78" s="8"/>
      <c r="W78" s="8">
        <f t="shared" si="6"/>
        <v>11942334</v>
      </c>
      <c r="X78" s="8"/>
      <c r="Y78" s="9">
        <f t="shared" si="7"/>
        <v>0</v>
      </c>
    </row>
    <row r="79" spans="1:25" ht="12.75" customHeight="1" x14ac:dyDescent="0.2">
      <c r="A79" s="7" t="s">
        <v>97</v>
      </c>
      <c r="B79" s="7"/>
      <c r="C79" s="7" t="s">
        <v>64</v>
      </c>
      <c r="E79" s="8">
        <v>14741165</v>
      </c>
      <c r="F79" s="8"/>
      <c r="G79" s="8">
        <v>18987851</v>
      </c>
      <c r="H79" s="8"/>
      <c r="I79" s="8">
        <v>0</v>
      </c>
      <c r="J79" s="8"/>
      <c r="K79" s="8">
        <v>0</v>
      </c>
      <c r="L79" s="8"/>
      <c r="M79" s="8">
        <v>540602</v>
      </c>
      <c r="N79" s="8"/>
      <c r="O79" s="8">
        <v>3235822</v>
      </c>
      <c r="P79" s="8"/>
      <c r="Q79" s="8">
        <f>125444+2527256</f>
        <v>2652700</v>
      </c>
      <c r="R79" s="8"/>
      <c r="S79" s="8">
        <f>2222544+4449701</f>
        <v>6672245</v>
      </c>
      <c r="T79" s="8"/>
      <c r="U79" s="8">
        <v>5886482</v>
      </c>
      <c r="V79" s="8"/>
      <c r="W79" s="8">
        <f t="shared" si="6"/>
        <v>15211427</v>
      </c>
      <c r="X79" s="8"/>
      <c r="Y79" s="9">
        <f t="shared" si="7"/>
        <v>0</v>
      </c>
    </row>
    <row r="80" spans="1:25" ht="12.75" customHeight="1" x14ac:dyDescent="0.2">
      <c r="A80" s="7" t="s">
        <v>98</v>
      </c>
      <c r="B80" s="7"/>
      <c r="C80" s="7" t="s">
        <v>25</v>
      </c>
      <c r="E80" s="8">
        <f>11347755+5568+50132</f>
        <v>11403455</v>
      </c>
      <c r="F80" s="8"/>
      <c r="G80" s="8">
        <v>38648743</v>
      </c>
      <c r="H80" s="8"/>
      <c r="I80" s="8">
        <v>0</v>
      </c>
      <c r="J80" s="8"/>
      <c r="K80" s="8">
        <v>0</v>
      </c>
      <c r="L80" s="8"/>
      <c r="M80" s="8">
        <v>9856336</v>
      </c>
      <c r="N80" s="8"/>
      <c r="O80" s="8">
        <v>18081583</v>
      </c>
      <c r="P80" s="8"/>
      <c r="Q80" s="8">
        <f>1482403+3144566</f>
        <v>4626969</v>
      </c>
      <c r="R80" s="8"/>
      <c r="S80" s="8">
        <f>74692+451520</f>
        <v>526212</v>
      </c>
      <c r="T80" s="8"/>
      <c r="U80" s="8">
        <v>5557643</v>
      </c>
      <c r="V80" s="8"/>
      <c r="W80" s="8">
        <f t="shared" si="6"/>
        <v>10710824</v>
      </c>
      <c r="X80" s="8"/>
      <c r="Y80" s="9">
        <f t="shared" si="7"/>
        <v>0</v>
      </c>
    </row>
    <row r="81" spans="1:25" ht="12.75" customHeight="1" x14ac:dyDescent="0.2">
      <c r="A81" s="7" t="s">
        <v>99</v>
      </c>
      <c r="B81" s="7"/>
      <c r="C81" s="7" t="s">
        <v>28</v>
      </c>
      <c r="E81" s="8">
        <v>16372455</v>
      </c>
      <c r="F81" s="8"/>
      <c r="G81" s="8">
        <v>33462564</v>
      </c>
      <c r="H81" s="8"/>
      <c r="I81" s="8">
        <v>0</v>
      </c>
      <c r="J81" s="8"/>
      <c r="K81" s="8">
        <v>0</v>
      </c>
      <c r="L81" s="8"/>
      <c r="M81" s="8">
        <v>2553792</v>
      </c>
      <c r="N81" s="8"/>
      <c r="O81" s="8">
        <v>11679894</v>
      </c>
      <c r="P81" s="8"/>
      <c r="Q81" s="8">
        <f>3384558+7360699</f>
        <v>10745257</v>
      </c>
      <c r="R81" s="8"/>
      <c r="S81" s="8">
        <f>561203+757966</f>
        <v>1319169</v>
      </c>
      <c r="T81" s="8"/>
      <c r="U81" s="8">
        <v>7164452</v>
      </c>
      <c r="V81" s="8"/>
      <c r="W81" s="8">
        <f t="shared" si="6"/>
        <v>19228878</v>
      </c>
      <c r="X81" s="8"/>
      <c r="Y81" s="9">
        <f t="shared" si="7"/>
        <v>0</v>
      </c>
    </row>
    <row r="82" spans="1:25" ht="12.75" customHeight="1" x14ac:dyDescent="0.2">
      <c r="A82" s="7" t="s">
        <v>100</v>
      </c>
      <c r="B82" s="7"/>
      <c r="C82" s="7" t="s">
        <v>101</v>
      </c>
      <c r="E82" s="8">
        <v>28164574</v>
      </c>
      <c r="F82" s="8"/>
      <c r="G82" s="8">
        <v>41614373</v>
      </c>
      <c r="H82" s="8"/>
      <c r="I82" s="8">
        <v>0</v>
      </c>
      <c r="J82" s="8"/>
      <c r="K82" s="8">
        <v>10292052</v>
      </c>
      <c r="L82" s="8"/>
      <c r="M82" s="8">
        <v>15174477</v>
      </c>
      <c r="N82" s="8"/>
      <c r="O82" s="8">
        <v>0</v>
      </c>
      <c r="P82" s="8"/>
      <c r="Q82" s="8">
        <v>14825702</v>
      </c>
      <c r="R82" s="8"/>
      <c r="S82" s="8">
        <v>302710</v>
      </c>
      <c r="T82" s="8"/>
      <c r="U82" s="8">
        <v>11311484</v>
      </c>
      <c r="V82" s="8"/>
      <c r="W82" s="8">
        <f t="shared" si="6"/>
        <v>26439896</v>
      </c>
      <c r="X82" s="8"/>
      <c r="Y82" s="9">
        <f t="shared" si="7"/>
        <v>0</v>
      </c>
    </row>
    <row r="83" spans="1:25" ht="12.75" customHeight="1" x14ac:dyDescent="0.2">
      <c r="A83" s="7" t="s">
        <v>102</v>
      </c>
      <c r="B83" s="7"/>
      <c r="C83" s="7" t="s">
        <v>11</v>
      </c>
      <c r="E83" s="8">
        <f>16910697+11665</f>
        <v>16922362</v>
      </c>
      <c r="F83" s="8"/>
      <c r="G83" s="8">
        <v>21750065</v>
      </c>
      <c r="H83" s="8"/>
      <c r="I83" s="8">
        <v>0</v>
      </c>
      <c r="J83" s="8"/>
      <c r="K83" s="8">
        <v>0</v>
      </c>
      <c r="L83" s="8"/>
      <c r="M83" s="8">
        <v>1032409</v>
      </c>
      <c r="N83" s="8"/>
      <c r="O83" s="8">
        <v>2911585</v>
      </c>
      <c r="P83" s="8"/>
      <c r="Q83" s="8">
        <f>512738+3850640</f>
        <v>4363378</v>
      </c>
      <c r="R83" s="8"/>
      <c r="S83" s="8">
        <f>46302+437294</f>
        <v>483596</v>
      </c>
      <c r="T83" s="8"/>
      <c r="U83" s="8">
        <v>12959097</v>
      </c>
      <c r="V83" s="8"/>
      <c r="W83" s="8">
        <f t="shared" si="6"/>
        <v>17806071</v>
      </c>
      <c r="X83" s="8"/>
      <c r="Y83" s="9">
        <f t="shared" si="7"/>
        <v>0</v>
      </c>
    </row>
    <row r="84" spans="1:25" ht="12.75" customHeight="1" x14ac:dyDescent="0.2">
      <c r="A84" s="7" t="s">
        <v>103</v>
      </c>
      <c r="B84" s="7"/>
      <c r="C84" s="7" t="s">
        <v>25</v>
      </c>
      <c r="E84" s="8">
        <v>5397397</v>
      </c>
      <c r="F84" s="8"/>
      <c r="G84" s="8">
        <v>15316696</v>
      </c>
      <c r="H84" s="8"/>
      <c r="I84" s="8">
        <v>0</v>
      </c>
      <c r="J84" s="8"/>
      <c r="K84" s="8">
        <v>0</v>
      </c>
      <c r="L84" s="8"/>
      <c r="M84" s="8">
        <v>1812559</v>
      </c>
      <c r="N84" s="8"/>
      <c r="O84" s="8">
        <v>7072626</v>
      </c>
      <c r="P84" s="8"/>
      <c r="Q84" s="8">
        <f>168963+1935898</f>
        <v>2104861</v>
      </c>
      <c r="R84" s="8"/>
      <c r="S84" s="8">
        <f>2181285+1338411</f>
        <v>3519696</v>
      </c>
      <c r="T84" s="8"/>
      <c r="U84" s="8">
        <v>806954</v>
      </c>
      <c r="V84" s="8"/>
      <c r="W84" s="8">
        <f t="shared" si="6"/>
        <v>6431511</v>
      </c>
      <c r="X84" s="8"/>
      <c r="Y84" s="9">
        <f t="shared" si="7"/>
        <v>0</v>
      </c>
    </row>
    <row r="85" spans="1:25" ht="12.75" customHeight="1" x14ac:dyDescent="0.2">
      <c r="A85" s="7" t="s">
        <v>104</v>
      </c>
      <c r="B85" s="7"/>
      <c r="C85" s="7" t="s">
        <v>105</v>
      </c>
      <c r="E85" s="8">
        <f>17864902+184336+308340+87227+2406925</f>
        <v>20851730</v>
      </c>
      <c r="F85" s="8"/>
      <c r="G85" s="8">
        <v>31082666</v>
      </c>
      <c r="H85" s="8"/>
      <c r="I85" s="8">
        <v>0</v>
      </c>
      <c r="J85" s="8"/>
      <c r="K85" s="8">
        <v>0</v>
      </c>
      <c r="L85" s="8"/>
      <c r="M85" s="8">
        <v>2359605</v>
      </c>
      <c r="N85" s="8"/>
      <c r="O85" s="8">
        <v>6395155</v>
      </c>
      <c r="P85" s="8"/>
      <c r="Q85" s="8">
        <f>1749420+4108494</f>
        <v>5857914</v>
      </c>
      <c r="R85" s="8"/>
      <c r="S85" s="8">
        <f>6391389+1827722</f>
        <v>8219111</v>
      </c>
      <c r="T85" s="8"/>
      <c r="U85" s="8">
        <v>8250881</v>
      </c>
      <c r="V85" s="8"/>
      <c r="W85" s="8">
        <f t="shared" si="6"/>
        <v>22327906</v>
      </c>
      <c r="X85" s="8"/>
      <c r="Y85" s="9">
        <f t="shared" si="7"/>
        <v>0</v>
      </c>
    </row>
    <row r="86" spans="1:25" ht="12.75" customHeight="1" x14ac:dyDescent="0.2">
      <c r="A86" s="7" t="s">
        <v>106</v>
      </c>
      <c r="B86" s="7"/>
      <c r="C86" s="7" t="s">
        <v>43</v>
      </c>
      <c r="E86" s="8">
        <v>8525036</v>
      </c>
      <c r="F86" s="8"/>
      <c r="G86" s="8">
        <v>20516695</v>
      </c>
      <c r="H86" s="8"/>
      <c r="I86" s="8">
        <v>0</v>
      </c>
      <c r="J86" s="8"/>
      <c r="K86" s="8">
        <v>10641520</v>
      </c>
      <c r="L86" s="8"/>
      <c r="M86" s="8">
        <v>17026172</v>
      </c>
      <c r="N86" s="8"/>
      <c r="O86" s="8">
        <v>0</v>
      </c>
      <c r="P86" s="8"/>
      <c r="Q86" s="8">
        <f>24880+3805276</f>
        <v>3830156</v>
      </c>
      <c r="R86" s="8"/>
      <c r="S86" s="8">
        <f>17271+937779</f>
        <v>955050</v>
      </c>
      <c r="T86" s="8"/>
      <c r="U86" s="8">
        <v>-1294683</v>
      </c>
      <c r="V86" s="8"/>
      <c r="W86" s="8">
        <f t="shared" si="6"/>
        <v>3490523</v>
      </c>
      <c r="X86" s="8"/>
      <c r="Y86" s="9">
        <f t="shared" si="7"/>
        <v>0</v>
      </c>
    </row>
    <row r="87" spans="1:25" ht="12.75" customHeight="1" x14ac:dyDescent="0.2">
      <c r="B87" s="7"/>
      <c r="D87" s="6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11" t="s">
        <v>478</v>
      </c>
      <c r="X87" s="8"/>
    </row>
    <row r="88" spans="1:25" ht="12.75" customHeight="1" x14ac:dyDescent="0.2">
      <c r="A88" s="29" t="s">
        <v>388</v>
      </c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</row>
    <row r="89" spans="1:25" ht="12.75" customHeight="1" x14ac:dyDescent="0.2">
      <c r="A89" s="23" t="s">
        <v>504</v>
      </c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</row>
    <row r="90" spans="1:25" ht="12.75" customHeight="1" x14ac:dyDescent="0.2">
      <c r="A90" s="24" t="s">
        <v>287</v>
      </c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</row>
    <row r="91" spans="1:25" ht="12.75" customHeight="1" x14ac:dyDescent="0.2">
      <c r="A91" s="24" t="s">
        <v>478</v>
      </c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</row>
    <row r="92" spans="1:25" ht="12.75" customHeight="1" x14ac:dyDescent="0.2">
      <c r="S92" s="88" t="s">
        <v>316</v>
      </c>
      <c r="T92" s="88"/>
      <c r="U92" s="88" t="s">
        <v>316</v>
      </c>
    </row>
    <row r="93" spans="1:25" s="63" customFormat="1" ht="12.75" customHeight="1" x14ac:dyDescent="0.2">
      <c r="A93" s="88"/>
      <c r="C93" s="88"/>
      <c r="D93" s="88"/>
      <c r="E93" s="88"/>
      <c r="F93" s="88"/>
      <c r="G93" s="88"/>
      <c r="H93" s="88"/>
      <c r="I93" s="88" t="s">
        <v>4</v>
      </c>
      <c r="J93" s="88"/>
      <c r="K93" s="88"/>
      <c r="L93" s="88"/>
      <c r="M93" s="88"/>
      <c r="N93" s="88"/>
      <c r="O93" s="88" t="s">
        <v>4</v>
      </c>
      <c r="P93" s="88"/>
      <c r="Q93" s="88" t="s">
        <v>315</v>
      </c>
      <c r="R93" s="88"/>
      <c r="S93" s="88" t="s">
        <v>434</v>
      </c>
      <c r="T93" s="88"/>
      <c r="U93" s="88" t="s">
        <v>319</v>
      </c>
      <c r="V93" s="88"/>
      <c r="W93" s="88" t="s">
        <v>5</v>
      </c>
      <c r="X93" s="88"/>
    </row>
    <row r="94" spans="1:25" s="63" customFormat="1" ht="12.75" customHeight="1" x14ac:dyDescent="0.2">
      <c r="A94" s="88"/>
      <c r="C94" s="88"/>
      <c r="D94" s="88"/>
      <c r="E94" s="88" t="s">
        <v>317</v>
      </c>
      <c r="F94" s="88"/>
      <c r="G94" s="88" t="s">
        <v>5</v>
      </c>
      <c r="H94" s="88"/>
      <c r="I94" s="88" t="s">
        <v>506</v>
      </c>
      <c r="J94" s="88"/>
      <c r="K94" s="88" t="s">
        <v>4</v>
      </c>
      <c r="L94" s="88"/>
      <c r="M94" s="88" t="s">
        <v>5</v>
      </c>
      <c r="N94" s="88"/>
      <c r="O94" s="88" t="s">
        <v>508</v>
      </c>
      <c r="P94" s="88"/>
      <c r="Q94" s="88" t="s">
        <v>318</v>
      </c>
      <c r="R94" s="88"/>
      <c r="S94" s="63" t="s">
        <v>491</v>
      </c>
      <c r="U94" s="63" t="s">
        <v>492</v>
      </c>
      <c r="V94" s="88"/>
      <c r="W94" s="88" t="s">
        <v>318</v>
      </c>
      <c r="X94" s="88"/>
      <c r="Y94" s="63" t="s">
        <v>425</v>
      </c>
    </row>
    <row r="95" spans="1:25" s="63" customFormat="1" ht="12.75" customHeight="1" x14ac:dyDescent="0.2">
      <c r="A95" s="27" t="s">
        <v>6</v>
      </c>
      <c r="C95" s="27" t="s">
        <v>7</v>
      </c>
      <c r="D95" s="88"/>
      <c r="E95" s="27" t="s">
        <v>320</v>
      </c>
      <c r="F95" s="88"/>
      <c r="G95" s="27" t="s">
        <v>0</v>
      </c>
      <c r="H95" s="88"/>
      <c r="I95" s="87" t="s">
        <v>507</v>
      </c>
      <c r="J95" s="88"/>
      <c r="K95" s="27" t="s">
        <v>321</v>
      </c>
      <c r="L95" s="88"/>
      <c r="M95" s="27" t="s">
        <v>1</v>
      </c>
      <c r="N95" s="88"/>
      <c r="O95" s="87" t="s">
        <v>507</v>
      </c>
      <c r="P95" s="88"/>
      <c r="Q95" s="27" t="s">
        <v>322</v>
      </c>
      <c r="R95" s="88"/>
      <c r="S95" s="27" t="s">
        <v>323</v>
      </c>
      <c r="T95" s="88"/>
      <c r="U95" s="27" t="s">
        <v>323</v>
      </c>
      <c r="V95" s="88"/>
      <c r="W95" s="27" t="s">
        <v>322</v>
      </c>
      <c r="X95" s="88"/>
      <c r="Y95" s="50" t="s">
        <v>426</v>
      </c>
    </row>
    <row r="96" spans="1:25" s="63" customFormat="1" ht="12.75" customHeight="1" x14ac:dyDescent="0.2">
      <c r="A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</row>
    <row r="97" spans="1:25" ht="12.75" customHeight="1" x14ac:dyDescent="0.2">
      <c r="A97" s="7" t="s">
        <v>107</v>
      </c>
      <c r="B97" s="7"/>
      <c r="C97" s="7" t="s">
        <v>108</v>
      </c>
      <c r="E97" s="40">
        <f>3075644+5749</f>
        <v>3081393</v>
      </c>
      <c r="F97" s="40"/>
      <c r="G97" s="40">
        <v>7684371</v>
      </c>
      <c r="H97" s="40"/>
      <c r="I97" s="40">
        <v>0</v>
      </c>
      <c r="J97" s="40"/>
      <c r="K97" s="40">
        <v>0</v>
      </c>
      <c r="L97" s="40"/>
      <c r="M97" s="40">
        <v>617846</v>
      </c>
      <c r="N97" s="40"/>
      <c r="O97" s="40">
        <v>2094984</v>
      </c>
      <c r="P97" s="40"/>
      <c r="Q97" s="40">
        <f>125299+3588427</f>
        <v>3713726</v>
      </c>
      <c r="R97" s="40"/>
      <c r="S97" s="40">
        <v>304089</v>
      </c>
      <c r="T97" s="40"/>
      <c r="U97" s="40">
        <v>953726</v>
      </c>
      <c r="V97" s="40"/>
      <c r="W97" s="40">
        <f t="shared" ref="W97:W133" si="8">+U97+S97+Q97</f>
        <v>4971541</v>
      </c>
      <c r="X97" s="8"/>
      <c r="Y97" s="9">
        <f t="shared" ref="Y97:Y133" si="9">+G97-M97-W97+I97-O97</f>
        <v>0</v>
      </c>
    </row>
    <row r="98" spans="1:25" ht="12.75" customHeight="1" x14ac:dyDescent="0.2">
      <c r="A98" s="7" t="s">
        <v>41</v>
      </c>
      <c r="B98" s="7"/>
      <c r="C98" s="7" t="s">
        <v>109</v>
      </c>
      <c r="E98" s="8">
        <f>10247016+7223</f>
        <v>10254239</v>
      </c>
      <c r="F98" s="8"/>
      <c r="G98" s="8">
        <v>16307054</v>
      </c>
      <c r="H98" s="8"/>
      <c r="I98" s="8">
        <v>0</v>
      </c>
      <c r="J98" s="8"/>
      <c r="K98" s="8">
        <v>0</v>
      </c>
      <c r="L98" s="8"/>
      <c r="M98" s="8">
        <v>1779357</v>
      </c>
      <c r="N98" s="8"/>
      <c r="O98" s="8">
        <v>5153323</v>
      </c>
      <c r="P98" s="8"/>
      <c r="Q98" s="8">
        <f>1361990+3194444</f>
        <v>4556434</v>
      </c>
      <c r="R98" s="8"/>
      <c r="S98" s="8">
        <f>69140+142791</f>
        <v>211931</v>
      </c>
      <c r="T98" s="8"/>
      <c r="U98" s="8">
        <v>4606009</v>
      </c>
      <c r="V98" s="8"/>
      <c r="W98" s="8">
        <f t="shared" si="8"/>
        <v>9374374</v>
      </c>
      <c r="X98" s="8"/>
      <c r="Y98" s="9">
        <f t="shared" si="9"/>
        <v>0</v>
      </c>
    </row>
    <row r="99" spans="1:25" ht="12.75" customHeight="1" x14ac:dyDescent="0.2">
      <c r="A99" s="7" t="s">
        <v>110</v>
      </c>
      <c r="B99" s="7"/>
      <c r="C99" s="7" t="s">
        <v>74</v>
      </c>
      <c r="E99" s="8">
        <v>10258195</v>
      </c>
      <c r="F99" s="8"/>
      <c r="G99" s="8">
        <v>15281848</v>
      </c>
      <c r="H99" s="8"/>
      <c r="I99" s="8">
        <v>0</v>
      </c>
      <c r="J99" s="8"/>
      <c r="K99" s="8">
        <v>0</v>
      </c>
      <c r="L99" s="8"/>
      <c r="M99" s="8">
        <v>1028792</v>
      </c>
      <c r="N99" s="8"/>
      <c r="O99" s="8">
        <v>2709408</v>
      </c>
      <c r="P99" s="8"/>
      <c r="Q99" s="8">
        <f>100417+3213755</f>
        <v>3314172</v>
      </c>
      <c r="R99" s="8"/>
      <c r="S99" s="8">
        <f>5914323+1995244</f>
        <v>7909567</v>
      </c>
      <c r="T99" s="8"/>
      <c r="U99" s="8">
        <v>319909</v>
      </c>
      <c r="V99" s="8"/>
      <c r="W99" s="8">
        <f t="shared" si="8"/>
        <v>11543648</v>
      </c>
      <c r="X99" s="8"/>
      <c r="Y99" s="9">
        <f t="shared" si="9"/>
        <v>0</v>
      </c>
    </row>
    <row r="100" spans="1:25" ht="12.75" hidden="1" customHeight="1" x14ac:dyDescent="0.2">
      <c r="A100" s="7" t="s">
        <v>111</v>
      </c>
      <c r="B100" s="7"/>
      <c r="C100" s="7" t="s">
        <v>41</v>
      </c>
      <c r="E100" s="8">
        <f>30528055+289775</f>
        <v>30817830</v>
      </c>
      <c r="F100" s="8"/>
      <c r="G100" s="8">
        <v>40910639</v>
      </c>
      <c r="H100" s="8"/>
      <c r="I100" s="8"/>
      <c r="J100" s="8"/>
      <c r="K100" s="8">
        <v>4546316</v>
      </c>
      <c r="L100" s="8"/>
      <c r="M100" s="8">
        <v>8875475</v>
      </c>
      <c r="N100" s="8"/>
      <c r="O100" s="8"/>
      <c r="P100" s="8"/>
      <c r="Q100" s="8">
        <f>327330+9653338+2015207</f>
        <v>11995875</v>
      </c>
      <c r="R100" s="8"/>
      <c r="S100" s="8">
        <v>3515864</v>
      </c>
      <c r="T100" s="8"/>
      <c r="U100" s="8">
        <v>16523425</v>
      </c>
      <c r="V100" s="8"/>
      <c r="W100" s="8">
        <f t="shared" si="8"/>
        <v>32035164</v>
      </c>
      <c r="X100" s="8"/>
      <c r="Y100" s="9">
        <f t="shared" si="9"/>
        <v>0</v>
      </c>
    </row>
    <row r="101" spans="1:25" ht="12.75" customHeight="1" x14ac:dyDescent="0.2">
      <c r="A101" s="7" t="s">
        <v>484</v>
      </c>
      <c r="B101" s="7"/>
      <c r="C101" s="7" t="s">
        <v>55</v>
      </c>
      <c r="E101" s="8">
        <f>8364185+4181+81437</f>
        <v>8449803</v>
      </c>
      <c r="F101" s="8"/>
      <c r="G101" s="8">
        <v>11569079</v>
      </c>
      <c r="H101" s="8"/>
      <c r="I101" s="8">
        <v>0</v>
      </c>
      <c r="J101" s="8"/>
      <c r="K101" s="8">
        <v>0</v>
      </c>
      <c r="L101" s="8"/>
      <c r="M101" s="8">
        <v>819440</v>
      </c>
      <c r="N101" s="8"/>
      <c r="O101" s="8">
        <v>1441034</v>
      </c>
      <c r="P101" s="8"/>
      <c r="Q101" s="8">
        <f>127799+3761070</f>
        <v>3888869</v>
      </c>
      <c r="R101" s="8"/>
      <c r="S101" s="8">
        <v>75449</v>
      </c>
      <c r="T101" s="8"/>
      <c r="U101" s="8">
        <v>5344287</v>
      </c>
      <c r="V101" s="8"/>
      <c r="W101" s="8">
        <f t="shared" si="8"/>
        <v>9308605</v>
      </c>
      <c r="X101" s="8"/>
      <c r="Y101" s="9">
        <f t="shared" si="9"/>
        <v>0</v>
      </c>
    </row>
    <row r="102" spans="1:25" ht="12.75" customHeight="1" x14ac:dyDescent="0.2">
      <c r="A102" s="7" t="s">
        <v>112</v>
      </c>
      <c r="B102" s="7"/>
      <c r="C102" s="7" t="s">
        <v>25</v>
      </c>
      <c r="E102" s="8">
        <f>3576671+183</f>
        <v>3576854</v>
      </c>
      <c r="F102" s="8"/>
      <c r="G102" s="8">
        <v>25217423</v>
      </c>
      <c r="H102" s="8"/>
      <c r="I102" s="8">
        <v>0</v>
      </c>
      <c r="J102" s="8"/>
      <c r="K102" s="8">
        <v>0</v>
      </c>
      <c r="L102" s="8"/>
      <c r="M102" s="8">
        <v>4969654</v>
      </c>
      <c r="N102" s="8"/>
      <c r="O102" s="8">
        <v>19486725</v>
      </c>
      <c r="P102" s="8"/>
      <c r="Q102" s="8">
        <f>284977+1906130</f>
        <v>2191107</v>
      </c>
      <c r="R102" s="8"/>
      <c r="S102" s="8">
        <v>3706287</v>
      </c>
      <c r="T102" s="8"/>
      <c r="U102" s="8">
        <v>-5136350</v>
      </c>
      <c r="V102" s="8"/>
      <c r="W102" s="8">
        <f t="shared" si="8"/>
        <v>761044</v>
      </c>
      <c r="X102" s="8"/>
      <c r="Y102" s="9">
        <f t="shared" si="9"/>
        <v>0</v>
      </c>
    </row>
    <row r="103" spans="1:25" ht="12.75" customHeight="1" x14ac:dyDescent="0.2">
      <c r="A103" s="7" t="s">
        <v>113</v>
      </c>
      <c r="B103" s="7"/>
      <c r="C103" s="7" t="s">
        <v>17</v>
      </c>
      <c r="E103" s="8">
        <f>1853869+59021</f>
        <v>1912890</v>
      </c>
      <c r="F103" s="8"/>
      <c r="G103" s="8">
        <v>4818466</v>
      </c>
      <c r="H103" s="8"/>
      <c r="I103" s="8">
        <v>0</v>
      </c>
      <c r="J103" s="8"/>
      <c r="K103" s="8">
        <v>1959735</v>
      </c>
      <c r="L103" s="8"/>
      <c r="M103" s="8">
        <v>2814529</v>
      </c>
      <c r="N103" s="8"/>
      <c r="O103" s="8">
        <v>0</v>
      </c>
      <c r="P103" s="8"/>
      <c r="Q103" s="8">
        <f>100715+583733</f>
        <v>684448</v>
      </c>
      <c r="R103" s="8"/>
      <c r="S103" s="8">
        <f>28264+61100</f>
        <v>89364</v>
      </c>
      <c r="T103" s="8"/>
      <c r="U103" s="8">
        <v>1230125</v>
      </c>
      <c r="V103" s="8"/>
      <c r="W103" s="8">
        <f t="shared" si="8"/>
        <v>2003937</v>
      </c>
      <c r="X103" s="8"/>
      <c r="Y103" s="9">
        <f t="shared" si="9"/>
        <v>0</v>
      </c>
    </row>
    <row r="104" spans="1:25" ht="12.75" customHeight="1" x14ac:dyDescent="0.2">
      <c r="A104" s="7" t="s">
        <v>114</v>
      </c>
      <c r="B104" s="7"/>
      <c r="C104" s="7" t="s">
        <v>78</v>
      </c>
      <c r="E104" s="8">
        <f>1615917+25866</f>
        <v>1641783</v>
      </c>
      <c r="F104" s="8"/>
      <c r="G104" s="8">
        <v>5624781</v>
      </c>
      <c r="H104" s="8"/>
      <c r="I104" s="8">
        <v>0</v>
      </c>
      <c r="J104" s="8"/>
      <c r="K104" s="8">
        <v>0</v>
      </c>
      <c r="L104" s="8"/>
      <c r="M104" s="8">
        <v>3952986</v>
      </c>
      <c r="N104" s="8"/>
      <c r="O104" s="8">
        <v>3324676</v>
      </c>
      <c r="P104" s="8"/>
      <c r="Q104" s="8">
        <f>45366+1085860</f>
        <v>1131226</v>
      </c>
      <c r="R104" s="8"/>
      <c r="S104" s="8">
        <v>55988</v>
      </c>
      <c r="T104" s="8"/>
      <c r="U104" s="8">
        <v>-2840095</v>
      </c>
      <c r="V104" s="8"/>
      <c r="W104" s="8">
        <f t="shared" si="8"/>
        <v>-1652881</v>
      </c>
      <c r="X104" s="8"/>
      <c r="Y104" s="9">
        <f t="shared" si="9"/>
        <v>0</v>
      </c>
    </row>
    <row r="105" spans="1:25" ht="12.75" customHeight="1" x14ac:dyDescent="0.2">
      <c r="A105" s="7" t="s">
        <v>115</v>
      </c>
      <c r="B105" s="7"/>
      <c r="C105" s="7" t="s">
        <v>41</v>
      </c>
      <c r="E105" s="8">
        <v>9025186</v>
      </c>
      <c r="F105" s="8"/>
      <c r="G105" s="8">
        <v>17012415</v>
      </c>
      <c r="H105" s="8"/>
      <c r="I105" s="8">
        <v>0</v>
      </c>
      <c r="J105" s="8"/>
      <c r="K105" s="8">
        <v>0</v>
      </c>
      <c r="L105" s="8"/>
      <c r="M105" s="8">
        <v>1730782</v>
      </c>
      <c r="N105" s="8"/>
      <c r="O105" s="8">
        <v>6280025</v>
      </c>
      <c r="P105" s="8"/>
      <c r="Q105" s="8">
        <f>15932+45404+172000+1415+3119956+1248+262809+1652+268063+23514+5277+102133</f>
        <v>4019403</v>
      </c>
      <c r="R105" s="8"/>
      <c r="S105" s="8">
        <f>1029225+150000+1313928+3299+3316+205614+20122</f>
        <v>2725504</v>
      </c>
      <c r="T105" s="8"/>
      <c r="U105" s="8">
        <v>2256701</v>
      </c>
      <c r="V105" s="8"/>
      <c r="W105" s="8">
        <f t="shared" si="8"/>
        <v>9001608</v>
      </c>
      <c r="X105" s="8"/>
      <c r="Y105" s="9">
        <f t="shared" si="9"/>
        <v>0</v>
      </c>
    </row>
    <row r="106" spans="1:25" ht="12.75" customHeight="1" x14ac:dyDescent="0.2">
      <c r="A106" s="7" t="s">
        <v>116</v>
      </c>
      <c r="B106" s="7"/>
      <c r="C106" s="7" t="s">
        <v>11</v>
      </c>
      <c r="E106" s="8">
        <f>49682939+19100</f>
        <v>49702039</v>
      </c>
      <c r="F106" s="8"/>
      <c r="G106" s="8">
        <v>68286358</v>
      </c>
      <c r="H106" s="8"/>
      <c r="I106" s="8">
        <v>0</v>
      </c>
      <c r="J106" s="8"/>
      <c r="K106" s="8">
        <v>0</v>
      </c>
      <c r="L106" s="8"/>
      <c r="M106" s="8">
        <v>9362615</v>
      </c>
      <c r="N106" s="8"/>
      <c r="O106" s="8">
        <v>4861698</v>
      </c>
      <c r="P106" s="8"/>
      <c r="Q106" s="8">
        <f>735855+21408770</f>
        <v>22144625</v>
      </c>
      <c r="R106" s="8"/>
      <c r="S106" s="8">
        <f>930009+9580627</f>
        <v>10510636</v>
      </c>
      <c r="T106" s="8"/>
      <c r="U106" s="8">
        <v>21406784</v>
      </c>
      <c r="V106" s="8"/>
      <c r="W106" s="8">
        <f t="shared" si="8"/>
        <v>54062045</v>
      </c>
      <c r="X106" s="8"/>
      <c r="Y106" s="9">
        <f t="shared" si="9"/>
        <v>0</v>
      </c>
    </row>
    <row r="107" spans="1:25" ht="12.75" customHeight="1" x14ac:dyDescent="0.2">
      <c r="A107" s="7" t="s">
        <v>118</v>
      </c>
      <c r="B107" s="7"/>
      <c r="C107" s="7" t="s">
        <v>119</v>
      </c>
      <c r="E107" s="8">
        <v>5958180</v>
      </c>
      <c r="F107" s="8"/>
      <c r="G107" s="8">
        <v>9878568</v>
      </c>
      <c r="H107" s="8"/>
      <c r="I107" s="8">
        <v>0</v>
      </c>
      <c r="J107" s="8"/>
      <c r="K107" s="8">
        <v>0</v>
      </c>
      <c r="L107" s="8"/>
      <c r="M107" s="8">
        <v>1112825</v>
      </c>
      <c r="N107" s="8"/>
      <c r="O107" s="8">
        <v>2395228</v>
      </c>
      <c r="P107" s="8"/>
      <c r="Q107" s="8">
        <f>188946+2456870</f>
        <v>2645816</v>
      </c>
      <c r="R107" s="8"/>
      <c r="S107" s="8">
        <f>127627+920688</f>
        <v>1048315</v>
      </c>
      <c r="T107" s="8"/>
      <c r="U107" s="8">
        <v>2676384</v>
      </c>
      <c r="V107" s="8"/>
      <c r="W107" s="8">
        <f t="shared" si="8"/>
        <v>6370515</v>
      </c>
      <c r="X107" s="8"/>
      <c r="Y107" s="9">
        <f t="shared" si="9"/>
        <v>0</v>
      </c>
    </row>
    <row r="108" spans="1:25" ht="12.75" customHeight="1" x14ac:dyDescent="0.2">
      <c r="A108" s="7" t="s">
        <v>120</v>
      </c>
      <c r="B108" s="7"/>
      <c r="C108" s="7" t="s">
        <v>41</v>
      </c>
      <c r="E108" s="8">
        <f>36968696+1096498+1249535</f>
        <v>39314729</v>
      </c>
      <c r="F108" s="8"/>
      <c r="G108" s="8">
        <v>57097512</v>
      </c>
      <c r="H108" s="8"/>
      <c r="I108" s="8">
        <v>0</v>
      </c>
      <c r="J108" s="8"/>
      <c r="K108" s="8">
        <v>0</v>
      </c>
      <c r="L108" s="8"/>
      <c r="M108" s="8">
        <v>2390054</v>
      </c>
      <c r="N108" s="8"/>
      <c r="O108" s="8">
        <v>11853026</v>
      </c>
      <c r="P108" s="8"/>
      <c r="Q108" s="8">
        <f>516364+10004281</f>
        <v>10520645</v>
      </c>
      <c r="R108" s="8"/>
      <c r="S108" s="8">
        <f>8259910+1668128</f>
        <v>9928038</v>
      </c>
      <c r="T108" s="8"/>
      <c r="U108" s="8">
        <v>22405749</v>
      </c>
      <c r="V108" s="8"/>
      <c r="W108" s="8">
        <f t="shared" si="8"/>
        <v>42854432</v>
      </c>
      <c r="X108" s="8"/>
      <c r="Y108" s="9">
        <f t="shared" si="9"/>
        <v>0</v>
      </c>
    </row>
    <row r="109" spans="1:25" ht="12.75" customHeight="1" x14ac:dyDescent="0.2">
      <c r="A109" s="6" t="s">
        <v>494</v>
      </c>
      <c r="C109" s="6" t="s">
        <v>41</v>
      </c>
      <c r="E109" s="8">
        <v>4125958</v>
      </c>
      <c r="F109" s="8"/>
      <c r="G109" s="8">
        <v>6140125</v>
      </c>
      <c r="H109" s="8"/>
      <c r="I109" s="8">
        <v>0</v>
      </c>
      <c r="J109" s="8"/>
      <c r="K109" s="8">
        <v>0</v>
      </c>
      <c r="L109" s="8"/>
      <c r="M109" s="8">
        <v>483848</v>
      </c>
      <c r="N109" s="8"/>
      <c r="O109" s="8">
        <v>1237056</v>
      </c>
      <c r="P109" s="8"/>
      <c r="Q109" s="8">
        <f>64072+569586</f>
        <v>633658</v>
      </c>
      <c r="R109" s="8"/>
      <c r="S109" s="8">
        <f>495237+1684717</f>
        <v>2179954</v>
      </c>
      <c r="T109" s="8"/>
      <c r="U109" s="8">
        <v>1605609</v>
      </c>
      <c r="V109" s="8"/>
      <c r="W109" s="8">
        <f t="shared" si="8"/>
        <v>4419221</v>
      </c>
      <c r="X109" s="8"/>
      <c r="Y109" s="9">
        <f t="shared" si="9"/>
        <v>0</v>
      </c>
    </row>
    <row r="110" spans="1:25" ht="12.75" customHeight="1" x14ac:dyDescent="0.2">
      <c r="A110" s="7" t="s">
        <v>43</v>
      </c>
      <c r="B110" s="7"/>
      <c r="C110" s="7" t="s">
        <v>101</v>
      </c>
      <c r="E110" s="8">
        <v>24363358</v>
      </c>
      <c r="F110" s="8"/>
      <c r="G110" s="8">
        <v>41124676</v>
      </c>
      <c r="H110" s="8"/>
      <c r="I110" s="8">
        <v>0</v>
      </c>
      <c r="J110" s="8"/>
      <c r="K110" s="8">
        <v>0</v>
      </c>
      <c r="L110" s="8"/>
      <c r="M110" s="8">
        <v>5268510</v>
      </c>
      <c r="N110" s="8"/>
      <c r="O110" s="8">
        <v>12285998</v>
      </c>
      <c r="P110" s="8"/>
      <c r="Q110" s="8">
        <f>271082+7315026</f>
        <v>7586108</v>
      </c>
      <c r="R110" s="8"/>
      <c r="S110" s="8">
        <f>3592878+5875842</f>
        <v>9468720</v>
      </c>
      <c r="T110" s="8"/>
      <c r="U110" s="8">
        <v>6515340</v>
      </c>
      <c r="V110" s="8"/>
      <c r="W110" s="8">
        <f t="shared" si="8"/>
        <v>23570168</v>
      </c>
      <c r="X110" s="8"/>
      <c r="Y110" s="9">
        <f t="shared" si="9"/>
        <v>0</v>
      </c>
    </row>
    <row r="111" spans="1:25" ht="12.75" customHeight="1" x14ac:dyDescent="0.2">
      <c r="A111" s="7" t="s">
        <v>121</v>
      </c>
      <c r="B111" s="7"/>
      <c r="C111" s="7" t="s">
        <v>43</v>
      </c>
      <c r="E111" s="8">
        <f>2498688+13514</f>
        <v>2512202</v>
      </c>
      <c r="F111" s="8"/>
      <c r="G111" s="8">
        <v>8119370</v>
      </c>
      <c r="H111" s="8"/>
      <c r="I111" s="8">
        <v>0</v>
      </c>
      <c r="J111" s="8"/>
      <c r="K111" s="8">
        <v>4740037</v>
      </c>
      <c r="L111" s="8"/>
      <c r="M111" s="8">
        <v>7837644</v>
      </c>
      <c r="N111" s="8"/>
      <c r="O111" s="8">
        <v>0</v>
      </c>
      <c r="P111" s="8"/>
      <c r="Q111" s="8">
        <f>72009+675513</f>
        <v>747522</v>
      </c>
      <c r="R111" s="8"/>
      <c r="S111" s="8">
        <f>70850+948264</f>
        <v>1019114</v>
      </c>
      <c r="T111" s="8"/>
      <c r="U111" s="8">
        <v>-1484910</v>
      </c>
      <c r="V111" s="8"/>
      <c r="W111" s="8">
        <f t="shared" si="8"/>
        <v>281726</v>
      </c>
      <c r="X111" s="8"/>
      <c r="Y111" s="9">
        <f t="shared" si="9"/>
        <v>0</v>
      </c>
    </row>
    <row r="112" spans="1:25" ht="12.75" customHeight="1" x14ac:dyDescent="0.2">
      <c r="A112" s="7" t="s">
        <v>122</v>
      </c>
      <c r="B112" s="7"/>
      <c r="C112" s="7" t="s">
        <v>123</v>
      </c>
      <c r="E112" s="8">
        <f>1852765+4094326+61117</f>
        <v>6008208</v>
      </c>
      <c r="F112" s="8"/>
      <c r="G112" s="8">
        <v>9168173</v>
      </c>
      <c r="H112" s="8"/>
      <c r="I112" s="8">
        <v>0</v>
      </c>
      <c r="J112" s="8"/>
      <c r="K112" s="8">
        <v>0</v>
      </c>
      <c r="L112" s="8"/>
      <c r="M112" s="8">
        <v>885366</v>
      </c>
      <c r="N112" s="8"/>
      <c r="O112" s="8">
        <v>1793783</v>
      </c>
      <c r="P112" s="8"/>
      <c r="Q112" s="8">
        <f>168690+1237199</f>
        <v>1405889</v>
      </c>
      <c r="R112" s="8"/>
      <c r="S112" s="8">
        <f>2004556+97375</f>
        <v>2101931</v>
      </c>
      <c r="T112" s="8"/>
      <c r="U112" s="8">
        <v>2981204</v>
      </c>
      <c r="V112" s="8"/>
      <c r="W112" s="8">
        <f t="shared" si="8"/>
        <v>6489024</v>
      </c>
      <c r="X112" s="8"/>
      <c r="Y112" s="9">
        <f t="shared" si="9"/>
        <v>0</v>
      </c>
    </row>
    <row r="113" spans="1:25" ht="12.75" customHeight="1" x14ac:dyDescent="0.2">
      <c r="A113" s="7" t="s">
        <v>124</v>
      </c>
      <c r="B113" s="7"/>
      <c r="C113" s="7" t="s">
        <v>25</v>
      </c>
      <c r="E113" s="8">
        <v>10397509</v>
      </c>
      <c r="F113" s="8"/>
      <c r="G113" s="8">
        <v>20337957</v>
      </c>
      <c r="H113" s="8"/>
      <c r="I113" s="8">
        <v>0</v>
      </c>
      <c r="J113" s="8"/>
      <c r="K113" s="8">
        <v>0</v>
      </c>
      <c r="L113" s="8"/>
      <c r="M113" s="8">
        <v>1061129</v>
      </c>
      <c r="N113" s="8"/>
      <c r="O113" s="8">
        <v>7426296</v>
      </c>
      <c r="P113" s="8"/>
      <c r="Q113" s="8">
        <f>299800+2256716</f>
        <v>2556516</v>
      </c>
      <c r="R113" s="8"/>
      <c r="S113" s="8">
        <f>466866+39273</f>
        <v>506139</v>
      </c>
      <c r="T113" s="8"/>
      <c r="U113" s="8">
        <v>8787877</v>
      </c>
      <c r="V113" s="8"/>
      <c r="W113" s="8">
        <f t="shared" si="8"/>
        <v>11850532</v>
      </c>
      <c r="X113" s="8"/>
      <c r="Y113" s="9">
        <f t="shared" si="9"/>
        <v>0</v>
      </c>
    </row>
    <row r="114" spans="1:25" ht="12.75" hidden="1" customHeight="1" x14ac:dyDescent="0.2">
      <c r="A114" s="7" t="s">
        <v>125</v>
      </c>
      <c r="B114" s="7"/>
      <c r="C114" s="7" t="s">
        <v>41</v>
      </c>
      <c r="E114" s="8">
        <f>16955221+127590</f>
        <v>17082811</v>
      </c>
      <c r="F114" s="8"/>
      <c r="G114" s="8">
        <v>27753255</v>
      </c>
      <c r="H114" s="8"/>
      <c r="I114" s="8"/>
      <c r="J114" s="8"/>
      <c r="K114" s="8">
        <v>6366558</v>
      </c>
      <c r="L114" s="8"/>
      <c r="M114" s="8">
        <v>9896309</v>
      </c>
      <c r="N114" s="8"/>
      <c r="O114" s="8"/>
      <c r="P114" s="8"/>
      <c r="Q114" s="8">
        <f>28179+8287493+5977904</f>
        <v>14293576</v>
      </c>
      <c r="R114" s="8"/>
      <c r="S114" s="8">
        <v>520519</v>
      </c>
      <c r="T114" s="8"/>
      <c r="U114" s="8">
        <v>3042851</v>
      </c>
      <c r="V114" s="8"/>
      <c r="W114" s="8">
        <f t="shared" si="8"/>
        <v>17856946</v>
      </c>
      <c r="X114" s="8"/>
      <c r="Y114" s="9">
        <f t="shared" si="9"/>
        <v>0</v>
      </c>
    </row>
    <row r="115" spans="1:25" ht="12.75" customHeight="1" x14ac:dyDescent="0.2">
      <c r="A115" s="7" t="s">
        <v>126</v>
      </c>
      <c r="B115" s="7"/>
      <c r="C115" s="7" t="s">
        <v>117</v>
      </c>
      <c r="E115" s="8">
        <v>2052518</v>
      </c>
      <c r="F115" s="8"/>
      <c r="G115" s="8">
        <v>3774090</v>
      </c>
      <c r="H115" s="8"/>
      <c r="I115" s="8">
        <v>0</v>
      </c>
      <c r="J115" s="8"/>
      <c r="K115" s="8">
        <v>0</v>
      </c>
      <c r="L115" s="8"/>
      <c r="M115" s="8">
        <v>370280</v>
      </c>
      <c r="N115" s="8"/>
      <c r="O115" s="8">
        <v>977557</v>
      </c>
      <c r="P115" s="8"/>
      <c r="Q115" s="8">
        <f>129163+1269423</f>
        <v>1398586</v>
      </c>
      <c r="R115" s="8"/>
      <c r="S115" s="8">
        <v>145622</v>
      </c>
      <c r="T115" s="8"/>
      <c r="U115" s="8">
        <v>882045</v>
      </c>
      <c r="V115" s="8"/>
      <c r="W115" s="8">
        <f t="shared" si="8"/>
        <v>2426253</v>
      </c>
      <c r="X115" s="8"/>
      <c r="Y115" s="9">
        <f t="shared" si="9"/>
        <v>0</v>
      </c>
    </row>
    <row r="116" spans="1:25" ht="12.75" customHeight="1" x14ac:dyDescent="0.2">
      <c r="A116" s="7" t="s">
        <v>127</v>
      </c>
      <c r="B116" s="7"/>
      <c r="C116" s="7" t="s">
        <v>78</v>
      </c>
      <c r="E116" s="8">
        <f>1256172+550</f>
        <v>1256722</v>
      </c>
      <c r="F116" s="8"/>
      <c r="G116" s="8">
        <v>2453448</v>
      </c>
      <c r="H116" s="8"/>
      <c r="I116" s="8">
        <v>0</v>
      </c>
      <c r="J116" s="8"/>
      <c r="K116" s="8">
        <v>0</v>
      </c>
      <c r="L116" s="8"/>
      <c r="M116" s="8">
        <v>213940</v>
      </c>
      <c r="N116" s="8"/>
      <c r="O116" s="8">
        <v>680332</v>
      </c>
      <c r="P116" s="8"/>
      <c r="Q116" s="8">
        <f>38718+105505</f>
        <v>144223</v>
      </c>
      <c r="R116" s="8"/>
      <c r="S116" s="8">
        <f>62158+773878</f>
        <v>836036</v>
      </c>
      <c r="T116" s="8"/>
      <c r="U116" s="8">
        <v>578917</v>
      </c>
      <c r="V116" s="8"/>
      <c r="W116" s="8">
        <f t="shared" si="8"/>
        <v>1559176</v>
      </c>
      <c r="X116" s="8"/>
      <c r="Y116" s="9">
        <f t="shared" si="9"/>
        <v>0</v>
      </c>
    </row>
    <row r="117" spans="1:25" ht="12.75" customHeight="1" x14ac:dyDescent="0.2">
      <c r="A117" s="7" t="s">
        <v>128</v>
      </c>
      <c r="B117" s="7"/>
      <c r="C117" s="7" t="s">
        <v>64</v>
      </c>
      <c r="E117" s="8">
        <v>23783637</v>
      </c>
      <c r="F117" s="8"/>
      <c r="G117" s="8">
        <v>53055631</v>
      </c>
      <c r="H117" s="8"/>
      <c r="I117" s="8">
        <v>0</v>
      </c>
      <c r="J117" s="8"/>
      <c r="K117" s="8">
        <v>0</v>
      </c>
      <c r="L117" s="8"/>
      <c r="M117" s="8">
        <v>17419485</v>
      </c>
      <c r="N117" s="8"/>
      <c r="O117" s="8">
        <v>24711912</v>
      </c>
      <c r="P117" s="8"/>
      <c r="Q117" s="8">
        <f>418536+16688864</f>
        <v>17107400</v>
      </c>
      <c r="R117" s="8"/>
      <c r="S117" s="8">
        <v>2827246</v>
      </c>
      <c r="T117" s="8"/>
      <c r="U117" s="8">
        <v>-9010412</v>
      </c>
      <c r="V117" s="8"/>
      <c r="W117" s="8">
        <f t="shared" si="8"/>
        <v>10924234</v>
      </c>
      <c r="X117" s="8"/>
      <c r="Y117" s="9">
        <f t="shared" si="9"/>
        <v>0</v>
      </c>
    </row>
    <row r="118" spans="1:25" ht="12.75" customHeight="1" x14ac:dyDescent="0.2">
      <c r="A118" s="7" t="s">
        <v>129</v>
      </c>
      <c r="B118" s="7"/>
      <c r="C118" s="7" t="s">
        <v>11</v>
      </c>
      <c r="E118" s="8">
        <f>21067259+19720+2987</f>
        <v>21089966</v>
      </c>
      <c r="F118" s="8"/>
      <c r="G118" s="8">
        <v>37074881</v>
      </c>
      <c r="H118" s="8"/>
      <c r="I118" s="8">
        <v>0</v>
      </c>
      <c r="J118" s="8"/>
      <c r="K118" s="8">
        <v>9841411</v>
      </c>
      <c r="L118" s="8"/>
      <c r="M118" s="8">
        <v>11781115</v>
      </c>
      <c r="N118" s="8"/>
      <c r="O118" s="8">
        <v>0</v>
      </c>
      <c r="P118" s="8"/>
      <c r="Q118" s="8">
        <f>470572+1058417</f>
        <v>1528989</v>
      </c>
      <c r="R118" s="8"/>
      <c r="S118" s="8">
        <f>7855066+842814</f>
        <v>8697880</v>
      </c>
      <c r="T118" s="8"/>
      <c r="U118" s="8">
        <v>15066897</v>
      </c>
      <c r="V118" s="8"/>
      <c r="W118" s="8">
        <f t="shared" si="8"/>
        <v>25293766</v>
      </c>
      <c r="X118" s="8"/>
      <c r="Y118" s="9">
        <f t="shared" si="9"/>
        <v>0</v>
      </c>
    </row>
    <row r="119" spans="1:25" ht="12.75" customHeight="1" x14ac:dyDescent="0.2">
      <c r="A119" s="7" t="s">
        <v>36</v>
      </c>
      <c r="B119" s="7"/>
      <c r="C119" s="7" t="s">
        <v>130</v>
      </c>
      <c r="E119" s="8">
        <f>3309107+106227</f>
        <v>3415334</v>
      </c>
      <c r="F119" s="8"/>
      <c r="G119" s="8">
        <v>5856413</v>
      </c>
      <c r="H119" s="8"/>
      <c r="I119" s="8">
        <v>0</v>
      </c>
      <c r="J119" s="8"/>
      <c r="K119" s="8">
        <v>1499892</v>
      </c>
      <c r="L119" s="8"/>
      <c r="M119" s="8">
        <v>2465767</v>
      </c>
      <c r="N119" s="8"/>
      <c r="O119" s="8">
        <v>0</v>
      </c>
      <c r="P119" s="8"/>
      <c r="Q119" s="8">
        <f>177599+2288478+186194</f>
        <v>2652271</v>
      </c>
      <c r="R119" s="8"/>
      <c r="S119" s="8">
        <v>7679</v>
      </c>
      <c r="T119" s="8"/>
      <c r="U119" s="8">
        <v>730696</v>
      </c>
      <c r="V119" s="8"/>
      <c r="W119" s="8">
        <f t="shared" si="8"/>
        <v>3390646</v>
      </c>
      <c r="X119" s="8"/>
      <c r="Y119" s="9">
        <f t="shared" si="9"/>
        <v>0</v>
      </c>
    </row>
    <row r="120" spans="1:25" ht="12.75" customHeight="1" x14ac:dyDescent="0.2">
      <c r="A120" s="7" t="s">
        <v>131</v>
      </c>
      <c r="B120" s="7"/>
      <c r="C120" s="7" t="s">
        <v>25</v>
      </c>
      <c r="E120" s="8">
        <f>16346014+33938</f>
        <v>16379952</v>
      </c>
      <c r="F120" s="8"/>
      <c r="G120" s="8">
        <v>38810974</v>
      </c>
      <c r="H120" s="8"/>
      <c r="I120" s="8">
        <v>0</v>
      </c>
      <c r="J120" s="8"/>
      <c r="K120" s="8">
        <v>0</v>
      </c>
      <c r="L120" s="8"/>
      <c r="M120" s="8">
        <v>14011700</v>
      </c>
      <c r="N120" s="8"/>
      <c r="O120" s="8">
        <v>6648150</v>
      </c>
      <c r="P120" s="8"/>
      <c r="Q120" s="8">
        <f>11479531+5308092</f>
        <v>16787623</v>
      </c>
      <c r="R120" s="8"/>
      <c r="S120" s="8">
        <f>253832+3081515</f>
        <v>3335347</v>
      </c>
      <c r="T120" s="8"/>
      <c r="U120" s="8">
        <v>-1971846</v>
      </c>
      <c r="V120" s="8"/>
      <c r="W120" s="8">
        <f t="shared" si="8"/>
        <v>18151124</v>
      </c>
      <c r="X120" s="8"/>
      <c r="Y120" s="9">
        <f t="shared" si="9"/>
        <v>0</v>
      </c>
    </row>
    <row r="121" spans="1:25" ht="12.75" hidden="1" customHeight="1" x14ac:dyDescent="0.2">
      <c r="A121" s="7" t="s">
        <v>476</v>
      </c>
      <c r="B121" s="7"/>
      <c r="C121" s="7" t="s">
        <v>43</v>
      </c>
      <c r="E121" s="8">
        <v>16759619</v>
      </c>
      <c r="F121" s="8"/>
      <c r="G121" s="8">
        <v>24088891</v>
      </c>
      <c r="H121" s="8"/>
      <c r="I121" s="8"/>
      <c r="J121" s="8"/>
      <c r="K121" s="8">
        <v>6390295</v>
      </c>
      <c r="L121" s="8"/>
      <c r="M121" s="8">
        <v>7388878</v>
      </c>
      <c r="N121" s="8"/>
      <c r="O121" s="8"/>
      <c r="P121" s="8"/>
      <c r="Q121" s="8">
        <f>1371806+160117+4724902</f>
        <v>6256825</v>
      </c>
      <c r="R121" s="8"/>
      <c r="S121" s="8">
        <v>0</v>
      </c>
      <c r="T121" s="8"/>
      <c r="U121" s="8">
        <v>10443188</v>
      </c>
      <c r="V121" s="8"/>
      <c r="W121" s="8">
        <f t="shared" si="8"/>
        <v>16700013</v>
      </c>
      <c r="X121" s="8"/>
      <c r="Y121" s="9">
        <f t="shared" si="9"/>
        <v>0</v>
      </c>
    </row>
    <row r="122" spans="1:25" ht="12.75" customHeight="1" x14ac:dyDescent="0.2">
      <c r="A122" s="6" t="s">
        <v>132</v>
      </c>
      <c r="B122" s="18"/>
      <c r="C122" s="6" t="s">
        <v>133</v>
      </c>
      <c r="E122" s="8">
        <v>1670266</v>
      </c>
      <c r="F122" s="8"/>
      <c r="G122" s="8">
        <v>4051844</v>
      </c>
      <c r="H122" s="8"/>
      <c r="I122" s="8">
        <v>0</v>
      </c>
      <c r="J122" s="8"/>
      <c r="K122" s="8">
        <v>0</v>
      </c>
      <c r="L122" s="8"/>
      <c r="M122" s="8">
        <v>257971</v>
      </c>
      <c r="N122" s="8"/>
      <c r="O122" s="8">
        <v>1649579</v>
      </c>
      <c r="P122" s="8"/>
      <c r="Q122" s="8">
        <f>15789+1430218</f>
        <v>1446007</v>
      </c>
      <c r="R122" s="8"/>
      <c r="S122" s="8">
        <f>337302+15318</f>
        <v>352620</v>
      </c>
      <c r="T122" s="8"/>
      <c r="U122" s="8">
        <v>345667</v>
      </c>
      <c r="V122" s="8"/>
      <c r="W122" s="8">
        <f t="shared" si="8"/>
        <v>2144294</v>
      </c>
      <c r="X122" s="8"/>
      <c r="Y122" s="9">
        <f t="shared" si="9"/>
        <v>0</v>
      </c>
    </row>
    <row r="123" spans="1:25" ht="12.75" customHeight="1" x14ac:dyDescent="0.2">
      <c r="A123" s="7" t="s">
        <v>134</v>
      </c>
      <c r="B123" s="7"/>
      <c r="C123" s="7" t="s">
        <v>134</v>
      </c>
      <c r="E123" s="8">
        <v>5220364</v>
      </c>
      <c r="F123" s="8"/>
      <c r="G123" s="8">
        <v>7252906</v>
      </c>
      <c r="H123" s="8"/>
      <c r="I123" s="8">
        <v>0</v>
      </c>
      <c r="J123" s="8"/>
      <c r="K123" s="8">
        <v>0</v>
      </c>
      <c r="L123" s="8"/>
      <c r="M123" s="8">
        <v>182292</v>
      </c>
      <c r="N123" s="8"/>
      <c r="O123" s="8">
        <v>1319897</v>
      </c>
      <c r="P123" s="8"/>
      <c r="Q123" s="8">
        <f>202936+2664801</f>
        <v>2867737</v>
      </c>
      <c r="R123" s="8"/>
      <c r="S123" s="8">
        <f>816982+1169408</f>
        <v>1986390</v>
      </c>
      <c r="T123" s="8"/>
      <c r="U123" s="8">
        <v>896590</v>
      </c>
      <c r="V123" s="8"/>
      <c r="W123" s="8">
        <f t="shared" si="8"/>
        <v>5750717</v>
      </c>
      <c r="X123" s="8"/>
      <c r="Y123" s="9">
        <f t="shared" si="9"/>
        <v>0</v>
      </c>
    </row>
    <row r="124" spans="1:25" ht="12.75" customHeight="1" x14ac:dyDescent="0.2">
      <c r="A124" s="7" t="s">
        <v>135</v>
      </c>
      <c r="B124" s="7"/>
      <c r="C124" s="7" t="s">
        <v>20</v>
      </c>
      <c r="E124" s="8">
        <f>19702310+57141</f>
        <v>19759451</v>
      </c>
      <c r="F124" s="8"/>
      <c r="G124" s="8">
        <v>39159923</v>
      </c>
      <c r="H124" s="8"/>
      <c r="I124" s="8">
        <v>0</v>
      </c>
      <c r="J124" s="8"/>
      <c r="K124" s="8">
        <v>0</v>
      </c>
      <c r="L124" s="8"/>
      <c r="M124" s="8">
        <v>13757301</v>
      </c>
      <c r="N124" s="8"/>
      <c r="O124" s="8">
        <v>7198174</v>
      </c>
      <c r="P124" s="8"/>
      <c r="Q124" s="8">
        <f>5604774+5339352</f>
        <v>10944126</v>
      </c>
      <c r="R124" s="8"/>
      <c r="S124" s="8">
        <f>7636121+2894067</f>
        <v>10530188</v>
      </c>
      <c r="T124" s="8"/>
      <c r="U124" s="8">
        <v>-3269866</v>
      </c>
      <c r="V124" s="8"/>
      <c r="W124" s="8">
        <f t="shared" si="8"/>
        <v>18204448</v>
      </c>
      <c r="X124" s="8"/>
      <c r="Y124" s="9">
        <f t="shared" si="9"/>
        <v>0</v>
      </c>
    </row>
    <row r="125" spans="1:25" ht="12.75" hidden="1" customHeight="1" x14ac:dyDescent="0.2">
      <c r="A125" s="7" t="s">
        <v>136</v>
      </c>
      <c r="B125" s="7"/>
      <c r="C125" s="7" t="s">
        <v>137</v>
      </c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>
        <f t="shared" si="8"/>
        <v>0</v>
      </c>
      <c r="X125" s="8"/>
      <c r="Y125" s="9">
        <f t="shared" si="9"/>
        <v>0</v>
      </c>
    </row>
    <row r="126" spans="1:25" ht="12.75" customHeight="1" x14ac:dyDescent="0.2">
      <c r="A126" s="7" t="s">
        <v>138</v>
      </c>
      <c r="B126" s="7"/>
      <c r="C126" s="7" t="s">
        <v>64</v>
      </c>
      <c r="E126" s="8">
        <v>63919113</v>
      </c>
      <c r="F126" s="8"/>
      <c r="G126" s="8">
        <v>85247270</v>
      </c>
      <c r="H126" s="8"/>
      <c r="I126" s="8">
        <v>0</v>
      </c>
      <c r="J126" s="8"/>
      <c r="K126" s="8">
        <v>0</v>
      </c>
      <c r="L126" s="8"/>
      <c r="M126" s="8">
        <v>5434714</v>
      </c>
      <c r="N126" s="8"/>
      <c r="O126" s="8">
        <v>15262990</v>
      </c>
      <c r="P126" s="8"/>
      <c r="Q126" s="8">
        <f>164458+867379+1376015+11065115+28642+1632059</f>
        <v>15133668</v>
      </c>
      <c r="R126" s="8"/>
      <c r="S126" s="8">
        <f>62994+368703+1342291+3158339+449994+1327395</f>
        <v>6709716</v>
      </c>
      <c r="T126" s="8"/>
      <c r="U126" s="8">
        <v>42706182</v>
      </c>
      <c r="V126" s="8"/>
      <c r="W126" s="8">
        <f t="shared" si="8"/>
        <v>64549566</v>
      </c>
      <c r="X126" s="8"/>
      <c r="Y126" s="9">
        <f t="shared" si="9"/>
        <v>0</v>
      </c>
    </row>
    <row r="127" spans="1:25" ht="12.75" customHeight="1" x14ac:dyDescent="0.2">
      <c r="A127" s="7" t="s">
        <v>472</v>
      </c>
      <c r="B127" s="7"/>
      <c r="C127" s="7" t="s">
        <v>90</v>
      </c>
      <c r="E127" s="8">
        <v>1253917</v>
      </c>
      <c r="F127" s="8"/>
      <c r="G127" s="8">
        <v>4608836</v>
      </c>
      <c r="H127" s="8"/>
      <c r="I127" s="8">
        <v>0</v>
      </c>
      <c r="J127" s="8"/>
      <c r="K127" s="8">
        <v>0</v>
      </c>
      <c r="L127" s="8"/>
      <c r="M127" s="8">
        <v>836667</v>
      </c>
      <c r="N127" s="8"/>
      <c r="O127" s="8">
        <v>2646812</v>
      </c>
      <c r="P127" s="8"/>
      <c r="Q127" s="8">
        <f>202140+609552</f>
        <v>811692</v>
      </c>
      <c r="R127" s="8"/>
      <c r="S127" s="8">
        <v>179956</v>
      </c>
      <c r="T127" s="8"/>
      <c r="U127" s="8">
        <v>133709</v>
      </c>
      <c r="V127" s="8"/>
      <c r="W127" s="8">
        <f t="shared" si="8"/>
        <v>1125357</v>
      </c>
      <c r="X127" s="8"/>
      <c r="Y127" s="9">
        <f t="shared" si="9"/>
        <v>0</v>
      </c>
    </row>
    <row r="128" spans="1:25" ht="12.75" customHeight="1" x14ac:dyDescent="0.2">
      <c r="A128" s="7" t="s">
        <v>139</v>
      </c>
      <c r="B128" s="7"/>
      <c r="C128" s="7" t="s">
        <v>25</v>
      </c>
      <c r="E128" s="8">
        <f>12288588+406471+217278</f>
        <v>12912337</v>
      </c>
      <c r="F128" s="8"/>
      <c r="G128" s="8">
        <v>45427998</v>
      </c>
      <c r="H128" s="8"/>
      <c r="I128" s="8">
        <v>0</v>
      </c>
      <c r="J128" s="8"/>
      <c r="K128" s="8">
        <v>0</v>
      </c>
      <c r="L128" s="8"/>
      <c r="M128" s="8">
        <v>3711223</v>
      </c>
      <c r="N128" s="8"/>
      <c r="O128" s="8">
        <v>25004200</v>
      </c>
      <c r="P128" s="8"/>
      <c r="Q128" s="8">
        <f>847270+6115764</f>
        <v>6963034</v>
      </c>
      <c r="R128" s="8"/>
      <c r="S128" s="8">
        <f>786167+1943879</f>
        <v>2730046</v>
      </c>
      <c r="T128" s="8"/>
      <c r="U128" s="8">
        <v>7019495</v>
      </c>
      <c r="V128" s="8"/>
      <c r="W128" s="8">
        <f t="shared" si="8"/>
        <v>16712575</v>
      </c>
      <c r="X128" s="8"/>
      <c r="Y128" s="9">
        <f t="shared" si="9"/>
        <v>0</v>
      </c>
    </row>
    <row r="129" spans="1:25" ht="12.75" customHeight="1" x14ac:dyDescent="0.2">
      <c r="A129" s="7" t="s">
        <v>140</v>
      </c>
      <c r="B129" s="7"/>
      <c r="C129" s="7" t="s">
        <v>100</v>
      </c>
      <c r="E129" s="8">
        <f>6086320+6518207</f>
        <v>12604527</v>
      </c>
      <c r="F129" s="8"/>
      <c r="G129" s="8">
        <v>25770809</v>
      </c>
      <c r="H129" s="8"/>
      <c r="I129" s="8">
        <v>0</v>
      </c>
      <c r="J129" s="8"/>
      <c r="K129" s="8">
        <v>0</v>
      </c>
      <c r="L129" s="8"/>
      <c r="M129" s="8">
        <v>5699127</v>
      </c>
      <c r="N129" s="8"/>
      <c r="O129" s="8">
        <v>6308944</v>
      </c>
      <c r="P129" s="8"/>
      <c r="Q129" s="8">
        <f>3275809+5980246</f>
        <v>9256055</v>
      </c>
      <c r="R129" s="8"/>
      <c r="S129" s="8">
        <f>1560269+1581288</f>
        <v>3141557</v>
      </c>
      <c r="T129" s="8"/>
      <c r="U129" s="8">
        <v>1365126</v>
      </c>
      <c r="V129" s="8"/>
      <c r="W129" s="8">
        <f t="shared" si="8"/>
        <v>13762738</v>
      </c>
      <c r="X129" s="8"/>
      <c r="Y129" s="9">
        <f t="shared" si="9"/>
        <v>0</v>
      </c>
    </row>
    <row r="130" spans="1:25" ht="12.75" customHeight="1" x14ac:dyDescent="0.2">
      <c r="A130" s="7" t="s">
        <v>141</v>
      </c>
      <c r="B130" s="7"/>
      <c r="C130" s="7" t="s">
        <v>109</v>
      </c>
      <c r="E130" s="8">
        <v>19211275</v>
      </c>
      <c r="F130" s="8"/>
      <c r="G130" s="8">
        <v>28432704</v>
      </c>
      <c r="H130" s="8"/>
      <c r="I130" s="8">
        <v>0</v>
      </c>
      <c r="J130" s="8"/>
      <c r="K130" s="8">
        <v>0</v>
      </c>
      <c r="L130" s="8"/>
      <c r="M130" s="8">
        <v>1783150</v>
      </c>
      <c r="N130" s="8"/>
      <c r="O130" s="8">
        <v>7487723</v>
      </c>
      <c r="P130" s="8"/>
      <c r="Q130" s="8">
        <f>1004121+9589654</f>
        <v>10593775</v>
      </c>
      <c r="R130" s="8"/>
      <c r="S130" s="8">
        <f>3170821+260111</f>
        <v>3430932</v>
      </c>
      <c r="T130" s="8"/>
      <c r="U130" s="8">
        <v>5137124</v>
      </c>
      <c r="V130" s="8"/>
      <c r="W130" s="8">
        <f t="shared" si="8"/>
        <v>19161831</v>
      </c>
      <c r="X130" s="8"/>
      <c r="Y130" s="9">
        <f t="shared" si="9"/>
        <v>0</v>
      </c>
    </row>
    <row r="131" spans="1:25" ht="12.75" customHeight="1" x14ac:dyDescent="0.2">
      <c r="A131" s="7" t="s">
        <v>142</v>
      </c>
      <c r="B131" s="7"/>
      <c r="C131" s="7" t="s">
        <v>86</v>
      </c>
      <c r="E131" s="8">
        <f>14775394+21445</f>
        <v>14796839</v>
      </c>
      <c r="F131" s="8"/>
      <c r="G131" s="8">
        <v>31086094</v>
      </c>
      <c r="H131" s="8"/>
      <c r="I131" s="8">
        <v>0</v>
      </c>
      <c r="J131" s="8"/>
      <c r="K131" s="8">
        <v>11560592</v>
      </c>
      <c r="L131" s="8"/>
      <c r="M131" s="8">
        <v>14728809</v>
      </c>
      <c r="N131" s="8"/>
      <c r="O131" s="8">
        <v>0</v>
      </c>
      <c r="P131" s="8"/>
      <c r="Q131" s="8">
        <f>334747+5818782</f>
        <v>6153529</v>
      </c>
      <c r="R131" s="8"/>
      <c r="S131" s="8">
        <f>818006+949485</f>
        <v>1767491</v>
      </c>
      <c r="T131" s="8"/>
      <c r="U131" s="8">
        <v>8436265</v>
      </c>
      <c r="V131" s="8"/>
      <c r="W131" s="8">
        <f t="shared" si="8"/>
        <v>16357285</v>
      </c>
      <c r="X131" s="8"/>
      <c r="Y131" s="9">
        <f t="shared" si="9"/>
        <v>0</v>
      </c>
    </row>
    <row r="132" spans="1:25" ht="12.75" customHeight="1" x14ac:dyDescent="0.2">
      <c r="A132" s="7" t="s">
        <v>34</v>
      </c>
      <c r="B132" s="7"/>
      <c r="C132" s="7" t="s">
        <v>143</v>
      </c>
      <c r="E132" s="8">
        <f>1634383+65034</f>
        <v>1699417</v>
      </c>
      <c r="F132" s="8"/>
      <c r="G132" s="8">
        <v>3755642</v>
      </c>
      <c r="H132" s="8"/>
      <c r="I132" s="8">
        <v>0</v>
      </c>
      <c r="J132" s="8"/>
      <c r="K132" s="8">
        <v>0</v>
      </c>
      <c r="L132" s="8"/>
      <c r="M132" s="8">
        <v>277282</v>
      </c>
      <c r="N132" s="8"/>
      <c r="O132" s="8">
        <v>1412979</v>
      </c>
      <c r="P132" s="8"/>
      <c r="Q132" s="8">
        <f>348918+649305</f>
        <v>998223</v>
      </c>
      <c r="R132" s="8"/>
      <c r="S132" s="8">
        <v>741726</v>
      </c>
      <c r="T132" s="8"/>
      <c r="U132" s="8">
        <v>325432</v>
      </c>
      <c r="V132" s="8"/>
      <c r="W132" s="8">
        <f t="shared" si="8"/>
        <v>2065381</v>
      </c>
      <c r="X132" s="8"/>
      <c r="Y132" s="9">
        <f t="shared" si="9"/>
        <v>0</v>
      </c>
    </row>
    <row r="133" spans="1:25" ht="12.75" customHeight="1" x14ac:dyDescent="0.2">
      <c r="A133" s="7" t="s">
        <v>144</v>
      </c>
      <c r="B133" s="7"/>
      <c r="C133" s="7" t="s">
        <v>145</v>
      </c>
      <c r="E133" s="8">
        <f>3442419+51453</f>
        <v>3493872</v>
      </c>
      <c r="F133" s="8"/>
      <c r="G133" s="8">
        <v>7389704</v>
      </c>
      <c r="H133" s="8"/>
      <c r="I133" s="8">
        <v>0</v>
      </c>
      <c r="J133" s="8"/>
      <c r="K133" s="8">
        <v>0</v>
      </c>
      <c r="L133" s="8"/>
      <c r="M133" s="8">
        <v>562479</v>
      </c>
      <c r="N133" s="8"/>
      <c r="O133" s="8">
        <v>2989120</v>
      </c>
      <c r="P133" s="8"/>
      <c r="Q133" s="8">
        <f>77776+35712+411567+165033+50430+781734+93884+68606</f>
        <v>1684742</v>
      </c>
      <c r="R133" s="8"/>
      <c r="S133" s="8">
        <f>182793+223582+19858+47019+1841+56360+292810+58</f>
        <v>824321</v>
      </c>
      <c r="T133" s="8"/>
      <c r="U133" s="8">
        <v>1329042</v>
      </c>
      <c r="V133" s="8"/>
      <c r="W133" s="8">
        <f t="shared" si="8"/>
        <v>3838105</v>
      </c>
      <c r="X133" s="8"/>
      <c r="Y133" s="9">
        <f t="shared" si="9"/>
        <v>0</v>
      </c>
    </row>
    <row r="134" spans="1:25" s="9" customFormat="1" ht="12.75" customHeight="1" x14ac:dyDescent="0.2">
      <c r="A134" s="9" t="s">
        <v>15</v>
      </c>
      <c r="C134" s="9" t="s">
        <v>15</v>
      </c>
      <c r="E134" s="8">
        <f>13246909+109472+51342</f>
        <v>13407723</v>
      </c>
      <c r="F134" s="8"/>
      <c r="G134" s="8">
        <v>50465272</v>
      </c>
      <c r="H134" s="8"/>
      <c r="I134" s="8">
        <v>0</v>
      </c>
      <c r="J134" s="8"/>
      <c r="K134" s="8">
        <v>0</v>
      </c>
      <c r="L134" s="8"/>
      <c r="M134" s="8">
        <v>3218424</v>
      </c>
      <c r="N134" s="8"/>
      <c r="O134" s="8">
        <v>15387801</v>
      </c>
      <c r="P134" s="8"/>
      <c r="Q134" s="8">
        <f>387573+27416052</f>
        <v>27803625</v>
      </c>
      <c r="R134" s="8"/>
      <c r="S134" s="8">
        <f>884380+763477</f>
        <v>1647857</v>
      </c>
      <c r="T134" s="8"/>
      <c r="U134" s="8">
        <v>2407565</v>
      </c>
      <c r="V134" s="8"/>
      <c r="W134" s="8">
        <f t="shared" ref="W134:W167" si="10">+U134+S134+Q134</f>
        <v>31859047</v>
      </c>
      <c r="X134" s="40"/>
      <c r="Y134" s="9">
        <f t="shared" ref="Y134:Y167" si="11">+G134-M134-W134+I134-O134</f>
        <v>0</v>
      </c>
    </row>
    <row r="135" spans="1:25" ht="12.75" customHeight="1" x14ac:dyDescent="0.2">
      <c r="A135" s="7" t="s">
        <v>146</v>
      </c>
      <c r="B135" s="7"/>
      <c r="C135" s="7" t="s">
        <v>13</v>
      </c>
      <c r="E135" s="8">
        <v>2416437</v>
      </c>
      <c r="F135" s="8"/>
      <c r="G135" s="8">
        <v>5886015</v>
      </c>
      <c r="H135" s="8"/>
      <c r="I135" s="8">
        <v>0</v>
      </c>
      <c r="J135" s="8"/>
      <c r="K135" s="8">
        <v>0</v>
      </c>
      <c r="L135" s="8"/>
      <c r="M135" s="8">
        <v>2113940</v>
      </c>
      <c r="N135" s="8"/>
      <c r="O135" s="8">
        <v>1008021</v>
      </c>
      <c r="P135" s="8"/>
      <c r="Q135" s="8">
        <f>19663+452329</f>
        <v>471992</v>
      </c>
      <c r="R135" s="8"/>
      <c r="S135" s="8">
        <f>183195+53805</f>
        <v>237000</v>
      </c>
      <c r="T135" s="8"/>
      <c r="U135" s="8">
        <v>2055062</v>
      </c>
      <c r="V135" s="8"/>
      <c r="W135" s="8">
        <f t="shared" si="10"/>
        <v>2764054</v>
      </c>
      <c r="X135" s="8"/>
      <c r="Y135" s="9">
        <f t="shared" si="11"/>
        <v>0</v>
      </c>
    </row>
    <row r="136" spans="1:25" ht="12.75" customHeight="1" x14ac:dyDescent="0.2">
      <c r="A136" s="7" t="s">
        <v>147</v>
      </c>
      <c r="B136" s="7"/>
      <c r="C136" s="7" t="s">
        <v>43</v>
      </c>
      <c r="E136" s="8">
        <f>2740324+3767+18677</f>
        <v>2762768</v>
      </c>
      <c r="F136" s="8"/>
      <c r="G136" s="8">
        <v>10950829</v>
      </c>
      <c r="H136" s="8"/>
      <c r="I136" s="8">
        <v>0</v>
      </c>
      <c r="J136" s="8"/>
      <c r="K136" s="8">
        <v>0</v>
      </c>
      <c r="L136" s="8"/>
      <c r="M136" s="8">
        <v>2000792</v>
      </c>
      <c r="N136" s="8"/>
      <c r="O136" s="8">
        <v>3397843</v>
      </c>
      <c r="P136" s="8"/>
      <c r="Q136" s="8">
        <f>2610992+781979</f>
        <v>3392971</v>
      </c>
      <c r="R136" s="8"/>
      <c r="S136" s="8">
        <v>60149</v>
      </c>
      <c r="T136" s="8"/>
      <c r="U136" s="8">
        <v>2099074</v>
      </c>
      <c r="V136" s="8"/>
      <c r="W136" s="8">
        <f t="shared" si="10"/>
        <v>5552194</v>
      </c>
      <c r="X136" s="8"/>
      <c r="Y136" s="9">
        <f t="shared" si="11"/>
        <v>0</v>
      </c>
    </row>
    <row r="137" spans="1:25" ht="12.75" customHeight="1" x14ac:dyDescent="0.2">
      <c r="A137" s="7" t="s">
        <v>148</v>
      </c>
      <c r="B137" s="7"/>
      <c r="C137" s="7" t="s">
        <v>25</v>
      </c>
      <c r="E137" s="8">
        <f>13519219+3505218</f>
        <v>17024437</v>
      </c>
      <c r="F137" s="8"/>
      <c r="G137" s="8">
        <v>31116115</v>
      </c>
      <c r="H137" s="8"/>
      <c r="I137" s="8">
        <v>0</v>
      </c>
      <c r="J137" s="8"/>
      <c r="K137" s="8">
        <v>0</v>
      </c>
      <c r="L137" s="8"/>
      <c r="M137" s="8">
        <v>1762708</v>
      </c>
      <c r="N137" s="8"/>
      <c r="O137" s="8">
        <v>11312841</v>
      </c>
      <c r="P137" s="8"/>
      <c r="Q137" s="8">
        <f>250132+5261817</f>
        <v>5511949</v>
      </c>
      <c r="R137" s="8"/>
      <c r="S137" s="8">
        <f>6437840+320355</f>
        <v>6758195</v>
      </c>
      <c r="T137" s="8"/>
      <c r="U137" s="8">
        <v>5770422</v>
      </c>
      <c r="V137" s="8"/>
      <c r="W137" s="8">
        <f t="shared" si="10"/>
        <v>18040566</v>
      </c>
      <c r="X137" s="8"/>
      <c r="Y137" s="9">
        <f t="shared" si="11"/>
        <v>0</v>
      </c>
    </row>
    <row r="138" spans="1:25" ht="12.75" customHeight="1" x14ac:dyDescent="0.2">
      <c r="A138" s="7" t="s">
        <v>149</v>
      </c>
      <c r="B138" s="7"/>
      <c r="C138" s="7" t="s">
        <v>11</v>
      </c>
      <c r="E138" s="8">
        <v>6026731</v>
      </c>
      <c r="F138" s="8"/>
      <c r="G138" s="8">
        <v>13912095</v>
      </c>
      <c r="H138" s="8"/>
      <c r="I138" s="8">
        <v>0</v>
      </c>
      <c r="J138" s="8"/>
      <c r="K138" s="8">
        <v>0</v>
      </c>
      <c r="L138" s="8"/>
      <c r="M138" s="8">
        <v>738427</v>
      </c>
      <c r="N138" s="8"/>
      <c r="O138" s="8">
        <v>5595541</v>
      </c>
      <c r="P138" s="8"/>
      <c r="Q138" s="8">
        <f>122852+1112275</f>
        <v>1235127</v>
      </c>
      <c r="R138" s="8"/>
      <c r="S138" s="8">
        <f>2209059+113098</f>
        <v>2322157</v>
      </c>
      <c r="T138" s="8"/>
      <c r="U138" s="8">
        <v>4020843</v>
      </c>
      <c r="V138" s="8"/>
      <c r="W138" s="8">
        <f t="shared" si="10"/>
        <v>7578127</v>
      </c>
      <c r="X138" s="8"/>
      <c r="Y138" s="9">
        <f t="shared" si="11"/>
        <v>0</v>
      </c>
    </row>
    <row r="139" spans="1:25" ht="12.75" customHeight="1" x14ac:dyDescent="0.2">
      <c r="A139" s="7" t="s">
        <v>475</v>
      </c>
      <c r="B139" s="7"/>
      <c r="C139" s="7" t="s">
        <v>43</v>
      </c>
      <c r="E139" s="8">
        <v>2419681</v>
      </c>
      <c r="F139" s="8"/>
      <c r="G139" s="8">
        <v>6106801</v>
      </c>
      <c r="H139" s="8"/>
      <c r="I139" s="8">
        <v>0</v>
      </c>
      <c r="J139" s="8"/>
      <c r="K139" s="8">
        <v>3009485</v>
      </c>
      <c r="L139" s="8"/>
      <c r="M139" s="8">
        <v>4241678</v>
      </c>
      <c r="N139" s="8"/>
      <c r="O139" s="8">
        <v>0</v>
      </c>
      <c r="P139" s="8"/>
      <c r="Q139" s="8">
        <f>46098+24072</f>
        <v>70170</v>
      </c>
      <c r="R139" s="8"/>
      <c r="S139" s="8">
        <f>7454+434280</f>
        <v>441734</v>
      </c>
      <c r="T139" s="8"/>
      <c r="U139" s="8">
        <v>1353219</v>
      </c>
      <c r="V139" s="8"/>
      <c r="W139" s="8">
        <f t="shared" si="10"/>
        <v>1865123</v>
      </c>
      <c r="X139" s="11"/>
      <c r="Y139" s="9">
        <f t="shared" si="11"/>
        <v>0</v>
      </c>
    </row>
    <row r="140" spans="1:25" ht="12.75" customHeight="1" x14ac:dyDescent="0.2">
      <c r="A140" s="7" t="s">
        <v>150</v>
      </c>
      <c r="B140" s="7"/>
      <c r="C140" s="7" t="s">
        <v>151</v>
      </c>
      <c r="E140" s="8">
        <v>12761743</v>
      </c>
      <c r="F140" s="8"/>
      <c r="G140" s="8">
        <v>31568102</v>
      </c>
      <c r="H140" s="8"/>
      <c r="I140" s="8">
        <v>0</v>
      </c>
      <c r="J140" s="8"/>
      <c r="K140" s="8">
        <v>13402325</v>
      </c>
      <c r="L140" s="8"/>
      <c r="M140" s="8">
        <v>16098962</v>
      </c>
      <c r="N140" s="8"/>
      <c r="O140" s="8">
        <v>0</v>
      </c>
      <c r="P140" s="8"/>
      <c r="Q140" s="8">
        <f>325201+9837505</f>
        <v>10162706</v>
      </c>
      <c r="R140" s="8"/>
      <c r="S140" s="8">
        <f>1836516+4842</f>
        <v>1841358</v>
      </c>
      <c r="T140" s="8"/>
      <c r="U140" s="8">
        <v>3465076</v>
      </c>
      <c r="V140" s="8"/>
      <c r="W140" s="8">
        <f t="shared" si="10"/>
        <v>15469140</v>
      </c>
      <c r="X140" s="11"/>
      <c r="Y140" s="9">
        <f t="shared" si="11"/>
        <v>0</v>
      </c>
    </row>
    <row r="141" spans="1:25" ht="12.75" customHeight="1" x14ac:dyDescent="0.2">
      <c r="A141" s="7" t="s">
        <v>152</v>
      </c>
      <c r="B141" s="7"/>
      <c r="C141" s="7" t="s">
        <v>25</v>
      </c>
      <c r="E141" s="8">
        <v>136124</v>
      </c>
      <c r="F141" s="8"/>
      <c r="G141" s="8">
        <v>13185474</v>
      </c>
      <c r="H141" s="8"/>
      <c r="I141" s="8">
        <v>0</v>
      </c>
      <c r="J141" s="8"/>
      <c r="K141" s="8">
        <v>0</v>
      </c>
      <c r="L141" s="8"/>
      <c r="M141" s="8">
        <v>2108961</v>
      </c>
      <c r="N141" s="8"/>
      <c r="O141" s="8">
        <v>11005403</v>
      </c>
      <c r="P141" s="8"/>
      <c r="Q141" s="8">
        <f>220627+749223</f>
        <v>969850</v>
      </c>
      <c r="R141" s="8"/>
      <c r="S141" s="8">
        <f>202240+42341</f>
        <v>244581</v>
      </c>
      <c r="T141" s="8"/>
      <c r="U141" s="8">
        <v>-1143321</v>
      </c>
      <c r="V141" s="8"/>
      <c r="W141" s="8">
        <f t="shared" si="10"/>
        <v>71110</v>
      </c>
      <c r="X141" s="8"/>
      <c r="Y141" s="9">
        <f t="shared" si="11"/>
        <v>0</v>
      </c>
    </row>
    <row r="142" spans="1:25" ht="12.75" customHeight="1" x14ac:dyDescent="0.2">
      <c r="A142" s="7" t="s">
        <v>153</v>
      </c>
      <c r="B142" s="7"/>
      <c r="C142" s="7" t="s">
        <v>38</v>
      </c>
      <c r="E142" s="8">
        <f>5185045+57976+13809+315434</f>
        <v>5572264</v>
      </c>
      <c r="F142" s="8"/>
      <c r="G142" s="8">
        <v>10503411</v>
      </c>
      <c r="H142" s="8"/>
      <c r="I142" s="8">
        <v>0</v>
      </c>
      <c r="J142" s="8"/>
      <c r="K142" s="8">
        <v>0</v>
      </c>
      <c r="L142" s="8"/>
      <c r="M142" s="8">
        <v>1961704</v>
      </c>
      <c r="N142" s="8"/>
      <c r="O142" s="8">
        <v>2797104</v>
      </c>
      <c r="P142" s="8"/>
      <c r="Q142" s="8">
        <f>648249+2943720</f>
        <v>3591969</v>
      </c>
      <c r="R142" s="8"/>
      <c r="S142" s="8">
        <f>70222+785851</f>
        <v>856073</v>
      </c>
      <c r="T142" s="8"/>
      <c r="U142" s="8">
        <v>1296561</v>
      </c>
      <c r="V142" s="8"/>
      <c r="W142" s="8">
        <f t="shared" si="10"/>
        <v>5744603</v>
      </c>
      <c r="X142" s="8"/>
      <c r="Y142" s="9">
        <f t="shared" si="11"/>
        <v>0</v>
      </c>
    </row>
    <row r="143" spans="1:25" ht="12.75" customHeight="1" x14ac:dyDescent="0.2">
      <c r="A143" s="7" t="s">
        <v>154</v>
      </c>
      <c r="B143" s="7"/>
      <c r="C143" s="7" t="s">
        <v>154</v>
      </c>
      <c r="E143" s="8">
        <v>3400133</v>
      </c>
      <c r="F143" s="8"/>
      <c r="G143" s="8">
        <v>14226053</v>
      </c>
      <c r="H143" s="8"/>
      <c r="I143" s="8">
        <v>0</v>
      </c>
      <c r="J143" s="8"/>
      <c r="K143" s="8">
        <v>0</v>
      </c>
      <c r="L143" s="8"/>
      <c r="M143" s="8">
        <v>5149849</v>
      </c>
      <c r="N143" s="8"/>
      <c r="O143" s="8">
        <v>6014539</v>
      </c>
      <c r="P143" s="8"/>
      <c r="Q143" s="8">
        <f>1608942+3149337</f>
        <v>4758279</v>
      </c>
      <c r="R143" s="8"/>
      <c r="S143" s="8">
        <f>464+170522</f>
        <v>170986</v>
      </c>
      <c r="T143" s="8"/>
      <c r="U143" s="8">
        <v>-1867600</v>
      </c>
      <c r="V143" s="8"/>
      <c r="W143" s="8">
        <f t="shared" si="10"/>
        <v>3061665</v>
      </c>
      <c r="X143" s="8"/>
      <c r="Y143" s="9">
        <f t="shared" si="11"/>
        <v>0</v>
      </c>
    </row>
    <row r="144" spans="1:25" ht="12.75" customHeight="1" x14ac:dyDescent="0.2">
      <c r="A144" s="7" t="s">
        <v>155</v>
      </c>
      <c r="B144" s="7"/>
      <c r="C144" s="7" t="s">
        <v>31</v>
      </c>
      <c r="E144" s="8">
        <f>1774048+500406+697552</f>
        <v>2972006</v>
      </c>
      <c r="F144" s="8"/>
      <c r="G144" s="8">
        <v>4940516</v>
      </c>
      <c r="H144" s="8"/>
      <c r="I144" s="8">
        <v>0</v>
      </c>
      <c r="J144" s="8"/>
      <c r="K144" s="8">
        <v>1346439</v>
      </c>
      <c r="L144" s="8"/>
      <c r="M144" s="8">
        <v>1711412</v>
      </c>
      <c r="N144" s="8"/>
      <c r="O144" s="8">
        <v>0</v>
      </c>
      <c r="P144" s="8"/>
      <c r="Q144" s="8">
        <f>212775+1046507</f>
        <v>1259282</v>
      </c>
      <c r="R144" s="8"/>
      <c r="S144" s="8">
        <f>1308745+657192</f>
        <v>1965937</v>
      </c>
      <c r="T144" s="8"/>
      <c r="U144" s="8">
        <v>3885</v>
      </c>
      <c r="V144" s="8"/>
      <c r="W144" s="8">
        <f t="shared" si="10"/>
        <v>3229104</v>
      </c>
      <c r="X144" s="8"/>
      <c r="Y144" s="9">
        <f t="shared" si="11"/>
        <v>0</v>
      </c>
    </row>
    <row r="145" spans="1:25" ht="12.75" customHeight="1" x14ac:dyDescent="0.2">
      <c r="A145" s="7" t="s">
        <v>156</v>
      </c>
      <c r="B145" s="7"/>
      <c r="C145" s="7" t="s">
        <v>157</v>
      </c>
      <c r="E145" s="8">
        <f>20378652+87094</f>
        <v>20465746</v>
      </c>
      <c r="F145" s="8"/>
      <c r="G145" s="8">
        <v>28070506</v>
      </c>
      <c r="H145" s="8"/>
      <c r="I145" s="8">
        <v>0</v>
      </c>
      <c r="J145" s="8"/>
      <c r="K145" s="8">
        <v>0</v>
      </c>
      <c r="L145" s="8"/>
      <c r="M145" s="8">
        <v>18733921</v>
      </c>
      <c r="N145" s="8"/>
      <c r="O145" s="8">
        <v>5401415</v>
      </c>
      <c r="P145" s="8"/>
      <c r="Q145" s="8">
        <f>125898+7659088</f>
        <v>7784986</v>
      </c>
      <c r="R145" s="8"/>
      <c r="S145" s="8">
        <f>327028+377780</f>
        <v>704808</v>
      </c>
      <c r="T145" s="8"/>
      <c r="U145" s="8">
        <v>-4554624</v>
      </c>
      <c r="V145" s="8"/>
      <c r="W145" s="8">
        <f t="shared" si="10"/>
        <v>3935170</v>
      </c>
      <c r="X145" s="8"/>
      <c r="Y145" s="9">
        <f t="shared" si="11"/>
        <v>0</v>
      </c>
    </row>
    <row r="146" spans="1:25" s="9" customFormat="1" ht="12.75" customHeight="1" x14ac:dyDescent="0.2">
      <c r="A146" s="9" t="s">
        <v>158</v>
      </c>
      <c r="C146" s="9" t="s">
        <v>109</v>
      </c>
      <c r="E146" s="8">
        <f>44368378+1619606</f>
        <v>45987984</v>
      </c>
      <c r="F146" s="8"/>
      <c r="G146" s="8">
        <v>68309396</v>
      </c>
      <c r="H146" s="8"/>
      <c r="I146" s="8">
        <v>0</v>
      </c>
      <c r="J146" s="8"/>
      <c r="K146" s="8">
        <v>11884874</v>
      </c>
      <c r="L146" s="8"/>
      <c r="M146" s="8">
        <v>23296902</v>
      </c>
      <c r="N146" s="8"/>
      <c r="O146" s="8">
        <v>0</v>
      </c>
      <c r="P146" s="8"/>
      <c r="Q146" s="8">
        <f>314025+12786546</f>
        <v>13100571</v>
      </c>
      <c r="R146" s="8"/>
      <c r="S146" s="8">
        <f>686+24815144</f>
        <v>24815830</v>
      </c>
      <c r="T146" s="8"/>
      <c r="U146" s="8">
        <v>7096093</v>
      </c>
      <c r="V146" s="8"/>
      <c r="W146" s="8">
        <f t="shared" si="10"/>
        <v>45012494</v>
      </c>
      <c r="X146" s="8"/>
      <c r="Y146" s="9">
        <f t="shared" si="11"/>
        <v>0</v>
      </c>
    </row>
    <row r="147" spans="1:25" ht="12.75" customHeight="1" x14ac:dyDescent="0.2">
      <c r="A147" s="7" t="s">
        <v>159</v>
      </c>
      <c r="B147" s="7"/>
      <c r="C147" s="7" t="s">
        <v>13</v>
      </c>
      <c r="E147" s="8">
        <f>2277946+139320+20430</f>
        <v>2437696</v>
      </c>
      <c r="F147" s="8"/>
      <c r="G147" s="8">
        <v>15631396</v>
      </c>
      <c r="H147" s="8"/>
      <c r="I147" s="8">
        <v>0</v>
      </c>
      <c r="J147" s="8"/>
      <c r="K147" s="8">
        <v>0</v>
      </c>
      <c r="L147" s="8"/>
      <c r="M147" s="8">
        <v>3405091</v>
      </c>
      <c r="N147" s="8"/>
      <c r="O147" s="8">
        <v>6140436</v>
      </c>
      <c r="P147" s="8"/>
      <c r="Q147" s="8">
        <f>157008+5609156</f>
        <v>5766164</v>
      </c>
      <c r="R147" s="8"/>
      <c r="S147" s="8">
        <f>1032606+106786</f>
        <v>1139392</v>
      </c>
      <c r="T147" s="8"/>
      <c r="U147" s="8">
        <v>-819687</v>
      </c>
      <c r="V147" s="8"/>
      <c r="W147" s="8">
        <f t="shared" si="10"/>
        <v>6085869</v>
      </c>
      <c r="X147" s="8"/>
      <c r="Y147" s="9">
        <f t="shared" si="11"/>
        <v>0</v>
      </c>
    </row>
    <row r="148" spans="1:25" ht="12.75" customHeight="1" x14ac:dyDescent="0.2">
      <c r="A148" s="7" t="s">
        <v>160</v>
      </c>
      <c r="B148" s="7"/>
      <c r="C148" s="7" t="s">
        <v>161</v>
      </c>
      <c r="E148" s="8">
        <f>9224172+22181783</f>
        <v>31405955</v>
      </c>
      <c r="F148" s="8"/>
      <c r="G148" s="8">
        <v>41562016</v>
      </c>
      <c r="H148" s="8"/>
      <c r="I148" s="8">
        <v>0</v>
      </c>
      <c r="J148" s="8"/>
      <c r="K148" s="8">
        <v>0</v>
      </c>
      <c r="L148" s="8"/>
      <c r="M148" s="8">
        <v>4118261</v>
      </c>
      <c r="N148" s="8"/>
      <c r="O148" s="8">
        <v>3808863</v>
      </c>
      <c r="P148" s="8"/>
      <c r="Q148" s="8">
        <f>195229+19092344</f>
        <v>19287573</v>
      </c>
      <c r="R148" s="8"/>
      <c r="S148" s="8">
        <f>1812737+109091</f>
        <v>1921828</v>
      </c>
      <c r="T148" s="8"/>
      <c r="U148" s="8">
        <v>12425491</v>
      </c>
      <c r="V148" s="8"/>
      <c r="W148" s="8">
        <f t="shared" si="10"/>
        <v>33634892</v>
      </c>
      <c r="X148" s="8"/>
      <c r="Y148" s="9">
        <f t="shared" si="11"/>
        <v>0</v>
      </c>
    </row>
    <row r="149" spans="1:25" ht="12.75" customHeight="1" x14ac:dyDescent="0.2">
      <c r="A149" s="7" t="s">
        <v>162</v>
      </c>
      <c r="B149" s="7"/>
      <c r="C149" s="7" t="s">
        <v>25</v>
      </c>
      <c r="E149" s="8">
        <f>3767255+12331473</f>
        <v>16098728</v>
      </c>
      <c r="F149" s="8"/>
      <c r="G149" s="8">
        <v>26781076</v>
      </c>
      <c r="H149" s="8"/>
      <c r="I149" s="8">
        <v>0</v>
      </c>
      <c r="J149" s="8"/>
      <c r="K149" s="8">
        <v>0</v>
      </c>
      <c r="L149" s="8"/>
      <c r="M149" s="8">
        <v>1060822</v>
      </c>
      <c r="N149" s="8"/>
      <c r="O149" s="8">
        <v>7385993</v>
      </c>
      <c r="P149" s="8"/>
      <c r="Q149" s="8">
        <f>166728+1782790</f>
        <v>1949518</v>
      </c>
      <c r="R149" s="8"/>
      <c r="S149" s="8">
        <f>5341369+594840</f>
        <v>5936209</v>
      </c>
      <c r="T149" s="8"/>
      <c r="U149" s="8">
        <v>10448534</v>
      </c>
      <c r="V149" s="8"/>
      <c r="W149" s="8">
        <f t="shared" si="10"/>
        <v>18334261</v>
      </c>
      <c r="X149" s="8"/>
      <c r="Y149" s="9">
        <f t="shared" si="11"/>
        <v>0</v>
      </c>
    </row>
    <row r="150" spans="1:25" ht="12.75" customHeight="1" x14ac:dyDescent="0.2">
      <c r="A150" s="7" t="s">
        <v>51</v>
      </c>
      <c r="B150" s="7"/>
      <c r="C150" s="7" t="s">
        <v>51</v>
      </c>
      <c r="E150" s="8">
        <f>46415572+11962</f>
        <v>46427534</v>
      </c>
      <c r="F150" s="8"/>
      <c r="G150" s="8">
        <v>59519913</v>
      </c>
      <c r="H150" s="8"/>
      <c r="I150" s="8">
        <v>0</v>
      </c>
      <c r="J150" s="8"/>
      <c r="K150" s="8">
        <v>5084267</v>
      </c>
      <c r="L150" s="8"/>
      <c r="M150" s="8">
        <v>11144155</v>
      </c>
      <c r="N150" s="8"/>
      <c r="O150" s="8">
        <v>0</v>
      </c>
      <c r="P150" s="8"/>
      <c r="Q150" s="8">
        <f>308667+27980798</f>
        <v>28289465</v>
      </c>
      <c r="R150" s="8"/>
      <c r="S150" s="8">
        <f>7661522+3731150</f>
        <v>11392672</v>
      </c>
      <c r="T150" s="8"/>
      <c r="U150" s="8">
        <v>8693621</v>
      </c>
      <c r="V150" s="8"/>
      <c r="W150" s="8">
        <f t="shared" si="10"/>
        <v>48375758</v>
      </c>
      <c r="X150" s="8"/>
      <c r="Y150" s="9">
        <f t="shared" si="11"/>
        <v>0</v>
      </c>
    </row>
    <row r="151" spans="1:25" ht="12.75" customHeight="1" x14ac:dyDescent="0.2">
      <c r="A151" s="7" t="s">
        <v>163</v>
      </c>
      <c r="B151" s="7"/>
      <c r="C151" s="7" t="s">
        <v>90</v>
      </c>
      <c r="E151" s="8">
        <v>30056015</v>
      </c>
      <c r="F151" s="8"/>
      <c r="G151" s="8">
        <v>66597027</v>
      </c>
      <c r="H151" s="8"/>
      <c r="I151" s="8">
        <v>0</v>
      </c>
      <c r="J151" s="8"/>
      <c r="K151" s="8">
        <v>0</v>
      </c>
      <c r="L151" s="8"/>
      <c r="M151" s="8">
        <v>6819358</v>
      </c>
      <c r="N151" s="8"/>
      <c r="O151" s="8">
        <v>24777673</v>
      </c>
      <c r="P151" s="8"/>
      <c r="Q151" s="8">
        <f>633531+6583635</f>
        <v>7217166</v>
      </c>
      <c r="R151" s="8"/>
      <c r="S151" s="8">
        <f>2979215+8366041</f>
        <v>11345256</v>
      </c>
      <c r="T151" s="8"/>
      <c r="U151" s="8">
        <v>16437574</v>
      </c>
      <c r="V151" s="8"/>
      <c r="W151" s="8">
        <f t="shared" si="10"/>
        <v>34999996</v>
      </c>
      <c r="X151" s="8"/>
      <c r="Y151" s="9">
        <f t="shared" si="11"/>
        <v>0</v>
      </c>
    </row>
    <row r="152" spans="1:25" ht="12.75" customHeight="1" x14ac:dyDescent="0.2">
      <c r="A152" s="7" t="s">
        <v>164</v>
      </c>
      <c r="B152" s="7"/>
      <c r="C152" s="7" t="s">
        <v>90</v>
      </c>
      <c r="E152" s="8">
        <v>1234173</v>
      </c>
      <c r="F152" s="8"/>
      <c r="G152" s="8">
        <v>3378601</v>
      </c>
      <c r="H152" s="8"/>
      <c r="I152" s="8">
        <v>0</v>
      </c>
      <c r="J152" s="8"/>
      <c r="K152" s="8">
        <v>0</v>
      </c>
      <c r="L152" s="8"/>
      <c r="M152" s="8">
        <v>1233827</v>
      </c>
      <c r="N152" s="8"/>
      <c r="O152" s="8">
        <v>1988456</v>
      </c>
      <c r="P152" s="8"/>
      <c r="Q152" s="8">
        <f>25162+221770</f>
        <v>246932</v>
      </c>
      <c r="R152" s="8"/>
      <c r="S152" s="8">
        <f>48629+350113</f>
        <v>398742</v>
      </c>
      <c r="T152" s="8"/>
      <c r="U152" s="8">
        <v>-489356</v>
      </c>
      <c r="V152" s="8"/>
      <c r="W152" s="8">
        <f t="shared" si="10"/>
        <v>156318</v>
      </c>
      <c r="X152" s="8"/>
      <c r="Y152" s="9">
        <f t="shared" si="11"/>
        <v>0</v>
      </c>
    </row>
    <row r="153" spans="1:25" ht="12.75" customHeight="1" x14ac:dyDescent="0.2">
      <c r="A153" s="7" t="s">
        <v>165</v>
      </c>
      <c r="B153" s="7"/>
      <c r="C153" s="7" t="s">
        <v>64</v>
      </c>
      <c r="E153" s="8">
        <f>11622225+5350676+100974</f>
        <v>17073875</v>
      </c>
      <c r="F153" s="8"/>
      <c r="G153" s="8">
        <v>28112813</v>
      </c>
      <c r="H153" s="8"/>
      <c r="I153" s="8">
        <v>0</v>
      </c>
      <c r="J153" s="8"/>
      <c r="K153" s="8">
        <v>0</v>
      </c>
      <c r="L153" s="8"/>
      <c r="M153" s="8">
        <v>4089593</v>
      </c>
      <c r="N153" s="8"/>
      <c r="O153" s="8">
        <v>5551496</v>
      </c>
      <c r="P153" s="8"/>
      <c r="Q153" s="8">
        <f>305771+9013747</f>
        <v>9319518</v>
      </c>
      <c r="R153" s="8"/>
      <c r="S153" s="8">
        <f>1941736+3899194</f>
        <v>5840930</v>
      </c>
      <c r="T153" s="8"/>
      <c r="U153" s="8">
        <v>3311276</v>
      </c>
      <c r="V153" s="8"/>
      <c r="W153" s="8">
        <f t="shared" si="10"/>
        <v>18471724</v>
      </c>
      <c r="X153" s="8"/>
      <c r="Y153" s="9">
        <f t="shared" si="11"/>
        <v>0</v>
      </c>
    </row>
    <row r="154" spans="1:25" ht="12.75" customHeight="1" x14ac:dyDescent="0.2">
      <c r="A154" s="7" t="s">
        <v>166</v>
      </c>
      <c r="B154" s="7"/>
      <c r="C154" s="7" t="s">
        <v>25</v>
      </c>
      <c r="E154" s="8">
        <v>7017557</v>
      </c>
      <c r="F154" s="8"/>
      <c r="G154" s="8">
        <v>16229857</v>
      </c>
      <c r="H154" s="8"/>
      <c r="I154" s="8">
        <v>0</v>
      </c>
      <c r="J154" s="8"/>
      <c r="K154" s="8">
        <v>0</v>
      </c>
      <c r="L154" s="8"/>
      <c r="M154" s="8">
        <v>2117865</v>
      </c>
      <c r="N154" s="8"/>
      <c r="O154" s="8">
        <v>5020364</v>
      </c>
      <c r="P154" s="8"/>
      <c r="Q154" s="8">
        <f>420946+1744505</f>
        <v>2165451</v>
      </c>
      <c r="R154" s="8"/>
      <c r="S154" s="8">
        <f>937834+415065</f>
        <v>1352899</v>
      </c>
      <c r="T154" s="8"/>
      <c r="U154" s="8">
        <v>5573277</v>
      </c>
      <c r="V154" s="8"/>
      <c r="W154" s="8">
        <f t="shared" si="10"/>
        <v>9091627</v>
      </c>
      <c r="X154" s="8"/>
      <c r="Y154" s="9">
        <f t="shared" si="11"/>
        <v>1</v>
      </c>
    </row>
    <row r="155" spans="1:25" ht="12.75" customHeight="1" x14ac:dyDescent="0.2">
      <c r="A155" s="7" t="s">
        <v>167</v>
      </c>
      <c r="B155" s="7"/>
      <c r="C155" s="7" t="s">
        <v>101</v>
      </c>
      <c r="E155" s="8">
        <v>21166263</v>
      </c>
      <c r="F155" s="8"/>
      <c r="G155" s="8">
        <v>52126613</v>
      </c>
      <c r="H155" s="8"/>
      <c r="I155" s="8">
        <v>0</v>
      </c>
      <c r="J155" s="8"/>
      <c r="K155" s="8">
        <v>22924017</v>
      </c>
      <c r="L155" s="8"/>
      <c r="M155" s="8">
        <v>29124168</v>
      </c>
      <c r="N155" s="8"/>
      <c r="O155" s="8">
        <v>0</v>
      </c>
      <c r="P155" s="8"/>
      <c r="Q155" s="8">
        <f>2601849+10566432</f>
        <v>13168281</v>
      </c>
      <c r="R155" s="8"/>
      <c r="S155" s="8">
        <f>3195707+352480</f>
        <v>3548187</v>
      </c>
      <c r="T155" s="8"/>
      <c r="U155" s="8">
        <v>6285977</v>
      </c>
      <c r="V155" s="8"/>
      <c r="W155" s="8">
        <f t="shared" si="10"/>
        <v>23002445</v>
      </c>
      <c r="X155" s="8"/>
      <c r="Y155" s="9">
        <f t="shared" si="11"/>
        <v>0</v>
      </c>
    </row>
    <row r="156" spans="1:25" ht="12.75" customHeight="1" x14ac:dyDescent="0.2">
      <c r="A156" s="7" t="s">
        <v>168</v>
      </c>
      <c r="B156" s="7"/>
      <c r="C156" s="7" t="s">
        <v>169</v>
      </c>
      <c r="E156" s="8">
        <v>5963876</v>
      </c>
      <c r="F156" s="8"/>
      <c r="G156" s="8">
        <v>9168288</v>
      </c>
      <c r="H156" s="8"/>
      <c r="I156" s="8">
        <v>0</v>
      </c>
      <c r="J156" s="8"/>
      <c r="K156" s="8">
        <v>0</v>
      </c>
      <c r="L156" s="8"/>
      <c r="M156" s="8">
        <v>2136293</v>
      </c>
      <c r="N156" s="8"/>
      <c r="O156" s="8">
        <v>1202344</v>
      </c>
      <c r="P156" s="8"/>
      <c r="Q156" s="8">
        <v>1869291</v>
      </c>
      <c r="R156" s="8"/>
      <c r="S156" s="8">
        <f>338951+4771</f>
        <v>343722</v>
      </c>
      <c r="T156" s="8"/>
      <c r="U156" s="8">
        <v>3616638</v>
      </c>
      <c r="V156" s="8"/>
      <c r="W156" s="8">
        <f t="shared" si="10"/>
        <v>5829651</v>
      </c>
      <c r="X156" s="8"/>
      <c r="Y156" s="9">
        <f t="shared" si="11"/>
        <v>0</v>
      </c>
    </row>
    <row r="157" spans="1:25" ht="12.75" customHeight="1" x14ac:dyDescent="0.2">
      <c r="A157" s="7" t="s">
        <v>170</v>
      </c>
      <c r="B157" s="7"/>
      <c r="C157" s="7" t="s">
        <v>101</v>
      </c>
      <c r="E157" s="8">
        <v>10581558</v>
      </c>
      <c r="F157" s="8"/>
      <c r="G157" s="8">
        <v>34366609</v>
      </c>
      <c r="H157" s="8"/>
      <c r="I157" s="8">
        <v>0</v>
      </c>
      <c r="J157" s="8"/>
      <c r="K157" s="8">
        <v>6501913</v>
      </c>
      <c r="L157" s="8"/>
      <c r="M157" s="8">
        <v>24001440</v>
      </c>
      <c r="N157" s="8"/>
      <c r="O157" s="8">
        <v>0</v>
      </c>
      <c r="P157" s="8"/>
      <c r="Q157" s="8">
        <f>35000+1885100</f>
        <v>1920100</v>
      </c>
      <c r="R157" s="8"/>
      <c r="S157" s="8">
        <f>87541+865127</f>
        <v>952668</v>
      </c>
      <c r="T157" s="8"/>
      <c r="U157" s="8">
        <v>7492401</v>
      </c>
      <c r="V157" s="8"/>
      <c r="W157" s="8">
        <f t="shared" si="10"/>
        <v>10365169</v>
      </c>
      <c r="X157" s="8"/>
      <c r="Y157" s="9">
        <f t="shared" si="11"/>
        <v>0</v>
      </c>
    </row>
    <row r="158" spans="1:25" ht="12.75" customHeight="1" x14ac:dyDescent="0.2">
      <c r="A158" s="7" t="s">
        <v>64</v>
      </c>
      <c r="B158" s="7"/>
      <c r="C158" s="7" t="s">
        <v>43</v>
      </c>
      <c r="E158" s="8">
        <f>10959677+19976117</f>
        <v>30935794</v>
      </c>
      <c r="F158" s="8"/>
      <c r="G158" s="8">
        <v>41275001</v>
      </c>
      <c r="H158" s="8"/>
      <c r="I158" s="8">
        <v>0</v>
      </c>
      <c r="J158" s="8"/>
      <c r="K158" s="8">
        <v>0</v>
      </c>
      <c r="L158" s="8"/>
      <c r="M158" s="8">
        <v>1737502</v>
      </c>
      <c r="N158" s="8"/>
      <c r="O158" s="8">
        <v>7557464</v>
      </c>
      <c r="P158" s="8"/>
      <c r="Q158" s="8">
        <f>418566+17610986</f>
        <v>18029552</v>
      </c>
      <c r="R158" s="8"/>
      <c r="S158" s="8">
        <v>213241</v>
      </c>
      <c r="T158" s="8"/>
      <c r="U158" s="8">
        <v>13737242</v>
      </c>
      <c r="V158" s="8"/>
      <c r="W158" s="8">
        <f t="shared" si="10"/>
        <v>31980035</v>
      </c>
      <c r="X158" s="8"/>
      <c r="Y158" s="9">
        <f t="shared" si="11"/>
        <v>0</v>
      </c>
    </row>
    <row r="159" spans="1:25" ht="12.75" customHeight="1" x14ac:dyDescent="0.2">
      <c r="A159" s="7" t="s">
        <v>171</v>
      </c>
      <c r="B159" s="7"/>
      <c r="C159" s="7" t="s">
        <v>64</v>
      </c>
      <c r="E159" s="8">
        <v>9682538</v>
      </c>
      <c r="F159" s="8"/>
      <c r="G159" s="8">
        <v>15301571</v>
      </c>
      <c r="H159" s="8"/>
      <c r="I159" s="8">
        <v>0</v>
      </c>
      <c r="J159" s="8"/>
      <c r="K159" s="8">
        <v>0</v>
      </c>
      <c r="L159" s="8"/>
      <c r="M159" s="8">
        <v>2145776</v>
      </c>
      <c r="N159" s="8"/>
      <c r="O159" s="8">
        <v>2303697</v>
      </c>
      <c r="P159" s="8"/>
      <c r="Q159" s="8">
        <f>63539+80874+1100000+357893+130710+154461+1101796+651782</f>
        <v>3641055</v>
      </c>
      <c r="R159" s="8"/>
      <c r="S159" s="8">
        <f>5019173+809852+566469+343304</f>
        <v>6738798</v>
      </c>
      <c r="T159" s="8"/>
      <c r="U159" s="8">
        <v>472245</v>
      </c>
      <c r="V159" s="8"/>
      <c r="W159" s="8">
        <f t="shared" si="10"/>
        <v>10852098</v>
      </c>
      <c r="X159" s="8"/>
      <c r="Y159" s="9">
        <f t="shared" si="11"/>
        <v>0</v>
      </c>
    </row>
    <row r="160" spans="1:25" ht="12.75" customHeight="1" x14ac:dyDescent="0.2">
      <c r="A160" s="7" t="s">
        <v>172</v>
      </c>
      <c r="B160" s="7"/>
      <c r="C160" s="7" t="s">
        <v>43</v>
      </c>
      <c r="E160" s="8">
        <v>733770</v>
      </c>
      <c r="F160" s="8"/>
      <c r="G160" s="8">
        <v>2467149</v>
      </c>
      <c r="H160" s="8"/>
      <c r="I160" s="8">
        <v>0</v>
      </c>
      <c r="J160" s="8"/>
      <c r="K160" s="8">
        <v>1530475</v>
      </c>
      <c r="L160" s="8"/>
      <c r="M160" s="8">
        <v>1808395</v>
      </c>
      <c r="N160" s="8"/>
      <c r="O160" s="8">
        <v>0</v>
      </c>
      <c r="P160" s="8"/>
      <c r="Q160" s="8">
        <f>207549+5529</f>
        <v>213078</v>
      </c>
      <c r="R160" s="8"/>
      <c r="S160" s="8">
        <v>4810</v>
      </c>
      <c r="T160" s="8"/>
      <c r="U160" s="8">
        <v>440866</v>
      </c>
      <c r="V160" s="8"/>
      <c r="W160" s="8">
        <f t="shared" si="10"/>
        <v>658754</v>
      </c>
      <c r="X160" s="8"/>
      <c r="Y160" s="9">
        <f t="shared" si="11"/>
        <v>0</v>
      </c>
    </row>
    <row r="161" spans="1:25" ht="12.75" customHeight="1" x14ac:dyDescent="0.2">
      <c r="A161" s="7" t="s">
        <v>173</v>
      </c>
      <c r="B161" s="7"/>
      <c r="C161" s="7" t="s">
        <v>174</v>
      </c>
      <c r="E161" s="8">
        <f>2760266+5041202+392530+5231</f>
        <v>8199229</v>
      </c>
      <c r="F161" s="8"/>
      <c r="G161" s="8">
        <v>15958773</v>
      </c>
      <c r="H161" s="8"/>
      <c r="I161" s="8">
        <v>0</v>
      </c>
      <c r="J161" s="8"/>
      <c r="K161" s="8">
        <v>0</v>
      </c>
      <c r="L161" s="8"/>
      <c r="M161" s="8">
        <v>829908</v>
      </c>
      <c r="N161" s="8"/>
      <c r="O161" s="8">
        <v>5063215</v>
      </c>
      <c r="P161" s="8"/>
      <c r="Q161" s="8">
        <f>416552+4455125</f>
        <v>4871677</v>
      </c>
      <c r="R161" s="8"/>
      <c r="S161" s="8">
        <f>155462+470736</f>
        <v>626198</v>
      </c>
      <c r="T161" s="8"/>
      <c r="U161" s="8">
        <v>4567775</v>
      </c>
      <c r="V161" s="8"/>
      <c r="W161" s="8">
        <f t="shared" si="10"/>
        <v>10065650</v>
      </c>
      <c r="X161" s="8"/>
      <c r="Y161" s="9">
        <f t="shared" si="11"/>
        <v>0</v>
      </c>
    </row>
    <row r="162" spans="1:25" ht="12.75" customHeight="1" x14ac:dyDescent="0.2">
      <c r="A162" s="7" t="s">
        <v>175</v>
      </c>
      <c r="B162" s="7"/>
      <c r="C162" s="7" t="s">
        <v>11</v>
      </c>
      <c r="E162" s="8">
        <v>29858455</v>
      </c>
      <c r="F162" s="8"/>
      <c r="G162" s="8">
        <v>4492193</v>
      </c>
      <c r="H162" s="8"/>
      <c r="I162" s="8">
        <v>0</v>
      </c>
      <c r="J162" s="8"/>
      <c r="K162" s="8">
        <v>0</v>
      </c>
      <c r="L162" s="8"/>
      <c r="M162" s="8">
        <v>137379</v>
      </c>
      <c r="N162" s="8"/>
      <c r="O162" s="8">
        <v>1074788</v>
      </c>
      <c r="P162" s="8"/>
      <c r="Q162" s="8">
        <f>74307+1299235</f>
        <v>1373542</v>
      </c>
      <c r="R162" s="8"/>
      <c r="S162" s="8">
        <f>141675+41283</f>
        <v>182958</v>
      </c>
      <c r="T162" s="8"/>
      <c r="U162" s="8">
        <v>1723526</v>
      </c>
      <c r="V162" s="8"/>
      <c r="W162" s="8">
        <f t="shared" si="10"/>
        <v>3280026</v>
      </c>
      <c r="X162" s="8"/>
      <c r="Y162" s="9">
        <f t="shared" si="11"/>
        <v>0</v>
      </c>
    </row>
    <row r="163" spans="1:25" ht="12.75" customHeight="1" x14ac:dyDescent="0.2">
      <c r="A163" s="7" t="s">
        <v>176</v>
      </c>
      <c r="B163" s="7"/>
      <c r="C163" s="7" t="s">
        <v>177</v>
      </c>
      <c r="E163" s="8">
        <v>4191392</v>
      </c>
      <c r="F163" s="8"/>
      <c r="G163" s="8">
        <v>6694060</v>
      </c>
      <c r="H163" s="8"/>
      <c r="I163" s="8">
        <v>0</v>
      </c>
      <c r="J163" s="8"/>
      <c r="K163" s="8">
        <v>0</v>
      </c>
      <c r="L163" s="8"/>
      <c r="M163" s="8">
        <v>385467</v>
      </c>
      <c r="N163" s="8"/>
      <c r="O163" s="8">
        <v>1237620</v>
      </c>
      <c r="P163" s="8"/>
      <c r="Q163" s="8">
        <f>199748+2269103</f>
        <v>2468851</v>
      </c>
      <c r="R163" s="8"/>
      <c r="S163" s="8">
        <f>867461+90127</f>
        <v>957588</v>
      </c>
      <c r="T163" s="8"/>
      <c r="U163" s="8">
        <v>1644534</v>
      </c>
      <c r="V163" s="8"/>
      <c r="W163" s="8">
        <f t="shared" si="10"/>
        <v>5070973</v>
      </c>
      <c r="X163" s="8"/>
      <c r="Y163" s="9">
        <f t="shared" si="11"/>
        <v>0</v>
      </c>
    </row>
    <row r="164" spans="1:25" ht="12.75" customHeight="1" x14ac:dyDescent="0.2">
      <c r="A164" s="7" t="s">
        <v>178</v>
      </c>
      <c r="B164" s="7"/>
      <c r="C164" s="7" t="s">
        <v>18</v>
      </c>
      <c r="E164" s="8">
        <f>2844684+20362</f>
        <v>2865046</v>
      </c>
      <c r="F164" s="8"/>
      <c r="G164" s="8">
        <v>4011771</v>
      </c>
      <c r="H164" s="8"/>
      <c r="I164" s="8">
        <v>0</v>
      </c>
      <c r="J164" s="8"/>
      <c r="K164" s="8">
        <v>0</v>
      </c>
      <c r="L164" s="8"/>
      <c r="M164" s="8">
        <v>233587</v>
      </c>
      <c r="N164" s="8"/>
      <c r="O164" s="8">
        <v>989730</v>
      </c>
      <c r="P164" s="8"/>
      <c r="Q164" s="8">
        <f>27882+20362+1518243</f>
        <v>1566487</v>
      </c>
      <c r="R164" s="8"/>
      <c r="S164" s="8">
        <v>502784</v>
      </c>
      <c r="T164" s="8"/>
      <c r="U164" s="8">
        <v>719183</v>
      </c>
      <c r="V164" s="8"/>
      <c r="W164" s="8">
        <f t="shared" si="10"/>
        <v>2788454</v>
      </c>
      <c r="X164" s="8"/>
      <c r="Y164" s="9">
        <f t="shared" si="11"/>
        <v>0</v>
      </c>
    </row>
    <row r="165" spans="1:25" ht="12.75" customHeight="1" x14ac:dyDescent="0.2">
      <c r="A165" s="7" t="s">
        <v>495</v>
      </c>
      <c r="B165" s="10"/>
      <c r="C165" s="7" t="s">
        <v>41</v>
      </c>
      <c r="E165" s="8">
        <f>23293530+82406+116635</f>
        <v>23492571</v>
      </c>
      <c r="F165" s="8"/>
      <c r="G165" s="8">
        <v>36138072</v>
      </c>
      <c r="H165" s="8"/>
      <c r="I165" s="8">
        <v>0</v>
      </c>
      <c r="J165" s="8"/>
      <c r="K165" s="8">
        <v>0</v>
      </c>
      <c r="L165" s="8"/>
      <c r="M165" s="8">
        <v>2659840</v>
      </c>
      <c r="N165" s="8"/>
      <c r="O165" s="8">
        <v>7249951</v>
      </c>
      <c r="P165" s="8"/>
      <c r="Q165" s="8">
        <f>320681+8310185</f>
        <v>8630866</v>
      </c>
      <c r="R165" s="8"/>
      <c r="S165" s="8">
        <f>5467077+2538732</f>
        <v>8005809</v>
      </c>
      <c r="T165" s="8"/>
      <c r="U165" s="8">
        <v>9591606</v>
      </c>
      <c r="V165" s="8"/>
      <c r="W165" s="8">
        <f t="shared" si="10"/>
        <v>26228281</v>
      </c>
      <c r="X165" s="8"/>
      <c r="Y165" s="9">
        <f t="shared" si="11"/>
        <v>0</v>
      </c>
    </row>
    <row r="166" spans="1:25" ht="12.75" customHeight="1" x14ac:dyDescent="0.2">
      <c r="A166" s="7" t="s">
        <v>180</v>
      </c>
      <c r="B166" s="7"/>
      <c r="C166" s="7" t="s">
        <v>181</v>
      </c>
      <c r="E166" s="8">
        <f>930408+72000</f>
        <v>1002408</v>
      </c>
      <c r="F166" s="8"/>
      <c r="G166" s="8">
        <v>4696019</v>
      </c>
      <c r="H166" s="8"/>
      <c r="I166" s="8">
        <v>0</v>
      </c>
      <c r="J166" s="8"/>
      <c r="K166" s="8">
        <v>0</v>
      </c>
      <c r="L166" s="8"/>
      <c r="M166" s="8">
        <v>99012</v>
      </c>
      <c r="N166" s="8"/>
      <c r="O166" s="8">
        <v>3140854</v>
      </c>
      <c r="P166" s="8"/>
      <c r="Q166" s="8">
        <f>55612+2829+2467+194284+428399+483048+21565</f>
        <v>1188204</v>
      </c>
      <c r="R166" s="8"/>
      <c r="S166" s="8">
        <f>120985+1658+24+159</f>
        <v>122826</v>
      </c>
      <c r="T166" s="8"/>
      <c r="U166" s="8">
        <v>145123</v>
      </c>
      <c r="V166" s="8"/>
      <c r="W166" s="8">
        <f t="shared" si="10"/>
        <v>1456153</v>
      </c>
      <c r="X166" s="8"/>
      <c r="Y166" s="9">
        <f t="shared" si="11"/>
        <v>0</v>
      </c>
    </row>
    <row r="167" spans="1:25" ht="12.75" customHeight="1" x14ac:dyDescent="0.2">
      <c r="A167" s="7" t="s">
        <v>481</v>
      </c>
      <c r="B167" s="7"/>
      <c r="C167" s="7" t="s">
        <v>11</v>
      </c>
      <c r="E167" s="8">
        <v>3254245</v>
      </c>
      <c r="F167" s="8"/>
      <c r="G167" s="8">
        <v>7499884</v>
      </c>
      <c r="H167" s="8"/>
      <c r="I167" s="8">
        <v>0</v>
      </c>
      <c r="J167" s="8"/>
      <c r="K167" s="8">
        <v>3791073</v>
      </c>
      <c r="L167" s="8"/>
      <c r="M167" s="8">
        <v>4151877</v>
      </c>
      <c r="N167" s="8"/>
      <c r="O167" s="8">
        <v>0</v>
      </c>
      <c r="P167" s="8"/>
      <c r="Q167" s="8">
        <v>2291622</v>
      </c>
      <c r="R167" s="8"/>
      <c r="S167" s="8">
        <f>141345+167200</f>
        <v>308545</v>
      </c>
      <c r="T167" s="8"/>
      <c r="U167" s="8">
        <v>747840</v>
      </c>
      <c r="V167" s="8"/>
      <c r="W167" s="8">
        <f t="shared" si="10"/>
        <v>3348007</v>
      </c>
      <c r="X167" s="8"/>
      <c r="Y167" s="9">
        <f t="shared" si="11"/>
        <v>0</v>
      </c>
    </row>
    <row r="168" spans="1:25" ht="12.75" customHeight="1" x14ac:dyDescent="0.2">
      <c r="B168" s="7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11" t="s">
        <v>478</v>
      </c>
      <c r="X168" s="8"/>
    </row>
    <row r="169" spans="1:25" ht="12.75" customHeight="1" x14ac:dyDescent="0.2">
      <c r="A169" s="7" t="s">
        <v>182</v>
      </c>
      <c r="B169" s="7"/>
      <c r="C169" s="7" t="s">
        <v>87</v>
      </c>
      <c r="E169" s="40">
        <f>5168074+95685</f>
        <v>5263759</v>
      </c>
      <c r="F169" s="40"/>
      <c r="G169" s="40">
        <v>10090094</v>
      </c>
      <c r="H169" s="40"/>
      <c r="I169" s="40">
        <v>0</v>
      </c>
      <c r="J169" s="40"/>
      <c r="K169" s="40">
        <v>2608975</v>
      </c>
      <c r="L169" s="40"/>
      <c r="M169" s="40">
        <v>3425012</v>
      </c>
      <c r="N169" s="40"/>
      <c r="O169" s="40">
        <v>0</v>
      </c>
      <c r="P169" s="40"/>
      <c r="Q169" s="40">
        <f>221405+3676350</f>
        <v>3897755</v>
      </c>
      <c r="R169" s="40"/>
      <c r="S169" s="40">
        <f>347091+1907073</f>
        <v>2254164</v>
      </c>
      <c r="T169" s="40"/>
      <c r="U169" s="40">
        <v>513163</v>
      </c>
      <c r="V169" s="40"/>
      <c r="W169" s="40">
        <f t="shared" ref="W169:W185" si="12">+U169+S169+Q169</f>
        <v>6665082</v>
      </c>
      <c r="X169" s="8"/>
      <c r="Y169" s="9">
        <f t="shared" ref="Y169:Y185" si="13">+G169-M169-W169+I169-O169</f>
        <v>0</v>
      </c>
    </row>
    <row r="170" spans="1:25" ht="12.75" customHeight="1" x14ac:dyDescent="0.2">
      <c r="A170" s="7" t="s">
        <v>179</v>
      </c>
      <c r="B170" s="7"/>
      <c r="C170" s="7" t="s">
        <v>123</v>
      </c>
      <c r="E170" s="8">
        <f>9494428+175000+228263+14328+627500+408407</f>
        <v>10947926</v>
      </c>
      <c r="F170" s="8"/>
      <c r="G170" s="8">
        <v>28045433</v>
      </c>
      <c r="H170" s="8"/>
      <c r="I170" s="8">
        <v>0</v>
      </c>
      <c r="J170" s="8"/>
      <c r="K170" s="8">
        <v>0</v>
      </c>
      <c r="L170" s="8"/>
      <c r="M170" s="8">
        <v>4886920</v>
      </c>
      <c r="N170" s="8"/>
      <c r="O170" s="8">
        <v>7512185</v>
      </c>
      <c r="P170" s="8"/>
      <c r="Q170" s="8">
        <f>5851040+6551421</f>
        <v>12402461</v>
      </c>
      <c r="R170" s="8"/>
      <c r="S170" s="8">
        <v>1300983</v>
      </c>
      <c r="T170" s="8"/>
      <c r="U170" s="8">
        <v>1942884</v>
      </c>
      <c r="V170" s="8"/>
      <c r="W170" s="8">
        <f t="shared" si="12"/>
        <v>15646328</v>
      </c>
      <c r="X170" s="8"/>
      <c r="Y170" s="9">
        <f t="shared" si="13"/>
        <v>0</v>
      </c>
    </row>
    <row r="171" spans="1:25" ht="12.75" customHeight="1" x14ac:dyDescent="0.2">
      <c r="A171" s="7" t="s">
        <v>183</v>
      </c>
      <c r="B171" s="7"/>
      <c r="C171" s="7" t="s">
        <v>78</v>
      </c>
      <c r="E171" s="8">
        <v>2669814</v>
      </c>
      <c r="F171" s="8"/>
      <c r="G171" s="8">
        <v>13350075</v>
      </c>
      <c r="H171" s="8"/>
      <c r="I171" s="8">
        <v>0</v>
      </c>
      <c r="J171" s="8"/>
      <c r="K171" s="8">
        <v>0</v>
      </c>
      <c r="L171" s="8"/>
      <c r="M171" s="8">
        <v>1389058</v>
      </c>
      <c r="N171" s="8"/>
      <c r="O171" s="8">
        <v>3063054</v>
      </c>
      <c r="P171" s="8"/>
      <c r="Q171" s="8">
        <f>1109961+1836282</f>
        <v>2946243</v>
      </c>
      <c r="R171" s="8"/>
      <c r="S171" s="8">
        <v>2887750</v>
      </c>
      <c r="T171" s="8"/>
      <c r="U171" s="8">
        <v>3063970</v>
      </c>
      <c r="V171" s="8"/>
      <c r="W171" s="8">
        <f t="shared" si="12"/>
        <v>8897963</v>
      </c>
      <c r="X171" s="8"/>
      <c r="Y171" s="9">
        <f t="shared" si="13"/>
        <v>0</v>
      </c>
    </row>
    <row r="172" spans="1:25" ht="12.75" customHeight="1" x14ac:dyDescent="0.2">
      <c r="A172" s="7" t="s">
        <v>184</v>
      </c>
      <c r="B172" s="7"/>
      <c r="C172" s="7" t="s">
        <v>13</v>
      </c>
      <c r="E172" s="8">
        <f>9386543+84632+557000</f>
        <v>10028175</v>
      </c>
      <c r="F172" s="8"/>
      <c r="G172" s="8">
        <v>14716298</v>
      </c>
      <c r="H172" s="8"/>
      <c r="I172" s="8">
        <v>0</v>
      </c>
      <c r="J172" s="8"/>
      <c r="K172" s="8">
        <v>0</v>
      </c>
      <c r="L172" s="8"/>
      <c r="M172" s="8">
        <v>782841</v>
      </c>
      <c r="N172" s="8"/>
      <c r="O172" s="8">
        <v>3686569</v>
      </c>
      <c r="P172" s="8"/>
      <c r="Q172" s="8">
        <f>45484+2502793</f>
        <v>2548277</v>
      </c>
      <c r="R172" s="8"/>
      <c r="S172" s="8">
        <f>5559888+1455511</f>
        <v>7015399</v>
      </c>
      <c r="T172" s="8"/>
      <c r="U172" s="8">
        <v>683212</v>
      </c>
      <c r="V172" s="8"/>
      <c r="W172" s="8">
        <f t="shared" si="12"/>
        <v>10246888</v>
      </c>
      <c r="X172" s="8"/>
      <c r="Y172" s="9">
        <f t="shared" si="13"/>
        <v>0</v>
      </c>
    </row>
    <row r="173" spans="1:25" ht="12.75" customHeight="1" x14ac:dyDescent="0.2">
      <c r="A173" s="7" t="s">
        <v>185</v>
      </c>
      <c r="B173" s="7"/>
      <c r="C173" s="7" t="s">
        <v>25</v>
      </c>
      <c r="E173" s="8">
        <v>13347193</v>
      </c>
      <c r="F173" s="8"/>
      <c r="G173" s="8">
        <v>33091147</v>
      </c>
      <c r="H173" s="8"/>
      <c r="I173" s="8">
        <v>0</v>
      </c>
      <c r="J173" s="8"/>
      <c r="K173" s="8">
        <v>12678925</v>
      </c>
      <c r="L173" s="8"/>
      <c r="M173" s="8">
        <v>15214864</v>
      </c>
      <c r="N173" s="8"/>
      <c r="O173" s="8">
        <v>0</v>
      </c>
      <c r="P173" s="8"/>
      <c r="Q173" s="8">
        <f>1005726+8868220</f>
        <v>9873946</v>
      </c>
      <c r="R173" s="8"/>
      <c r="S173" s="8">
        <f>1920873+1799392</f>
        <v>3720265</v>
      </c>
      <c r="T173" s="8"/>
      <c r="U173" s="8">
        <v>4282072</v>
      </c>
      <c r="V173" s="8"/>
      <c r="W173" s="8">
        <f t="shared" si="12"/>
        <v>17876283</v>
      </c>
      <c r="X173" s="8"/>
      <c r="Y173" s="9">
        <f t="shared" si="13"/>
        <v>0</v>
      </c>
    </row>
    <row r="174" spans="1:25" ht="12.75" customHeight="1" x14ac:dyDescent="0.2">
      <c r="A174" s="7" t="s">
        <v>187</v>
      </c>
      <c r="B174" s="7"/>
      <c r="C174" s="7" t="s">
        <v>15</v>
      </c>
      <c r="E174" s="8">
        <v>11900590</v>
      </c>
      <c r="F174" s="8"/>
      <c r="G174" s="8">
        <v>23331949</v>
      </c>
      <c r="H174" s="8"/>
      <c r="I174" s="8">
        <v>0</v>
      </c>
      <c r="J174" s="8"/>
      <c r="K174" s="8">
        <v>10033892</v>
      </c>
      <c r="L174" s="8"/>
      <c r="M174" s="8">
        <v>11884189</v>
      </c>
      <c r="N174" s="8"/>
      <c r="O174" s="8">
        <v>0</v>
      </c>
      <c r="P174" s="8"/>
      <c r="Q174" s="8">
        <f>49700+5329506</f>
        <v>5379206</v>
      </c>
      <c r="R174" s="8"/>
      <c r="S174" s="8">
        <f>525940+3083563</f>
        <v>3609503</v>
      </c>
      <c r="T174" s="8"/>
      <c r="U174" s="8">
        <v>2459051</v>
      </c>
      <c r="V174" s="8"/>
      <c r="W174" s="8">
        <f t="shared" si="12"/>
        <v>11447760</v>
      </c>
      <c r="X174" s="8"/>
      <c r="Y174" s="9">
        <f t="shared" si="13"/>
        <v>0</v>
      </c>
    </row>
    <row r="175" spans="1:25" ht="12.75" customHeight="1" x14ac:dyDescent="0.2">
      <c r="A175" s="7" t="s">
        <v>186</v>
      </c>
      <c r="B175" s="7"/>
      <c r="C175" s="7" t="s">
        <v>25</v>
      </c>
      <c r="E175" s="8">
        <v>10609030</v>
      </c>
      <c r="F175" s="8"/>
      <c r="G175" s="8">
        <v>25345810</v>
      </c>
      <c r="H175" s="8"/>
      <c r="I175" s="8">
        <v>0</v>
      </c>
      <c r="J175" s="8"/>
      <c r="K175" s="8">
        <v>9137063</v>
      </c>
      <c r="L175" s="8"/>
      <c r="M175" s="8">
        <v>12831024</v>
      </c>
      <c r="N175" s="8"/>
      <c r="O175" s="8">
        <v>0</v>
      </c>
      <c r="P175" s="8"/>
      <c r="Q175" s="8">
        <f>426414+8319367</f>
        <v>8745781</v>
      </c>
      <c r="R175" s="8"/>
      <c r="S175" s="8">
        <f>3214898+435704</f>
        <v>3650602</v>
      </c>
      <c r="T175" s="8"/>
      <c r="U175" s="8">
        <v>118403</v>
      </c>
      <c r="V175" s="8"/>
      <c r="W175" s="8">
        <f t="shared" si="12"/>
        <v>12514786</v>
      </c>
      <c r="X175" s="8"/>
      <c r="Y175" s="9">
        <f t="shared" si="13"/>
        <v>0</v>
      </c>
    </row>
    <row r="176" spans="1:25" ht="12.75" customHeight="1" x14ac:dyDescent="0.2">
      <c r="A176" s="7" t="s">
        <v>188</v>
      </c>
      <c r="B176" s="7"/>
      <c r="C176" s="7" t="s">
        <v>45</v>
      </c>
      <c r="E176" s="8">
        <v>3018310</v>
      </c>
      <c r="F176" s="8"/>
      <c r="G176" s="8">
        <v>9087556</v>
      </c>
      <c r="H176" s="8"/>
      <c r="I176" s="8">
        <v>0</v>
      </c>
      <c r="J176" s="8"/>
      <c r="K176" s="8">
        <v>0</v>
      </c>
      <c r="L176" s="8"/>
      <c r="M176" s="8">
        <v>323783</v>
      </c>
      <c r="N176" s="8"/>
      <c r="O176" s="8">
        <v>1023468</v>
      </c>
      <c r="P176" s="8"/>
      <c r="Q176" s="8">
        <f>101130+1392447</f>
        <v>1493577</v>
      </c>
      <c r="R176" s="8"/>
      <c r="S176" s="8">
        <f>4298751+215</f>
        <v>4298966</v>
      </c>
      <c r="T176" s="8"/>
      <c r="U176" s="8">
        <v>1947762</v>
      </c>
      <c r="V176" s="8"/>
      <c r="W176" s="8">
        <f t="shared" si="12"/>
        <v>7740305</v>
      </c>
      <c r="X176" s="8"/>
      <c r="Y176" s="9">
        <f t="shared" si="13"/>
        <v>0</v>
      </c>
    </row>
    <row r="177" spans="1:25" ht="12.75" customHeight="1" x14ac:dyDescent="0.2">
      <c r="A177" s="7" t="s">
        <v>189</v>
      </c>
      <c r="B177" s="7"/>
      <c r="C177" s="7" t="s">
        <v>11</v>
      </c>
      <c r="E177" s="8">
        <f>7940868+4814+6633</f>
        <v>7952315</v>
      </c>
      <c r="F177" s="8"/>
      <c r="G177" s="8">
        <v>15604252</v>
      </c>
      <c r="H177" s="8"/>
      <c r="I177" s="8">
        <v>0</v>
      </c>
      <c r="J177" s="8"/>
      <c r="K177" s="8">
        <v>0</v>
      </c>
      <c r="L177" s="8"/>
      <c r="M177" s="8">
        <v>706240</v>
      </c>
      <c r="N177" s="8"/>
      <c r="O177" s="8">
        <v>6137984</v>
      </c>
      <c r="P177" s="8"/>
      <c r="Q177" s="8">
        <f>373994+3476965</f>
        <v>3850959</v>
      </c>
      <c r="R177" s="8"/>
      <c r="S177" s="8">
        <f>1296499+575659</f>
        <v>1872158</v>
      </c>
      <c r="T177" s="8"/>
      <c r="U177" s="8">
        <v>3036911</v>
      </c>
      <c r="V177" s="8"/>
      <c r="W177" s="8">
        <f t="shared" si="12"/>
        <v>8760028</v>
      </c>
      <c r="X177" s="8"/>
      <c r="Y177" s="9">
        <f t="shared" si="13"/>
        <v>0</v>
      </c>
    </row>
    <row r="178" spans="1:25" ht="12.75" customHeight="1" x14ac:dyDescent="0.2">
      <c r="A178" s="7" t="s">
        <v>190</v>
      </c>
      <c r="B178" s="7"/>
      <c r="C178" s="7" t="s">
        <v>36</v>
      </c>
      <c r="E178" s="8">
        <f>10030545+5600</f>
        <v>10036145</v>
      </c>
      <c r="F178" s="8"/>
      <c r="G178" s="8">
        <v>14975287</v>
      </c>
      <c r="H178" s="8"/>
      <c r="I178" s="8">
        <v>0</v>
      </c>
      <c r="J178" s="8"/>
      <c r="K178" s="8">
        <v>810859</v>
      </c>
      <c r="L178" s="8"/>
      <c r="M178" s="8">
        <v>2764080</v>
      </c>
      <c r="N178" s="8"/>
      <c r="O178" s="8">
        <v>0</v>
      </c>
      <c r="P178" s="8"/>
      <c r="Q178" s="8">
        <f>12211207-5670793-2992892</f>
        <v>3547522</v>
      </c>
      <c r="R178" s="8"/>
      <c r="S178" s="8">
        <f>139767+45827+5415809+69390</f>
        <v>5670793</v>
      </c>
      <c r="T178" s="8"/>
      <c r="U178" s="8">
        <v>2992892</v>
      </c>
      <c r="V178" s="8"/>
      <c r="W178" s="8">
        <f t="shared" si="12"/>
        <v>12211207</v>
      </c>
      <c r="X178" s="8"/>
      <c r="Y178" s="9">
        <f t="shared" si="13"/>
        <v>0</v>
      </c>
    </row>
    <row r="179" spans="1:25" ht="12.75" customHeight="1" x14ac:dyDescent="0.2">
      <c r="A179" s="7" t="s">
        <v>191</v>
      </c>
      <c r="B179" s="7"/>
      <c r="C179" s="7" t="s">
        <v>43</v>
      </c>
      <c r="E179" s="8">
        <f>1985119+343350+1195643</f>
        <v>3524112</v>
      </c>
      <c r="F179" s="8"/>
      <c r="G179" s="8">
        <v>12040342</v>
      </c>
      <c r="H179" s="8"/>
      <c r="I179" s="8">
        <v>0</v>
      </c>
      <c r="J179" s="8"/>
      <c r="K179" s="8">
        <v>6853747</v>
      </c>
      <c r="L179" s="8"/>
      <c r="M179" s="8">
        <v>8987187</v>
      </c>
      <c r="N179" s="8"/>
      <c r="O179" s="8">
        <v>0</v>
      </c>
      <c r="P179" s="8"/>
      <c r="Q179" s="8">
        <v>2777757</v>
      </c>
      <c r="R179" s="8"/>
      <c r="S179" s="8">
        <f>4821+992648</f>
        <v>997469</v>
      </c>
      <c r="T179" s="8"/>
      <c r="U179" s="8">
        <v>-722071</v>
      </c>
      <c r="V179" s="8"/>
      <c r="W179" s="8">
        <f t="shared" si="12"/>
        <v>3053155</v>
      </c>
      <c r="X179" s="8"/>
      <c r="Y179" s="9">
        <f t="shared" si="13"/>
        <v>0</v>
      </c>
    </row>
    <row r="180" spans="1:25" ht="12.75" customHeight="1" x14ac:dyDescent="0.2">
      <c r="A180" s="7" t="s">
        <v>192</v>
      </c>
      <c r="B180" s="7"/>
      <c r="C180" s="7" t="s">
        <v>64</v>
      </c>
      <c r="E180" s="8">
        <f>9690843+8645</f>
        <v>9699488</v>
      </c>
      <c r="F180" s="8"/>
      <c r="G180" s="8">
        <v>13505768</v>
      </c>
      <c r="H180" s="8"/>
      <c r="I180" s="8">
        <v>0</v>
      </c>
      <c r="J180" s="8"/>
      <c r="K180" s="8">
        <v>0</v>
      </c>
      <c r="L180" s="8"/>
      <c r="M180" s="8">
        <v>3483951</v>
      </c>
      <c r="N180" s="8"/>
      <c r="O180" s="8">
        <v>2735684</v>
      </c>
      <c r="P180" s="8"/>
      <c r="Q180" s="8">
        <f>64211+13615+50000+587100+18839+398340+1156+637963+113167</f>
        <v>1884391</v>
      </c>
      <c r="R180" s="8"/>
      <c r="S180" s="8">
        <f>4365403+48917</f>
        <v>4414320</v>
      </c>
      <c r="T180" s="8"/>
      <c r="U180" s="8">
        <v>987422</v>
      </c>
      <c r="V180" s="8"/>
      <c r="W180" s="8">
        <f t="shared" si="12"/>
        <v>7286133</v>
      </c>
      <c r="X180" s="8"/>
      <c r="Y180" s="9">
        <f t="shared" si="13"/>
        <v>0</v>
      </c>
    </row>
    <row r="181" spans="1:25" ht="12.75" customHeight="1" x14ac:dyDescent="0.2">
      <c r="A181" s="7" t="s">
        <v>193</v>
      </c>
      <c r="B181" s="7"/>
      <c r="C181" s="7" t="s">
        <v>15</v>
      </c>
      <c r="E181" s="8">
        <f>2342181+10534526</f>
        <v>12876707</v>
      </c>
      <c r="F181" s="8"/>
      <c r="G181" s="8">
        <v>16681904</v>
      </c>
      <c r="H181" s="8"/>
      <c r="I181" s="8">
        <v>0</v>
      </c>
      <c r="J181" s="8"/>
      <c r="K181" s="8">
        <v>0</v>
      </c>
      <c r="L181" s="8"/>
      <c r="M181" s="8">
        <v>837921</v>
      </c>
      <c r="N181" s="8"/>
      <c r="O181" s="8">
        <v>1755887</v>
      </c>
      <c r="P181" s="8"/>
      <c r="Q181" s="8">
        <f>116075+2062006</f>
        <v>2178081</v>
      </c>
      <c r="R181" s="8"/>
      <c r="S181" s="8">
        <f>1735771+223991</f>
        <v>1959762</v>
      </c>
      <c r="T181" s="8"/>
      <c r="U181" s="8">
        <v>9950253</v>
      </c>
      <c r="V181" s="8"/>
      <c r="W181" s="8">
        <f t="shared" si="12"/>
        <v>14088096</v>
      </c>
      <c r="X181" s="8"/>
      <c r="Y181" s="9">
        <f t="shared" si="13"/>
        <v>0</v>
      </c>
    </row>
    <row r="182" spans="1:25" ht="12.75" hidden="1" customHeight="1" x14ac:dyDescent="0.2">
      <c r="A182" s="7" t="s">
        <v>194</v>
      </c>
      <c r="B182" s="7"/>
      <c r="C182" s="7" t="s">
        <v>25</v>
      </c>
      <c r="E182" s="8">
        <v>4408382</v>
      </c>
      <c r="F182" s="8"/>
      <c r="G182" s="8">
        <v>11738598</v>
      </c>
      <c r="H182" s="8"/>
      <c r="I182" s="8">
        <v>0</v>
      </c>
      <c r="J182" s="8"/>
      <c r="K182" s="8">
        <v>0</v>
      </c>
      <c r="L182" s="8"/>
      <c r="M182" s="8">
        <v>491468</v>
      </c>
      <c r="N182" s="8"/>
      <c r="O182" s="8">
        <v>6143550</v>
      </c>
      <c r="P182" s="8"/>
      <c r="Q182" s="8">
        <f>106073+2915146</f>
        <v>3021219</v>
      </c>
      <c r="R182" s="8"/>
      <c r="S182" s="8">
        <f>50000+39875</f>
        <v>89875</v>
      </c>
      <c r="T182" s="8"/>
      <c r="U182" s="8">
        <v>1992486</v>
      </c>
      <c r="V182" s="8"/>
      <c r="W182" s="8">
        <f t="shared" si="12"/>
        <v>5103580</v>
      </c>
      <c r="X182" s="8"/>
      <c r="Y182" s="9">
        <f t="shared" si="13"/>
        <v>0</v>
      </c>
    </row>
    <row r="183" spans="1:25" ht="12.75" customHeight="1" x14ac:dyDescent="0.2">
      <c r="A183" s="7" t="s">
        <v>400</v>
      </c>
      <c r="B183" s="7"/>
      <c r="C183" s="7" t="s">
        <v>151</v>
      </c>
      <c r="E183" s="8">
        <f>7338356+24601</f>
        <v>7362957</v>
      </c>
      <c r="F183" s="8"/>
      <c r="G183" s="8">
        <v>10138171</v>
      </c>
      <c r="H183" s="8"/>
      <c r="I183" s="8">
        <v>0</v>
      </c>
      <c r="J183" s="8"/>
      <c r="K183" s="8">
        <v>0</v>
      </c>
      <c r="L183" s="8"/>
      <c r="M183" s="8">
        <v>501208</v>
      </c>
      <c r="N183" s="8"/>
      <c r="O183" s="8">
        <v>1971089</v>
      </c>
      <c r="P183" s="8"/>
      <c r="Q183" s="8">
        <f>185373+1430333</f>
        <v>1615706</v>
      </c>
      <c r="R183" s="8"/>
      <c r="S183" s="8">
        <f>2098191+1996292</f>
        <v>4094483</v>
      </c>
      <c r="T183" s="8"/>
      <c r="U183" s="8">
        <v>1955685</v>
      </c>
      <c r="V183" s="8"/>
      <c r="W183" s="8">
        <f t="shared" si="12"/>
        <v>7665874</v>
      </c>
      <c r="X183" s="8"/>
      <c r="Y183" s="9">
        <f t="shared" si="13"/>
        <v>0</v>
      </c>
    </row>
    <row r="184" spans="1:25" ht="12.75" customHeight="1" x14ac:dyDescent="0.2">
      <c r="A184" s="7" t="s">
        <v>195</v>
      </c>
      <c r="B184" s="7"/>
      <c r="C184" s="7" t="s">
        <v>161</v>
      </c>
      <c r="E184" s="8">
        <f>10980442+43428742</f>
        <v>54409184</v>
      </c>
      <c r="F184" s="8"/>
      <c r="G184" s="8">
        <v>65664921</v>
      </c>
      <c r="H184" s="8"/>
      <c r="I184" s="8">
        <v>0</v>
      </c>
      <c r="J184" s="8"/>
      <c r="K184" s="8">
        <v>0</v>
      </c>
      <c r="L184" s="8"/>
      <c r="M184" s="8">
        <v>1872010</v>
      </c>
      <c r="N184" s="8"/>
      <c r="O184" s="8">
        <v>6581155</v>
      </c>
      <c r="P184" s="8"/>
      <c r="Q184" s="8">
        <f>683482+11524822</f>
        <v>12208304</v>
      </c>
      <c r="R184" s="8"/>
      <c r="S184" s="8">
        <f>6659851+275504</f>
        <v>6935355</v>
      </c>
      <c r="T184" s="8"/>
      <c r="U184" s="8">
        <v>38068097</v>
      </c>
      <c r="V184" s="8"/>
      <c r="W184" s="8">
        <f t="shared" si="12"/>
        <v>57211756</v>
      </c>
      <c r="X184" s="8"/>
      <c r="Y184" s="9">
        <f t="shared" si="13"/>
        <v>0</v>
      </c>
    </row>
    <row r="185" spans="1:25" ht="12.75" customHeight="1" x14ac:dyDescent="0.2">
      <c r="A185" s="7" t="s">
        <v>196</v>
      </c>
      <c r="B185" s="7"/>
      <c r="C185" s="7" t="s">
        <v>197</v>
      </c>
      <c r="E185" s="8">
        <v>6546816</v>
      </c>
      <c r="F185" s="8"/>
      <c r="G185" s="8">
        <v>10112300</v>
      </c>
      <c r="H185" s="8"/>
      <c r="I185" s="8">
        <v>0</v>
      </c>
      <c r="J185" s="8"/>
      <c r="K185" s="8">
        <v>0</v>
      </c>
      <c r="L185" s="8"/>
      <c r="M185" s="8">
        <v>1283105</v>
      </c>
      <c r="N185" s="8"/>
      <c r="O185" s="8">
        <v>1954737</v>
      </c>
      <c r="P185" s="8"/>
      <c r="Q185" s="8">
        <f>93934+1055428</f>
        <v>1149362</v>
      </c>
      <c r="R185" s="8"/>
      <c r="S185" s="8">
        <f>1214063+1806508</f>
        <v>3020571</v>
      </c>
      <c r="T185" s="8"/>
      <c r="U185" s="8">
        <v>2704525</v>
      </c>
      <c r="V185" s="8"/>
      <c r="W185" s="8">
        <f t="shared" si="12"/>
        <v>6874458</v>
      </c>
      <c r="X185" s="8"/>
      <c r="Y185" s="9">
        <f t="shared" si="13"/>
        <v>0</v>
      </c>
    </row>
    <row r="186" spans="1:25" s="9" customFormat="1" ht="12.75" customHeight="1" x14ac:dyDescent="0.2">
      <c r="A186" s="9" t="s">
        <v>198</v>
      </c>
      <c r="C186" s="9" t="s">
        <v>101</v>
      </c>
      <c r="E186" s="8">
        <v>13855475</v>
      </c>
      <c r="F186" s="8"/>
      <c r="G186" s="8">
        <v>19959439</v>
      </c>
      <c r="H186" s="8"/>
      <c r="I186" s="8">
        <v>0</v>
      </c>
      <c r="J186" s="8"/>
      <c r="K186" s="8">
        <v>2785966</v>
      </c>
      <c r="L186" s="8"/>
      <c r="M186" s="8">
        <v>5369316</v>
      </c>
      <c r="N186" s="8"/>
      <c r="O186" s="8">
        <v>0</v>
      </c>
      <c r="P186" s="8"/>
      <c r="Q186" s="8">
        <f>263140+1824166</f>
        <v>2087306</v>
      </c>
      <c r="R186" s="8"/>
      <c r="S186" s="8">
        <v>4719287</v>
      </c>
      <c r="T186" s="8"/>
      <c r="U186" s="8">
        <v>7783530</v>
      </c>
      <c r="V186" s="8"/>
      <c r="W186" s="8">
        <f t="shared" ref="W186:W226" si="14">+U186+S186+Q186</f>
        <v>14590123</v>
      </c>
      <c r="X186" s="40"/>
      <c r="Y186" s="9">
        <f t="shared" ref="Y186:Y217" si="15">+G186-M186-W186+I186-O186</f>
        <v>0</v>
      </c>
    </row>
    <row r="187" spans="1:25" ht="12.75" customHeight="1" x14ac:dyDescent="0.2">
      <c r="A187" s="7" t="s">
        <v>199</v>
      </c>
      <c r="B187" s="7"/>
      <c r="C187" s="7" t="s">
        <v>90</v>
      </c>
      <c r="E187" s="8">
        <f>15167677+1104405</f>
        <v>16272082</v>
      </c>
      <c r="F187" s="8"/>
      <c r="G187" s="8">
        <v>21322268</v>
      </c>
      <c r="H187" s="8"/>
      <c r="I187" s="8">
        <v>0</v>
      </c>
      <c r="J187" s="8"/>
      <c r="K187" s="8">
        <v>0</v>
      </c>
      <c r="L187" s="8"/>
      <c r="M187" s="8">
        <v>3604547</v>
      </c>
      <c r="N187" s="8"/>
      <c r="O187" s="8">
        <v>2219226</v>
      </c>
      <c r="P187" s="8"/>
      <c r="Q187" s="8">
        <f>2120796+7717818</f>
        <v>9838614</v>
      </c>
      <c r="R187" s="8"/>
      <c r="S187" s="8">
        <f>1090045+742007</f>
        <v>1832052</v>
      </c>
      <c r="T187" s="8"/>
      <c r="U187" s="8">
        <v>3827829</v>
      </c>
      <c r="V187" s="8"/>
      <c r="W187" s="8">
        <f t="shared" si="14"/>
        <v>15498495</v>
      </c>
      <c r="X187" s="8"/>
      <c r="Y187" s="9">
        <f t="shared" si="15"/>
        <v>0</v>
      </c>
    </row>
    <row r="188" spans="1:25" ht="12.75" customHeight="1" x14ac:dyDescent="0.2">
      <c r="A188" s="7" t="s">
        <v>200</v>
      </c>
      <c r="B188" s="7"/>
      <c r="C188" s="7" t="s">
        <v>25</v>
      </c>
      <c r="E188" s="8">
        <f>13441817+970965</f>
        <v>14412782</v>
      </c>
      <c r="F188" s="8"/>
      <c r="G188" s="8">
        <v>37766628</v>
      </c>
      <c r="H188" s="8"/>
      <c r="I188" s="8">
        <v>0</v>
      </c>
      <c r="J188" s="8"/>
      <c r="K188" s="8">
        <v>16161594</v>
      </c>
      <c r="L188" s="8"/>
      <c r="M188" s="8">
        <v>21944042</v>
      </c>
      <c r="N188" s="8"/>
      <c r="O188" s="8">
        <v>0</v>
      </c>
      <c r="P188" s="8"/>
      <c r="Q188" s="8">
        <f>107629+6666491</f>
        <v>6774120</v>
      </c>
      <c r="R188" s="8"/>
      <c r="S188" s="8">
        <v>6757436</v>
      </c>
      <c r="T188" s="8"/>
      <c r="U188" s="8">
        <v>2291030</v>
      </c>
      <c r="V188" s="8"/>
      <c r="W188" s="8">
        <f t="shared" si="14"/>
        <v>15822586</v>
      </c>
      <c r="X188" s="8"/>
      <c r="Y188" s="9">
        <f t="shared" si="15"/>
        <v>0</v>
      </c>
    </row>
    <row r="189" spans="1:25" ht="12.75" customHeight="1" x14ac:dyDescent="0.2">
      <c r="A189" s="7" t="s">
        <v>201</v>
      </c>
      <c r="B189" s="7"/>
      <c r="C189" s="7" t="s">
        <v>25</v>
      </c>
      <c r="E189" s="8">
        <v>2978128</v>
      </c>
      <c r="F189" s="8"/>
      <c r="G189" s="8">
        <v>15421440</v>
      </c>
      <c r="H189" s="8"/>
      <c r="I189" s="8">
        <v>0</v>
      </c>
      <c r="J189" s="8"/>
      <c r="K189" s="8">
        <v>10334700</v>
      </c>
      <c r="L189" s="8"/>
      <c r="M189" s="8">
        <v>15056838</v>
      </c>
      <c r="N189" s="8"/>
      <c r="O189" s="8">
        <v>0</v>
      </c>
      <c r="P189" s="8"/>
      <c r="Q189" s="8">
        <f>137030+904416</f>
        <v>1041446</v>
      </c>
      <c r="R189" s="8"/>
      <c r="S189" s="8">
        <f>99232+11086</f>
        <v>110318</v>
      </c>
      <c r="T189" s="8"/>
      <c r="U189" s="8">
        <v>-787162</v>
      </c>
      <c r="V189" s="8"/>
      <c r="W189" s="8">
        <f t="shared" si="14"/>
        <v>364602</v>
      </c>
      <c r="X189" s="8"/>
      <c r="Y189" s="9">
        <f t="shared" si="15"/>
        <v>0</v>
      </c>
    </row>
    <row r="190" spans="1:25" ht="12.75" customHeight="1" x14ac:dyDescent="0.2">
      <c r="A190" s="7" t="s">
        <v>202</v>
      </c>
      <c r="B190" s="7"/>
      <c r="C190" s="7" t="s">
        <v>123</v>
      </c>
      <c r="E190" s="8">
        <f>6461925+172762+39110</f>
        <v>6673797</v>
      </c>
      <c r="F190" s="8"/>
      <c r="G190" s="8">
        <v>10210392</v>
      </c>
      <c r="H190" s="8"/>
      <c r="I190" s="8">
        <v>0</v>
      </c>
      <c r="J190" s="8"/>
      <c r="K190" s="8">
        <v>0</v>
      </c>
      <c r="L190" s="8"/>
      <c r="M190" s="8">
        <v>2197042</v>
      </c>
      <c r="N190" s="8"/>
      <c r="O190" s="8">
        <v>2564959</v>
      </c>
      <c r="P190" s="8"/>
      <c r="Q190" s="8">
        <f>64536+4288119</f>
        <v>4352655</v>
      </c>
      <c r="R190" s="8"/>
      <c r="S190" s="8">
        <f>31809+383681</f>
        <v>415490</v>
      </c>
      <c r="T190" s="8"/>
      <c r="U190" s="8">
        <v>680246</v>
      </c>
      <c r="V190" s="8"/>
      <c r="W190" s="8">
        <f t="shared" si="14"/>
        <v>5448391</v>
      </c>
      <c r="X190" s="8"/>
      <c r="Y190" s="9">
        <f t="shared" si="15"/>
        <v>0</v>
      </c>
    </row>
    <row r="191" spans="1:25" ht="12.75" customHeight="1" x14ac:dyDescent="0.2">
      <c r="A191" s="7" t="s">
        <v>203</v>
      </c>
      <c r="B191" s="7"/>
      <c r="C191" s="7" t="s">
        <v>25</v>
      </c>
      <c r="E191" s="8">
        <v>8108981</v>
      </c>
      <c r="F191" s="8"/>
      <c r="G191" s="8">
        <v>14546071</v>
      </c>
      <c r="H191" s="8"/>
      <c r="I191" s="8">
        <v>0</v>
      </c>
      <c r="J191" s="8"/>
      <c r="K191" s="8">
        <v>0</v>
      </c>
      <c r="L191" s="8"/>
      <c r="M191" s="8">
        <v>978629</v>
      </c>
      <c r="N191" s="8"/>
      <c r="O191" s="8">
        <v>5507014</v>
      </c>
      <c r="P191" s="8"/>
      <c r="Q191" s="8">
        <f>258735+1895896</f>
        <v>2154631</v>
      </c>
      <c r="R191" s="8"/>
      <c r="S191" s="8">
        <v>79812</v>
      </c>
      <c r="T191" s="8"/>
      <c r="U191" s="8">
        <v>5825985</v>
      </c>
      <c r="V191" s="8"/>
      <c r="W191" s="8">
        <f t="shared" si="14"/>
        <v>8060428</v>
      </c>
      <c r="X191" s="8"/>
      <c r="Y191" s="9">
        <f t="shared" si="15"/>
        <v>0</v>
      </c>
    </row>
    <row r="192" spans="1:25" ht="12.75" customHeight="1" x14ac:dyDescent="0.2">
      <c r="A192" s="7" t="s">
        <v>204</v>
      </c>
      <c r="B192" s="7"/>
      <c r="C192" s="7" t="s">
        <v>45</v>
      </c>
      <c r="E192" s="8">
        <v>4585381</v>
      </c>
      <c r="F192" s="8"/>
      <c r="G192" s="8">
        <v>18861678</v>
      </c>
      <c r="H192" s="8"/>
      <c r="I192" s="8">
        <v>0</v>
      </c>
      <c r="J192" s="8"/>
      <c r="K192" s="8">
        <v>0</v>
      </c>
      <c r="L192" s="8"/>
      <c r="M192" s="8">
        <v>1983194</v>
      </c>
      <c r="N192" s="8"/>
      <c r="O192" s="8">
        <v>4319094</v>
      </c>
      <c r="P192" s="8"/>
      <c r="Q192" s="8">
        <f>637887+3019085</f>
        <v>3656972</v>
      </c>
      <c r="R192" s="8"/>
      <c r="S192" s="8">
        <f>1738001+175228</f>
        <v>1913229</v>
      </c>
      <c r="T192" s="8"/>
      <c r="U192" s="8">
        <v>6989189</v>
      </c>
      <c r="V192" s="8"/>
      <c r="W192" s="8">
        <f t="shared" si="14"/>
        <v>12559390</v>
      </c>
      <c r="X192" s="8"/>
      <c r="Y192" s="9">
        <f t="shared" si="15"/>
        <v>0</v>
      </c>
    </row>
    <row r="193" spans="1:25" ht="12.75" customHeight="1" x14ac:dyDescent="0.2">
      <c r="A193" s="7" t="s">
        <v>205</v>
      </c>
      <c r="B193" s="7"/>
      <c r="C193" s="7" t="s">
        <v>100</v>
      </c>
      <c r="E193" s="8">
        <f>5726761+269970</f>
        <v>5996731</v>
      </c>
      <c r="F193" s="8"/>
      <c r="G193" s="8">
        <v>10758316</v>
      </c>
      <c r="H193" s="8"/>
      <c r="I193" s="8">
        <v>0</v>
      </c>
      <c r="J193" s="8"/>
      <c r="K193" s="8">
        <v>0</v>
      </c>
      <c r="L193" s="8"/>
      <c r="M193" s="8">
        <v>713472</v>
      </c>
      <c r="N193" s="8"/>
      <c r="O193" s="8">
        <v>3926219</v>
      </c>
      <c r="P193" s="8"/>
      <c r="Q193" s="8">
        <f>177745+1565488</f>
        <v>1743233</v>
      </c>
      <c r="R193" s="8"/>
      <c r="S193" s="8">
        <f>1080264+641911</f>
        <v>1722175</v>
      </c>
      <c r="T193" s="8"/>
      <c r="U193" s="8">
        <v>2653217</v>
      </c>
      <c r="V193" s="8"/>
      <c r="W193" s="8">
        <f t="shared" si="14"/>
        <v>6118625</v>
      </c>
      <c r="X193" s="8"/>
      <c r="Y193" s="9">
        <f t="shared" si="15"/>
        <v>0</v>
      </c>
    </row>
    <row r="194" spans="1:25" ht="12.75" customHeight="1" x14ac:dyDescent="0.2">
      <c r="A194" s="7" t="s">
        <v>206</v>
      </c>
      <c r="B194" s="7"/>
      <c r="C194" s="7" t="s">
        <v>207</v>
      </c>
      <c r="E194" s="8">
        <f>13963002+2611056</f>
        <v>16574058</v>
      </c>
      <c r="F194" s="8"/>
      <c r="G194" s="8">
        <v>31564589</v>
      </c>
      <c r="H194" s="8"/>
      <c r="I194" s="8">
        <v>0</v>
      </c>
      <c r="J194" s="8"/>
      <c r="K194" s="8">
        <v>0</v>
      </c>
      <c r="L194" s="8"/>
      <c r="M194" s="8">
        <v>1346502</v>
      </c>
      <c r="N194" s="8"/>
      <c r="O194" s="8">
        <v>3028454</v>
      </c>
      <c r="P194" s="8"/>
      <c r="Q194" s="8">
        <f>9807303+6232897</f>
        <v>16040200</v>
      </c>
      <c r="R194" s="8"/>
      <c r="S194" s="8">
        <v>3859340</v>
      </c>
      <c r="T194" s="8"/>
      <c r="U194" s="8">
        <v>7290093</v>
      </c>
      <c r="V194" s="8"/>
      <c r="W194" s="8">
        <f t="shared" si="14"/>
        <v>27189633</v>
      </c>
      <c r="X194" s="8"/>
      <c r="Y194" s="9">
        <f t="shared" si="15"/>
        <v>0</v>
      </c>
    </row>
    <row r="195" spans="1:25" ht="12.75" customHeight="1" x14ac:dyDescent="0.2">
      <c r="A195" s="7" t="s">
        <v>208</v>
      </c>
      <c r="B195" s="7"/>
      <c r="C195" s="7" t="s">
        <v>209</v>
      </c>
      <c r="E195" s="8">
        <v>2169983</v>
      </c>
      <c r="F195" s="8"/>
      <c r="G195" s="8">
        <v>5297609</v>
      </c>
      <c r="H195" s="8"/>
      <c r="I195" s="8">
        <v>0</v>
      </c>
      <c r="J195" s="8"/>
      <c r="K195" s="8">
        <v>0</v>
      </c>
      <c r="L195" s="8"/>
      <c r="M195" s="8">
        <v>270161</v>
      </c>
      <c r="N195" s="8"/>
      <c r="O195" s="8">
        <v>1768602</v>
      </c>
      <c r="P195" s="8"/>
      <c r="Q195" s="8">
        <f>45132+2147453</f>
        <v>2192585</v>
      </c>
      <c r="R195" s="8"/>
      <c r="S195" s="8">
        <v>41525</v>
      </c>
      <c r="T195" s="8"/>
      <c r="U195" s="8">
        <v>1024736</v>
      </c>
      <c r="V195" s="8"/>
      <c r="W195" s="8">
        <f t="shared" si="14"/>
        <v>3258846</v>
      </c>
      <c r="X195" s="8"/>
      <c r="Y195" s="9">
        <f t="shared" si="15"/>
        <v>0</v>
      </c>
    </row>
    <row r="196" spans="1:25" ht="12.75" customHeight="1" x14ac:dyDescent="0.2">
      <c r="A196" s="7" t="s">
        <v>210</v>
      </c>
      <c r="B196" s="7"/>
      <c r="C196" s="7" t="s">
        <v>211</v>
      </c>
      <c r="E196" s="8">
        <f>2331336+174063</f>
        <v>2505399</v>
      </c>
      <c r="F196" s="8"/>
      <c r="G196" s="8">
        <v>11249936</v>
      </c>
      <c r="H196" s="8"/>
      <c r="I196" s="8">
        <v>0</v>
      </c>
      <c r="J196" s="8"/>
      <c r="K196" s="8">
        <v>0</v>
      </c>
      <c r="L196" s="8"/>
      <c r="M196" s="8">
        <v>2425411</v>
      </c>
      <c r="N196" s="8"/>
      <c r="O196" s="8">
        <v>4824647</v>
      </c>
      <c r="P196" s="8"/>
      <c r="Q196" s="8">
        <f>88923+4425786</f>
        <v>4514709</v>
      </c>
      <c r="R196" s="8"/>
      <c r="S196" s="8">
        <v>132861</v>
      </c>
      <c r="T196" s="8"/>
      <c r="U196" s="8">
        <v>-647692</v>
      </c>
      <c r="V196" s="8"/>
      <c r="W196" s="8">
        <f t="shared" si="14"/>
        <v>3999878</v>
      </c>
      <c r="X196" s="8"/>
      <c r="Y196" s="9">
        <f t="shared" si="15"/>
        <v>0</v>
      </c>
    </row>
    <row r="197" spans="1:25" ht="12.75" customHeight="1" x14ac:dyDescent="0.2">
      <c r="A197" s="7" t="s">
        <v>212</v>
      </c>
      <c r="B197" s="7"/>
      <c r="C197" s="7" t="s">
        <v>84</v>
      </c>
      <c r="E197" s="8">
        <v>9109098</v>
      </c>
      <c r="F197" s="8"/>
      <c r="G197" s="8">
        <v>13321434</v>
      </c>
      <c r="H197" s="8"/>
      <c r="I197" s="8">
        <v>0</v>
      </c>
      <c r="J197" s="8"/>
      <c r="K197" s="8">
        <v>0</v>
      </c>
      <c r="L197" s="8"/>
      <c r="M197" s="8">
        <v>227105</v>
      </c>
      <c r="N197" s="8"/>
      <c r="O197" s="8">
        <v>3734958</v>
      </c>
      <c r="P197" s="8"/>
      <c r="Q197" s="8">
        <f>81026+4636+1824506</f>
        <v>1910168</v>
      </c>
      <c r="R197" s="8"/>
      <c r="S197" s="8">
        <f>271829+386652</f>
        <v>658481</v>
      </c>
      <c r="T197" s="8"/>
      <c r="U197" s="8">
        <v>6790722</v>
      </c>
      <c r="V197" s="8"/>
      <c r="W197" s="8">
        <f t="shared" si="14"/>
        <v>9359371</v>
      </c>
      <c r="X197" s="8"/>
      <c r="Y197" s="9">
        <f t="shared" si="15"/>
        <v>0</v>
      </c>
    </row>
    <row r="198" spans="1:25" ht="12.75" customHeight="1" x14ac:dyDescent="0.2">
      <c r="A198" s="7" t="s">
        <v>213</v>
      </c>
      <c r="B198" s="7"/>
      <c r="C198" s="7" t="s">
        <v>20</v>
      </c>
      <c r="E198" s="8">
        <f>5919132+2937</f>
        <v>5922069</v>
      </c>
      <c r="F198" s="8"/>
      <c r="G198" s="8">
        <v>16837580</v>
      </c>
      <c r="H198" s="8"/>
      <c r="I198" s="8">
        <v>0</v>
      </c>
      <c r="J198" s="8"/>
      <c r="K198" s="8">
        <v>0</v>
      </c>
      <c r="L198" s="8"/>
      <c r="M198" s="8">
        <v>824400</v>
      </c>
      <c r="N198" s="8"/>
      <c r="O198" s="8">
        <v>2472602</v>
      </c>
      <c r="P198" s="8"/>
      <c r="Q198" s="8">
        <f>160321+8689775</f>
        <v>8850096</v>
      </c>
      <c r="R198" s="8"/>
      <c r="S198" s="8">
        <f>2181872+777581</f>
        <v>2959453</v>
      </c>
      <c r="T198" s="8"/>
      <c r="U198" s="8">
        <v>1731029</v>
      </c>
      <c r="V198" s="8"/>
      <c r="W198" s="8">
        <f t="shared" si="14"/>
        <v>13540578</v>
      </c>
      <c r="X198" s="8"/>
      <c r="Y198" s="9">
        <f t="shared" si="15"/>
        <v>0</v>
      </c>
    </row>
    <row r="199" spans="1:25" ht="12.75" customHeight="1" x14ac:dyDescent="0.2">
      <c r="A199" s="7" t="s">
        <v>214</v>
      </c>
      <c r="B199" s="7"/>
      <c r="C199" s="7" t="s">
        <v>43</v>
      </c>
      <c r="E199" s="8">
        <v>1665794</v>
      </c>
      <c r="F199" s="8"/>
      <c r="G199" s="8">
        <v>6774938</v>
      </c>
      <c r="H199" s="8"/>
      <c r="I199" s="8">
        <v>0</v>
      </c>
      <c r="J199" s="8"/>
      <c r="K199" s="8">
        <v>1981334</v>
      </c>
      <c r="L199" s="8"/>
      <c r="M199" s="8">
        <v>4026808</v>
      </c>
      <c r="N199" s="8"/>
      <c r="O199" s="8">
        <v>0</v>
      </c>
      <c r="P199" s="8"/>
      <c r="Q199" s="8">
        <v>2669777</v>
      </c>
      <c r="R199" s="8"/>
      <c r="S199" s="8">
        <v>0</v>
      </c>
      <c r="T199" s="8"/>
      <c r="U199" s="8">
        <v>78353</v>
      </c>
      <c r="V199" s="8"/>
      <c r="W199" s="8">
        <f t="shared" si="14"/>
        <v>2748130</v>
      </c>
      <c r="X199" s="8"/>
      <c r="Y199" s="9">
        <f t="shared" si="15"/>
        <v>0</v>
      </c>
    </row>
    <row r="200" spans="1:25" ht="12.75" customHeight="1" x14ac:dyDescent="0.2">
      <c r="A200" s="7" t="s">
        <v>215</v>
      </c>
      <c r="B200" s="7"/>
      <c r="C200" s="7" t="s">
        <v>41</v>
      </c>
      <c r="E200" s="8">
        <f>7310122+8688295+270788+342342</f>
        <v>16611547</v>
      </c>
      <c r="F200" s="8"/>
      <c r="G200" s="8">
        <v>22228649</v>
      </c>
      <c r="H200" s="8"/>
      <c r="I200" s="8">
        <v>0</v>
      </c>
      <c r="J200" s="8"/>
      <c r="K200" s="8">
        <v>0</v>
      </c>
      <c r="L200" s="8"/>
      <c r="M200" s="8">
        <v>2245469</v>
      </c>
      <c r="N200" s="8"/>
      <c r="O200" s="8">
        <v>3125282</v>
      </c>
      <c r="P200" s="8"/>
      <c r="Q200" s="8">
        <f>230664+5613405</f>
        <v>5844069</v>
      </c>
      <c r="R200" s="8"/>
      <c r="S200" s="8">
        <f>3261603+4584346</f>
        <v>7845949</v>
      </c>
      <c r="T200" s="8"/>
      <c r="U200" s="8">
        <v>3167880</v>
      </c>
      <c r="V200" s="8"/>
      <c r="W200" s="8">
        <f t="shared" si="14"/>
        <v>16857898</v>
      </c>
      <c r="X200" s="8"/>
      <c r="Y200" s="9">
        <f t="shared" si="15"/>
        <v>0</v>
      </c>
    </row>
    <row r="201" spans="1:25" ht="12.75" customHeight="1" x14ac:dyDescent="0.2">
      <c r="A201" s="7" t="s">
        <v>216</v>
      </c>
      <c r="B201" s="7"/>
      <c r="C201" s="7" t="s">
        <v>25</v>
      </c>
      <c r="E201" s="8">
        <v>2072183</v>
      </c>
      <c r="F201" s="8"/>
      <c r="G201" s="8">
        <v>14684232</v>
      </c>
      <c r="H201" s="8"/>
      <c r="I201" s="8">
        <v>0</v>
      </c>
      <c r="J201" s="8"/>
      <c r="K201" s="8">
        <v>0</v>
      </c>
      <c r="L201" s="8"/>
      <c r="M201" s="8">
        <v>1172178</v>
      </c>
      <c r="N201" s="8"/>
      <c r="O201" s="8">
        <v>10704654</v>
      </c>
      <c r="P201" s="8"/>
      <c r="Q201" s="8">
        <f>94810+1176947</f>
        <v>1271757</v>
      </c>
      <c r="R201" s="8"/>
      <c r="S201" s="8">
        <f>789193+206175</f>
        <v>995368</v>
      </c>
      <c r="T201" s="8"/>
      <c r="U201" s="8">
        <v>540275</v>
      </c>
      <c r="V201" s="8"/>
      <c r="W201" s="8">
        <f t="shared" si="14"/>
        <v>2807400</v>
      </c>
      <c r="X201" s="8"/>
      <c r="Y201" s="9">
        <f t="shared" si="15"/>
        <v>0</v>
      </c>
    </row>
    <row r="202" spans="1:25" ht="12.75" customHeight="1" x14ac:dyDescent="0.2">
      <c r="A202" s="7" t="s">
        <v>217</v>
      </c>
      <c r="B202" s="7"/>
      <c r="C202" s="7" t="s">
        <v>197</v>
      </c>
      <c r="E202" s="8">
        <f>1662514+2841</f>
        <v>1665355</v>
      </c>
      <c r="F202" s="8"/>
      <c r="G202" s="8">
        <v>3683796</v>
      </c>
      <c r="H202" s="8"/>
      <c r="I202" s="8">
        <v>0</v>
      </c>
      <c r="J202" s="8"/>
      <c r="K202" s="8">
        <v>0</v>
      </c>
      <c r="L202" s="8"/>
      <c r="M202" s="8">
        <v>342983</v>
      </c>
      <c r="N202" s="8"/>
      <c r="O202" s="8">
        <v>1507724</v>
      </c>
      <c r="P202" s="8"/>
      <c r="Q202" s="8">
        <f>31128+1026578</f>
        <v>1057706</v>
      </c>
      <c r="R202" s="8"/>
      <c r="S202" s="8">
        <f>5945+259253</f>
        <v>265198</v>
      </c>
      <c r="T202" s="8"/>
      <c r="U202" s="8">
        <v>510185</v>
      </c>
      <c r="V202" s="8"/>
      <c r="W202" s="8">
        <f t="shared" si="14"/>
        <v>1833089</v>
      </c>
      <c r="X202" s="8"/>
      <c r="Y202" s="9">
        <f t="shared" si="15"/>
        <v>0</v>
      </c>
    </row>
    <row r="203" spans="1:25" ht="12.75" customHeight="1" x14ac:dyDescent="0.2">
      <c r="A203" s="7" t="s">
        <v>218</v>
      </c>
      <c r="B203" s="7"/>
      <c r="C203" s="7" t="s">
        <v>64</v>
      </c>
      <c r="E203" s="8">
        <f>9565699+366533</f>
        <v>9932232</v>
      </c>
      <c r="F203" s="8"/>
      <c r="G203" s="8">
        <v>15436998</v>
      </c>
      <c r="H203" s="8"/>
      <c r="I203" s="8">
        <v>0</v>
      </c>
      <c r="J203" s="8"/>
      <c r="K203" s="8">
        <v>0</v>
      </c>
      <c r="L203" s="8"/>
      <c r="M203" s="8">
        <v>990587</v>
      </c>
      <c r="N203" s="8"/>
      <c r="O203" s="8">
        <v>4464011</v>
      </c>
      <c r="P203" s="8"/>
      <c r="Q203" s="8">
        <f>72784+1760209</f>
        <v>1832993</v>
      </c>
      <c r="R203" s="8"/>
      <c r="S203" s="8">
        <f>855+226875</f>
        <v>227730</v>
      </c>
      <c r="T203" s="8"/>
      <c r="U203" s="8">
        <v>7921677</v>
      </c>
      <c r="V203" s="8"/>
      <c r="W203" s="8">
        <f t="shared" si="14"/>
        <v>9982400</v>
      </c>
      <c r="X203" s="8"/>
      <c r="Y203" s="9">
        <f t="shared" si="15"/>
        <v>0</v>
      </c>
    </row>
    <row r="204" spans="1:25" ht="12.75" customHeight="1" x14ac:dyDescent="0.2">
      <c r="A204" s="7" t="s">
        <v>219</v>
      </c>
      <c r="B204" s="7"/>
      <c r="C204" s="7" t="s">
        <v>25</v>
      </c>
      <c r="E204" s="8">
        <f>11636196+1943</f>
        <v>11638139</v>
      </c>
      <c r="F204" s="8"/>
      <c r="G204" s="8">
        <v>24703004</v>
      </c>
      <c r="H204" s="8"/>
      <c r="I204" s="8">
        <v>0</v>
      </c>
      <c r="J204" s="8"/>
      <c r="K204" s="8">
        <v>9853357</v>
      </c>
      <c r="L204" s="8"/>
      <c r="M204" s="8">
        <v>12443956</v>
      </c>
      <c r="N204" s="8"/>
      <c r="O204" s="8">
        <v>0</v>
      </c>
      <c r="P204" s="8"/>
      <c r="Q204" s="8">
        <f>174050+8233110</f>
        <v>8407160</v>
      </c>
      <c r="R204" s="8"/>
      <c r="S204" s="8">
        <v>2530242</v>
      </c>
      <c r="T204" s="8"/>
      <c r="U204" s="8">
        <v>1321646</v>
      </c>
      <c r="V204" s="8"/>
      <c r="W204" s="8">
        <f t="shared" si="14"/>
        <v>12259048</v>
      </c>
      <c r="X204" s="8"/>
      <c r="Y204" s="9">
        <f t="shared" si="15"/>
        <v>0</v>
      </c>
    </row>
    <row r="205" spans="1:25" ht="12.75" customHeight="1" x14ac:dyDescent="0.2">
      <c r="A205" s="7" t="s">
        <v>220</v>
      </c>
      <c r="B205" s="7"/>
      <c r="C205" s="7" t="s">
        <v>45</v>
      </c>
      <c r="E205" s="8">
        <v>9537844</v>
      </c>
      <c r="F205" s="8"/>
      <c r="G205" s="8">
        <v>13994194</v>
      </c>
      <c r="H205" s="8"/>
      <c r="I205" s="8">
        <v>0</v>
      </c>
      <c r="J205" s="8"/>
      <c r="K205" s="8">
        <v>0</v>
      </c>
      <c r="L205" s="8"/>
      <c r="M205" s="8">
        <v>380628</v>
      </c>
      <c r="N205" s="8"/>
      <c r="O205" s="8">
        <v>3541032</v>
      </c>
      <c r="P205" s="8"/>
      <c r="Q205" s="8">
        <f>142394+4637731</f>
        <v>4780125</v>
      </c>
      <c r="R205" s="8"/>
      <c r="S205" s="8">
        <v>1256275</v>
      </c>
      <c r="T205" s="8"/>
      <c r="U205" s="8">
        <v>4036134</v>
      </c>
      <c r="V205" s="8"/>
      <c r="W205" s="8">
        <f t="shared" si="14"/>
        <v>10072534</v>
      </c>
      <c r="X205" s="8"/>
      <c r="Y205" s="9">
        <f t="shared" si="15"/>
        <v>0</v>
      </c>
    </row>
    <row r="206" spans="1:25" ht="12.75" customHeight="1" x14ac:dyDescent="0.2">
      <c r="A206" s="7" t="s">
        <v>221</v>
      </c>
      <c r="B206" s="7"/>
      <c r="C206" s="7" t="s">
        <v>92</v>
      </c>
      <c r="E206" s="8">
        <f>4022534+1430</f>
        <v>4023964</v>
      </c>
      <c r="F206" s="8"/>
      <c r="G206" s="8">
        <v>7402084</v>
      </c>
      <c r="H206" s="8"/>
      <c r="I206" s="8">
        <v>0</v>
      </c>
      <c r="J206" s="8"/>
      <c r="K206" s="8">
        <v>0</v>
      </c>
      <c r="L206" s="8"/>
      <c r="M206" s="8">
        <v>2552243</v>
      </c>
      <c r="N206" s="8"/>
      <c r="O206" s="8">
        <v>2414792</v>
      </c>
      <c r="P206" s="8"/>
      <c r="Q206" s="8">
        <f>139603+1012455</f>
        <v>1152058</v>
      </c>
      <c r="R206" s="8"/>
      <c r="S206" s="8">
        <f>404119+2929</f>
        <v>407048</v>
      </c>
      <c r="T206" s="8"/>
      <c r="U206" s="8">
        <v>875943</v>
      </c>
      <c r="V206" s="8"/>
      <c r="W206" s="8">
        <f t="shared" si="14"/>
        <v>2435049</v>
      </c>
      <c r="X206" s="8"/>
      <c r="Y206" s="9">
        <f t="shared" si="15"/>
        <v>0</v>
      </c>
    </row>
    <row r="207" spans="1:25" ht="12.75" customHeight="1" x14ac:dyDescent="0.2">
      <c r="A207" s="7" t="s">
        <v>74</v>
      </c>
      <c r="B207" s="7"/>
      <c r="C207" s="7" t="s">
        <v>130</v>
      </c>
      <c r="E207" s="8">
        <f>10224615+28580+544382</f>
        <v>10797577</v>
      </c>
      <c r="F207" s="8"/>
      <c r="G207" s="8">
        <v>25271627</v>
      </c>
      <c r="H207" s="8"/>
      <c r="I207" s="8">
        <v>0</v>
      </c>
      <c r="J207" s="8"/>
      <c r="K207" s="8">
        <v>0</v>
      </c>
      <c r="L207" s="8"/>
      <c r="M207" s="8">
        <v>7647608</v>
      </c>
      <c r="N207" s="8"/>
      <c r="O207" s="8">
        <v>11341611</v>
      </c>
      <c r="P207" s="8"/>
      <c r="Q207" s="8">
        <f>359536+5117809</f>
        <v>5477345</v>
      </c>
      <c r="R207" s="8"/>
      <c r="S207" s="8">
        <f>61240+100273</f>
        <v>161513</v>
      </c>
      <c r="T207" s="8"/>
      <c r="U207" s="8">
        <v>643550</v>
      </c>
      <c r="V207" s="8"/>
      <c r="W207" s="8">
        <f t="shared" si="14"/>
        <v>6282408</v>
      </c>
      <c r="X207" s="8"/>
      <c r="Y207" s="9">
        <f t="shared" si="15"/>
        <v>0</v>
      </c>
    </row>
    <row r="208" spans="1:25" ht="12.75" customHeight="1" x14ac:dyDescent="0.2">
      <c r="A208" s="7" t="s">
        <v>222</v>
      </c>
      <c r="B208" s="7"/>
      <c r="C208" s="7" t="s">
        <v>25</v>
      </c>
      <c r="E208" s="8">
        <v>5226961</v>
      </c>
      <c r="F208" s="8"/>
      <c r="G208" s="8">
        <v>13756111</v>
      </c>
      <c r="H208" s="8"/>
      <c r="I208" s="8">
        <v>0</v>
      </c>
      <c r="J208" s="8"/>
      <c r="K208" s="8">
        <v>0</v>
      </c>
      <c r="L208" s="8"/>
      <c r="M208" s="8">
        <v>2376680</v>
      </c>
      <c r="N208" s="8"/>
      <c r="O208" s="8">
        <v>6714828</v>
      </c>
      <c r="P208" s="8"/>
      <c r="Q208" s="8">
        <f>68624+2223145</f>
        <v>2291769</v>
      </c>
      <c r="R208" s="8"/>
      <c r="S208" s="8">
        <f>344157+958613</f>
        <v>1302770</v>
      </c>
      <c r="T208" s="8"/>
      <c r="U208" s="8">
        <v>1070064</v>
      </c>
      <c r="V208" s="8"/>
      <c r="W208" s="8">
        <f t="shared" si="14"/>
        <v>4664603</v>
      </c>
      <c r="X208" s="8"/>
      <c r="Y208" s="9">
        <f t="shared" si="15"/>
        <v>0</v>
      </c>
    </row>
    <row r="209" spans="1:25" ht="12.75" customHeight="1" x14ac:dyDescent="0.2">
      <c r="A209" s="7" t="s">
        <v>223</v>
      </c>
      <c r="B209" s="7"/>
      <c r="C209" s="7" t="s">
        <v>25</v>
      </c>
      <c r="E209" s="8">
        <v>33215014</v>
      </c>
      <c r="F209" s="8"/>
      <c r="G209" s="8">
        <v>57579485</v>
      </c>
      <c r="H209" s="8"/>
      <c r="I209" s="8">
        <v>0</v>
      </c>
      <c r="J209" s="8"/>
      <c r="K209" s="8">
        <v>17396017</v>
      </c>
      <c r="L209" s="8"/>
      <c r="M209" s="8">
        <v>20602106</v>
      </c>
      <c r="N209" s="8"/>
      <c r="O209" s="8">
        <v>0</v>
      </c>
      <c r="P209" s="8"/>
      <c r="Q209" s="8">
        <f>195565+3783070</f>
        <v>3978635</v>
      </c>
      <c r="R209" s="8"/>
      <c r="S209" s="8">
        <f>14084712+12451743</f>
        <v>26536455</v>
      </c>
      <c r="T209" s="8"/>
      <c r="U209" s="8">
        <v>6462289</v>
      </c>
      <c r="V209" s="8"/>
      <c r="W209" s="8">
        <f t="shared" si="14"/>
        <v>36977379</v>
      </c>
      <c r="X209" s="8"/>
      <c r="Y209" s="9">
        <f t="shared" si="15"/>
        <v>0</v>
      </c>
    </row>
    <row r="210" spans="1:25" ht="12.75" customHeight="1" x14ac:dyDescent="0.2">
      <c r="A210" s="7" t="s">
        <v>224</v>
      </c>
      <c r="B210" s="7"/>
      <c r="C210" s="7" t="s">
        <v>43</v>
      </c>
      <c r="E210" s="8">
        <v>14622869</v>
      </c>
      <c r="F210" s="8"/>
      <c r="G210" s="8">
        <v>22884011</v>
      </c>
      <c r="H210" s="8"/>
      <c r="I210" s="8">
        <v>0</v>
      </c>
      <c r="J210" s="8"/>
      <c r="K210" s="8">
        <v>0</v>
      </c>
      <c r="L210" s="8"/>
      <c r="M210" s="8">
        <v>6006569</v>
      </c>
      <c r="N210" s="8"/>
      <c r="O210" s="8">
        <v>4332812</v>
      </c>
      <c r="P210" s="8"/>
      <c r="Q210" s="8">
        <f>171431+5691440</f>
        <v>5862871</v>
      </c>
      <c r="R210" s="8"/>
      <c r="S210" s="8">
        <f>1253440+405917</f>
        <v>1659357</v>
      </c>
      <c r="T210" s="8"/>
      <c r="U210" s="8">
        <v>5022402</v>
      </c>
      <c r="V210" s="8"/>
      <c r="W210" s="8">
        <f t="shared" si="14"/>
        <v>12544630</v>
      </c>
      <c r="X210" s="8"/>
      <c r="Y210" s="9">
        <f t="shared" si="15"/>
        <v>0</v>
      </c>
    </row>
    <row r="211" spans="1:25" s="9" customFormat="1" ht="12.75" customHeight="1" x14ac:dyDescent="0.2">
      <c r="A211" s="9" t="s">
        <v>225</v>
      </c>
      <c r="C211" s="9" t="s">
        <v>15</v>
      </c>
      <c r="E211" s="8">
        <v>1099839</v>
      </c>
      <c r="F211" s="8"/>
      <c r="G211" s="8">
        <v>8751944</v>
      </c>
      <c r="H211" s="8"/>
      <c r="I211" s="8">
        <v>0</v>
      </c>
      <c r="J211" s="8"/>
      <c r="K211" s="8">
        <v>3243734</v>
      </c>
      <c r="L211" s="8"/>
      <c r="M211" s="8">
        <v>6757743</v>
      </c>
      <c r="N211" s="8"/>
      <c r="O211" s="8">
        <v>0</v>
      </c>
      <c r="P211" s="8"/>
      <c r="Q211" s="8">
        <f>36740+1236505</f>
        <v>1273245</v>
      </c>
      <c r="R211" s="8"/>
      <c r="S211" s="8">
        <v>213095</v>
      </c>
      <c r="T211" s="8"/>
      <c r="U211" s="8">
        <v>507861</v>
      </c>
      <c r="V211" s="8"/>
      <c r="W211" s="8">
        <f t="shared" si="14"/>
        <v>1994201</v>
      </c>
      <c r="X211" s="8"/>
      <c r="Y211" s="9">
        <f t="shared" si="15"/>
        <v>0</v>
      </c>
    </row>
    <row r="212" spans="1:25" ht="12.75" customHeight="1" x14ac:dyDescent="0.2">
      <c r="A212" s="7" t="s">
        <v>226</v>
      </c>
      <c r="B212" s="7"/>
      <c r="C212" s="7" t="s">
        <v>151</v>
      </c>
      <c r="E212" s="8">
        <f>9210201+26011</f>
        <v>9236212</v>
      </c>
      <c r="F212" s="8"/>
      <c r="G212" s="8">
        <v>11229343</v>
      </c>
      <c r="H212" s="8"/>
      <c r="I212" s="8">
        <v>0</v>
      </c>
      <c r="J212" s="8"/>
      <c r="K212" s="8">
        <v>1145718</v>
      </c>
      <c r="L212" s="8"/>
      <c r="M212" s="8">
        <v>1646436</v>
      </c>
      <c r="N212" s="8"/>
      <c r="O212" s="8">
        <v>0</v>
      </c>
      <c r="P212" s="8"/>
      <c r="Q212" s="8">
        <f>212519+8730851</f>
        <v>8943370</v>
      </c>
      <c r="R212" s="8"/>
      <c r="S212" s="8">
        <v>325345</v>
      </c>
      <c r="T212" s="8"/>
      <c r="U212" s="8">
        <v>314192</v>
      </c>
      <c r="V212" s="8"/>
      <c r="W212" s="8">
        <f t="shared" si="14"/>
        <v>9582907</v>
      </c>
      <c r="X212" s="8"/>
      <c r="Y212" s="9">
        <f t="shared" si="15"/>
        <v>0</v>
      </c>
    </row>
    <row r="213" spans="1:25" ht="12.75" customHeight="1" x14ac:dyDescent="0.2">
      <c r="A213" s="7" t="s">
        <v>227</v>
      </c>
      <c r="B213" s="7"/>
      <c r="C213" s="7" t="s">
        <v>226</v>
      </c>
      <c r="E213" s="8">
        <f>10066109+121888</f>
        <v>10187997</v>
      </c>
      <c r="F213" s="8"/>
      <c r="G213" s="8">
        <v>17214256</v>
      </c>
      <c r="H213" s="8"/>
      <c r="I213" s="8">
        <v>0</v>
      </c>
      <c r="J213" s="8"/>
      <c r="K213" s="8">
        <v>0</v>
      </c>
      <c r="L213" s="8"/>
      <c r="M213" s="8">
        <v>2616811</v>
      </c>
      <c r="N213" s="8"/>
      <c r="O213" s="8">
        <v>5219144</v>
      </c>
      <c r="P213" s="8"/>
      <c r="Q213" s="8">
        <f>220253+2391836</f>
        <v>2612089</v>
      </c>
      <c r="R213" s="8"/>
      <c r="S213" s="8">
        <f>301751+1687546</f>
        <v>1989297</v>
      </c>
      <c r="T213" s="8"/>
      <c r="U213" s="8">
        <v>4776915</v>
      </c>
      <c r="V213" s="8"/>
      <c r="W213" s="8">
        <f t="shared" si="14"/>
        <v>9378301</v>
      </c>
      <c r="X213" s="8"/>
      <c r="Y213" s="9">
        <f t="shared" si="15"/>
        <v>0</v>
      </c>
    </row>
    <row r="214" spans="1:25" ht="12.75" hidden="1" customHeight="1" x14ac:dyDescent="0.2">
      <c r="A214" s="7" t="s">
        <v>228</v>
      </c>
      <c r="B214" s="7"/>
      <c r="C214" s="7" t="s">
        <v>43</v>
      </c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>
        <f t="shared" si="14"/>
        <v>0</v>
      </c>
      <c r="X214" s="8"/>
      <c r="Y214" s="9">
        <f t="shared" si="15"/>
        <v>0</v>
      </c>
    </row>
    <row r="215" spans="1:25" ht="12.75" customHeight="1" x14ac:dyDescent="0.2">
      <c r="A215" s="7" t="s">
        <v>229</v>
      </c>
      <c r="B215" s="7"/>
      <c r="C215" s="7" t="s">
        <v>25</v>
      </c>
      <c r="E215" s="8">
        <f>34503126+101041</f>
        <v>34604167</v>
      </c>
      <c r="F215" s="8"/>
      <c r="G215" s="8">
        <v>52664593</v>
      </c>
      <c r="H215" s="8"/>
      <c r="I215" s="8">
        <v>0</v>
      </c>
      <c r="J215" s="8"/>
      <c r="K215" s="8">
        <v>0</v>
      </c>
      <c r="L215" s="8"/>
      <c r="M215" s="8">
        <v>3610120</v>
      </c>
      <c r="N215" s="8"/>
      <c r="O215" s="8">
        <v>12407729</v>
      </c>
      <c r="P215" s="8"/>
      <c r="Q215" s="8">
        <f>912423+11107256</f>
        <v>12019679</v>
      </c>
      <c r="R215" s="8"/>
      <c r="S215" s="8">
        <f>1483078+911372</f>
        <v>2394450</v>
      </c>
      <c r="T215" s="8"/>
      <c r="U215" s="8">
        <v>22232615</v>
      </c>
      <c r="V215" s="8"/>
      <c r="W215" s="8">
        <f t="shared" si="14"/>
        <v>36646744</v>
      </c>
      <c r="X215" s="8"/>
      <c r="Y215" s="9">
        <f t="shared" si="15"/>
        <v>0</v>
      </c>
    </row>
    <row r="216" spans="1:25" ht="12.75" customHeight="1" x14ac:dyDescent="0.2">
      <c r="A216" s="7" t="s">
        <v>230</v>
      </c>
      <c r="B216" s="7"/>
      <c r="C216" s="7" t="s">
        <v>25</v>
      </c>
      <c r="E216" s="8">
        <f>10059067+60680</f>
        <v>10119747</v>
      </c>
      <c r="F216" s="8"/>
      <c r="G216" s="8">
        <v>26888525</v>
      </c>
      <c r="H216" s="8"/>
      <c r="I216" s="8">
        <v>0</v>
      </c>
      <c r="J216" s="8"/>
      <c r="K216" s="8">
        <v>0</v>
      </c>
      <c r="L216" s="8"/>
      <c r="M216" s="8">
        <v>6328526</v>
      </c>
      <c r="N216" s="8"/>
      <c r="O216" s="8">
        <v>12708295</v>
      </c>
      <c r="P216" s="8"/>
      <c r="Q216" s="8">
        <f>252197+4019112</f>
        <v>4271309</v>
      </c>
      <c r="R216" s="8"/>
      <c r="S216" s="8">
        <v>377704</v>
      </c>
      <c r="T216" s="8"/>
      <c r="U216" s="8">
        <v>3202691</v>
      </c>
      <c r="V216" s="8"/>
      <c r="W216" s="8">
        <f t="shared" si="14"/>
        <v>7851704</v>
      </c>
      <c r="X216" s="8"/>
      <c r="Y216" s="9">
        <f t="shared" si="15"/>
        <v>0</v>
      </c>
    </row>
    <row r="217" spans="1:25" ht="12.75" customHeight="1" x14ac:dyDescent="0.2">
      <c r="A217" s="7" t="s">
        <v>231</v>
      </c>
      <c r="B217" s="7"/>
      <c r="C217" s="7" t="s">
        <v>109</v>
      </c>
      <c r="E217" s="8">
        <f>5324379+8168289</f>
        <v>13492668</v>
      </c>
      <c r="F217" s="8"/>
      <c r="G217" s="8">
        <v>22390788</v>
      </c>
      <c r="H217" s="8"/>
      <c r="I217" s="8">
        <v>0</v>
      </c>
      <c r="J217" s="8"/>
      <c r="K217" s="8">
        <v>0</v>
      </c>
      <c r="L217" s="8"/>
      <c r="M217" s="8">
        <v>3813487</v>
      </c>
      <c r="N217" s="8"/>
      <c r="O217" s="8">
        <v>4533166</v>
      </c>
      <c r="P217" s="8"/>
      <c r="Q217" s="8">
        <f>256734+6947280</f>
        <v>7204014</v>
      </c>
      <c r="R217" s="8"/>
      <c r="S217" s="8">
        <v>328242</v>
      </c>
      <c r="T217" s="8"/>
      <c r="U217" s="8">
        <v>6511879</v>
      </c>
      <c r="V217" s="8"/>
      <c r="W217" s="8">
        <f t="shared" si="14"/>
        <v>14044135</v>
      </c>
      <c r="X217" s="8"/>
      <c r="Y217" s="9">
        <f t="shared" si="15"/>
        <v>0</v>
      </c>
    </row>
    <row r="218" spans="1:25" ht="12.75" customHeight="1" x14ac:dyDescent="0.2">
      <c r="A218" s="7" t="s">
        <v>232</v>
      </c>
      <c r="B218" s="7"/>
      <c r="C218" s="7" t="s">
        <v>43</v>
      </c>
      <c r="E218" s="8">
        <f>6433911+29740</f>
        <v>6463651</v>
      </c>
      <c r="F218" s="8"/>
      <c r="G218" s="8">
        <v>14247759</v>
      </c>
      <c r="H218" s="8"/>
      <c r="I218" s="8">
        <v>0</v>
      </c>
      <c r="J218" s="8"/>
      <c r="K218" s="8">
        <v>0</v>
      </c>
      <c r="L218" s="8"/>
      <c r="M218" s="8">
        <v>3547882</v>
      </c>
      <c r="N218" s="8"/>
      <c r="O218" s="8">
        <v>2263823</v>
      </c>
      <c r="P218" s="8"/>
      <c r="Q218" s="8">
        <f>852609+1140069</f>
        <v>1992678</v>
      </c>
      <c r="R218" s="8"/>
      <c r="S218" s="8">
        <v>528790</v>
      </c>
      <c r="T218" s="8"/>
      <c r="U218" s="8">
        <v>5914586</v>
      </c>
      <c r="V218" s="8"/>
      <c r="W218" s="8">
        <f t="shared" si="14"/>
        <v>8436054</v>
      </c>
      <c r="X218" s="8"/>
      <c r="Y218" s="9">
        <f t="shared" ref="Y218:Y241" si="16">+G218-M218-W218+I218-O218</f>
        <v>0</v>
      </c>
    </row>
    <row r="219" spans="1:25" ht="12.75" customHeight="1" x14ac:dyDescent="0.2">
      <c r="A219" s="7" t="s">
        <v>233</v>
      </c>
      <c r="B219" s="7"/>
      <c r="C219" s="7" t="s">
        <v>181</v>
      </c>
      <c r="E219" s="8">
        <f>17431756+1113878</f>
        <v>18545634</v>
      </c>
      <c r="F219" s="8"/>
      <c r="G219" s="8">
        <v>54945408</v>
      </c>
      <c r="H219" s="8"/>
      <c r="I219" s="8">
        <v>0</v>
      </c>
      <c r="J219" s="8"/>
      <c r="K219" s="8">
        <v>0</v>
      </c>
      <c r="L219" s="8"/>
      <c r="M219" s="8">
        <v>8085725</v>
      </c>
      <c r="N219" s="8"/>
      <c r="O219" s="8">
        <v>11006433</v>
      </c>
      <c r="P219" s="8"/>
      <c r="Q219" s="8">
        <f>859538+30914825</f>
        <v>31774363</v>
      </c>
      <c r="R219" s="8"/>
      <c r="S219" s="8">
        <f>3690247+189654</f>
        <v>3879901</v>
      </c>
      <c r="T219" s="8"/>
      <c r="U219" s="8">
        <v>198986</v>
      </c>
      <c r="V219" s="8"/>
      <c r="W219" s="8">
        <f t="shared" si="14"/>
        <v>35853250</v>
      </c>
      <c r="X219" s="8"/>
      <c r="Y219" s="9">
        <f t="shared" si="16"/>
        <v>0</v>
      </c>
    </row>
    <row r="220" spans="1:25" ht="12.75" hidden="1" customHeight="1" x14ac:dyDescent="0.2">
      <c r="A220" s="7" t="s">
        <v>234</v>
      </c>
      <c r="B220" s="7"/>
      <c r="C220" s="7" t="s">
        <v>43</v>
      </c>
      <c r="E220" s="8">
        <f>6302347+177007+6303</f>
        <v>6485657</v>
      </c>
      <c r="F220" s="8"/>
      <c r="G220" s="8">
        <v>9006148</v>
      </c>
      <c r="H220" s="8"/>
      <c r="I220" s="8"/>
      <c r="J220" s="8"/>
      <c r="K220" s="8">
        <v>1110451</v>
      </c>
      <c r="L220" s="8"/>
      <c r="M220" s="8">
        <v>2829281</v>
      </c>
      <c r="N220" s="8"/>
      <c r="O220" s="8"/>
      <c r="P220" s="8"/>
      <c r="Q220" s="8">
        <f>121706+2158582+151562</f>
        <v>2431850</v>
      </c>
      <c r="R220" s="8"/>
      <c r="S220" s="8">
        <v>25557</v>
      </c>
      <c r="T220" s="8"/>
      <c r="U220" s="8">
        <v>3719460</v>
      </c>
      <c r="V220" s="8"/>
      <c r="W220" s="8">
        <f t="shared" si="14"/>
        <v>6176867</v>
      </c>
      <c r="X220" s="8"/>
      <c r="Y220" s="9">
        <f t="shared" si="16"/>
        <v>0</v>
      </c>
    </row>
    <row r="221" spans="1:25" ht="12.75" hidden="1" customHeight="1" x14ac:dyDescent="0.2">
      <c r="A221" s="7" t="s">
        <v>235</v>
      </c>
      <c r="B221" s="7"/>
      <c r="C221" s="7" t="s">
        <v>31</v>
      </c>
      <c r="E221" s="8">
        <f>387622+725</f>
        <v>388347</v>
      </c>
      <c r="F221" s="8"/>
      <c r="G221" s="8">
        <v>3610249</v>
      </c>
      <c r="H221" s="8"/>
      <c r="I221" s="8"/>
      <c r="J221" s="8"/>
      <c r="K221" s="8">
        <v>2027800</v>
      </c>
      <c r="L221" s="8"/>
      <c r="M221" s="8">
        <v>2601927</v>
      </c>
      <c r="N221" s="8"/>
      <c r="O221" s="8"/>
      <c r="P221" s="8"/>
      <c r="Q221" s="8">
        <f>151774+895886+68160</f>
        <v>1115820</v>
      </c>
      <c r="R221" s="8"/>
      <c r="S221" s="8">
        <v>0</v>
      </c>
      <c r="T221" s="8"/>
      <c r="U221" s="8">
        <v>-107498</v>
      </c>
      <c r="V221" s="8"/>
      <c r="W221" s="8">
        <f t="shared" si="14"/>
        <v>1008322</v>
      </c>
      <c r="X221" s="8"/>
      <c r="Y221" s="9">
        <f t="shared" si="16"/>
        <v>0</v>
      </c>
    </row>
    <row r="222" spans="1:25" ht="12.75" customHeight="1" x14ac:dyDescent="0.2">
      <c r="A222" s="7" t="s">
        <v>236</v>
      </c>
      <c r="B222" s="7"/>
      <c r="C222" s="7" t="s">
        <v>237</v>
      </c>
      <c r="E222" s="8">
        <f>1128705+1908+50841</f>
        <v>1181454</v>
      </c>
      <c r="F222" s="8"/>
      <c r="G222" s="8">
        <v>14685203</v>
      </c>
      <c r="H222" s="8"/>
      <c r="I222" s="8">
        <v>0</v>
      </c>
      <c r="J222" s="8"/>
      <c r="K222" s="8">
        <v>0</v>
      </c>
      <c r="L222" s="8"/>
      <c r="M222" s="8">
        <v>598972</v>
      </c>
      <c r="N222" s="8"/>
      <c r="O222" s="8">
        <v>1282272</v>
      </c>
      <c r="P222" s="8"/>
      <c r="Q222" s="8">
        <f>103952+6864934</f>
        <v>6968886</v>
      </c>
      <c r="R222" s="8"/>
      <c r="S222" s="8">
        <f>2623139+2058298</f>
        <v>4681437</v>
      </c>
      <c r="T222" s="8"/>
      <c r="U222" s="8">
        <v>1153636</v>
      </c>
      <c r="V222" s="8"/>
      <c r="W222" s="8">
        <f t="shared" si="14"/>
        <v>12803959</v>
      </c>
      <c r="X222" s="8"/>
      <c r="Y222" s="9">
        <f t="shared" si="16"/>
        <v>0</v>
      </c>
    </row>
    <row r="223" spans="1:25" ht="12.75" customHeight="1" x14ac:dyDescent="0.2">
      <c r="A223" s="7" t="s">
        <v>480</v>
      </c>
      <c r="B223" s="7"/>
      <c r="C223" s="7" t="s">
        <v>247</v>
      </c>
      <c r="E223" s="8">
        <v>5966261</v>
      </c>
      <c r="F223" s="8"/>
      <c r="G223" s="8">
        <v>13565159</v>
      </c>
      <c r="H223" s="8"/>
      <c r="I223" s="8">
        <v>0</v>
      </c>
      <c r="J223" s="8"/>
      <c r="K223" s="8">
        <v>0</v>
      </c>
      <c r="L223" s="8"/>
      <c r="M223" s="8">
        <v>928254</v>
      </c>
      <c r="N223" s="8"/>
      <c r="O223" s="8">
        <v>6256602</v>
      </c>
      <c r="P223" s="8"/>
      <c r="Q223" s="8">
        <f>771133+1268961</f>
        <v>2040094</v>
      </c>
      <c r="R223" s="8"/>
      <c r="S223" s="8">
        <v>2395604</v>
      </c>
      <c r="T223" s="8"/>
      <c r="U223" s="8">
        <v>1944605</v>
      </c>
      <c r="V223" s="8"/>
      <c r="W223" s="8">
        <f t="shared" si="14"/>
        <v>6380303</v>
      </c>
      <c r="X223" s="8"/>
      <c r="Y223" s="9">
        <f t="shared" si="16"/>
        <v>0</v>
      </c>
    </row>
    <row r="224" spans="1:25" ht="12.75" customHeight="1" x14ac:dyDescent="0.2">
      <c r="A224" s="7" t="s">
        <v>238</v>
      </c>
      <c r="B224" s="7"/>
      <c r="C224" s="7" t="s">
        <v>11</v>
      </c>
      <c r="E224" s="8">
        <v>12648909</v>
      </c>
      <c r="F224" s="8"/>
      <c r="G224" s="8">
        <v>24504897</v>
      </c>
      <c r="H224" s="8"/>
      <c r="I224" s="8">
        <v>0</v>
      </c>
      <c r="J224" s="8"/>
      <c r="K224" s="8">
        <v>0</v>
      </c>
      <c r="L224" s="8"/>
      <c r="M224" s="8">
        <v>3448470</v>
      </c>
      <c r="N224" s="8"/>
      <c r="O224" s="8">
        <v>8854761</v>
      </c>
      <c r="P224" s="8"/>
      <c r="Q224" s="8">
        <f>741814+5258523</f>
        <v>6000337</v>
      </c>
      <c r="R224" s="8"/>
      <c r="S224" s="8">
        <f>1964503+3471773</f>
        <v>5436276</v>
      </c>
      <c r="T224" s="8"/>
      <c r="U224" s="8">
        <v>765053</v>
      </c>
      <c r="V224" s="8"/>
      <c r="W224" s="8">
        <f t="shared" si="14"/>
        <v>12201666</v>
      </c>
      <c r="X224" s="8"/>
      <c r="Y224" s="9">
        <f t="shared" si="16"/>
        <v>0</v>
      </c>
    </row>
    <row r="225" spans="1:26" ht="12.75" customHeight="1" x14ac:dyDescent="0.2">
      <c r="A225" s="7" t="s">
        <v>239</v>
      </c>
      <c r="B225" s="7"/>
      <c r="C225" s="7" t="s">
        <v>20</v>
      </c>
      <c r="E225" s="8">
        <v>4971229</v>
      </c>
      <c r="F225" s="8"/>
      <c r="G225" s="8">
        <v>11594599</v>
      </c>
      <c r="H225" s="8"/>
      <c r="I225" s="8">
        <v>0</v>
      </c>
      <c r="J225" s="8"/>
      <c r="K225" s="8">
        <v>0</v>
      </c>
      <c r="L225" s="8"/>
      <c r="M225" s="8">
        <v>921770</v>
      </c>
      <c r="N225" s="8"/>
      <c r="O225" s="8">
        <v>3633690</v>
      </c>
      <c r="P225" s="8"/>
      <c r="Q225" s="8">
        <f>168860+1814313</f>
        <v>1983173</v>
      </c>
      <c r="R225" s="8"/>
      <c r="S225" s="8">
        <f>1938659+1022758</f>
        <v>2961417</v>
      </c>
      <c r="T225" s="8"/>
      <c r="U225" s="8">
        <v>2094549</v>
      </c>
      <c r="V225" s="8"/>
      <c r="W225" s="8">
        <f t="shared" si="14"/>
        <v>7039139</v>
      </c>
      <c r="X225" s="8"/>
      <c r="Y225" s="9">
        <f t="shared" si="16"/>
        <v>0</v>
      </c>
    </row>
    <row r="226" spans="1:26" ht="12.75" customHeight="1" x14ac:dyDescent="0.2">
      <c r="A226" s="7" t="s">
        <v>240</v>
      </c>
      <c r="B226" s="7"/>
      <c r="C226" s="7" t="s">
        <v>25</v>
      </c>
      <c r="E226" s="8">
        <v>22436872</v>
      </c>
      <c r="F226" s="8"/>
      <c r="G226" s="8">
        <v>47270171</v>
      </c>
      <c r="H226" s="8"/>
      <c r="I226" s="8">
        <v>0</v>
      </c>
      <c r="J226" s="8"/>
      <c r="K226" s="8">
        <v>0</v>
      </c>
      <c r="L226" s="8"/>
      <c r="M226" s="8">
        <v>10395280</v>
      </c>
      <c r="N226" s="8"/>
      <c r="O226" s="8">
        <v>15502688</v>
      </c>
      <c r="P226" s="8"/>
      <c r="Q226" s="8">
        <f>651574+6342091</f>
        <v>6993665</v>
      </c>
      <c r="R226" s="8"/>
      <c r="S226" s="8">
        <f>4357732+174133</f>
        <v>4531865</v>
      </c>
      <c r="T226" s="8"/>
      <c r="U226" s="8">
        <v>9846673</v>
      </c>
      <c r="V226" s="8"/>
      <c r="W226" s="8">
        <f t="shared" si="14"/>
        <v>21372203</v>
      </c>
      <c r="X226" s="8"/>
      <c r="Y226" s="9">
        <f t="shared" si="16"/>
        <v>0</v>
      </c>
    </row>
    <row r="227" spans="1:26" ht="12.75" customHeight="1" x14ac:dyDescent="0.2">
      <c r="A227" s="7" t="s">
        <v>510</v>
      </c>
      <c r="B227" s="7"/>
      <c r="C227" s="7" t="s">
        <v>59</v>
      </c>
      <c r="E227" s="8">
        <v>728013</v>
      </c>
      <c r="F227" s="8"/>
      <c r="G227" s="8">
        <v>728013</v>
      </c>
      <c r="H227" s="8"/>
      <c r="I227" s="8">
        <v>0</v>
      </c>
      <c r="J227" s="8"/>
      <c r="K227" s="8">
        <v>0</v>
      </c>
      <c r="L227" s="8"/>
      <c r="M227" s="8">
        <v>0</v>
      </c>
      <c r="N227" s="8"/>
      <c r="O227" s="8">
        <v>0</v>
      </c>
      <c r="P227" s="8"/>
      <c r="Q227" s="8">
        <f>102468+10863+14278+27369+52323+25383+1871</f>
        <v>234555</v>
      </c>
      <c r="R227" s="8"/>
      <c r="S227" s="8">
        <f>1195+8055+11000+51588+4493+271824</f>
        <v>348155</v>
      </c>
      <c r="T227" s="8"/>
      <c r="U227" s="8">
        <v>145303</v>
      </c>
      <c r="V227" s="8"/>
      <c r="W227" s="8">
        <f t="shared" ref="W227" si="17">+U227+S227+Q227</f>
        <v>728013</v>
      </c>
      <c r="X227" s="8"/>
      <c r="Y227" s="9">
        <f t="shared" si="16"/>
        <v>0</v>
      </c>
    </row>
    <row r="228" spans="1:26" ht="12.75" customHeight="1" x14ac:dyDescent="0.2">
      <c r="A228" s="7" t="s">
        <v>241</v>
      </c>
      <c r="B228" s="7"/>
      <c r="C228" s="7" t="s">
        <v>161</v>
      </c>
      <c r="E228" s="8">
        <f>5824194+12652249</f>
        <v>18476443</v>
      </c>
      <c r="F228" s="8"/>
      <c r="G228" s="8">
        <v>24930253</v>
      </c>
      <c r="H228" s="8"/>
      <c r="I228" s="8">
        <v>0</v>
      </c>
      <c r="J228" s="8"/>
      <c r="K228" s="8">
        <v>0</v>
      </c>
      <c r="L228" s="8"/>
      <c r="M228" s="8">
        <v>933832</v>
      </c>
      <c r="N228" s="8"/>
      <c r="O228" s="8">
        <v>4386108</v>
      </c>
      <c r="P228" s="8"/>
      <c r="Q228" s="8">
        <f>577169+1797272</f>
        <v>2374441</v>
      </c>
      <c r="R228" s="8"/>
      <c r="S228" s="8">
        <f>11377243+451596</f>
        <v>11828839</v>
      </c>
      <c r="T228" s="8"/>
      <c r="U228" s="8">
        <v>5407033</v>
      </c>
      <c r="V228" s="8"/>
      <c r="W228" s="8">
        <f t="shared" ref="W228:W241" si="18">+U228+S228+Q228</f>
        <v>19610313</v>
      </c>
      <c r="X228" s="8"/>
      <c r="Y228" s="9">
        <f t="shared" si="16"/>
        <v>0</v>
      </c>
    </row>
    <row r="229" spans="1:26" ht="12.75" customHeight="1" x14ac:dyDescent="0.2">
      <c r="A229" s="7" t="s">
        <v>242</v>
      </c>
      <c r="B229" s="7"/>
      <c r="C229" s="7" t="s">
        <v>11</v>
      </c>
      <c r="E229" s="8">
        <v>7295615</v>
      </c>
      <c r="F229" s="8"/>
      <c r="G229" s="8">
        <v>14080941</v>
      </c>
      <c r="H229" s="8"/>
      <c r="I229" s="8">
        <v>0</v>
      </c>
      <c r="J229" s="8"/>
      <c r="K229" s="8">
        <v>0</v>
      </c>
      <c r="L229" s="8"/>
      <c r="M229" s="8">
        <v>1293447</v>
      </c>
      <c r="N229" s="8"/>
      <c r="O229" s="8">
        <v>4462003</v>
      </c>
      <c r="P229" s="8"/>
      <c r="Q229" s="8">
        <f>163185+1953464</f>
        <v>2116649</v>
      </c>
      <c r="R229" s="8"/>
      <c r="S229" s="8">
        <v>253595</v>
      </c>
      <c r="T229" s="8"/>
      <c r="U229" s="8">
        <v>5955247</v>
      </c>
      <c r="V229" s="8"/>
      <c r="W229" s="8">
        <f t="shared" si="18"/>
        <v>8325491</v>
      </c>
      <c r="X229" s="8"/>
      <c r="Y229" s="9">
        <f t="shared" si="16"/>
        <v>0</v>
      </c>
    </row>
    <row r="230" spans="1:26" ht="12.75" customHeight="1" x14ac:dyDescent="0.2">
      <c r="A230" s="7" t="s">
        <v>243</v>
      </c>
      <c r="B230" s="7"/>
      <c r="C230" s="7" t="s">
        <v>108</v>
      </c>
      <c r="E230" s="8">
        <v>4312258</v>
      </c>
      <c r="F230" s="8"/>
      <c r="G230" s="8">
        <v>8676639</v>
      </c>
      <c r="H230" s="8"/>
      <c r="I230" s="8">
        <v>0</v>
      </c>
      <c r="J230" s="8"/>
      <c r="K230" s="8">
        <v>0</v>
      </c>
      <c r="L230" s="8"/>
      <c r="M230" s="8">
        <v>785510</v>
      </c>
      <c r="N230" s="8"/>
      <c r="O230" s="8">
        <v>3076972</v>
      </c>
      <c r="P230" s="8"/>
      <c r="Q230" s="8">
        <f>194611+2013163</f>
        <v>2207774</v>
      </c>
      <c r="R230" s="8"/>
      <c r="S230" s="8">
        <v>1061588</v>
      </c>
      <c r="T230" s="8"/>
      <c r="U230" s="8">
        <v>1544795</v>
      </c>
      <c r="V230" s="8"/>
      <c r="W230" s="8">
        <f t="shared" si="18"/>
        <v>4814157</v>
      </c>
      <c r="X230" s="8"/>
      <c r="Y230" s="9">
        <f t="shared" si="16"/>
        <v>0</v>
      </c>
    </row>
    <row r="231" spans="1:26" ht="12.75" customHeight="1" x14ac:dyDescent="0.2">
      <c r="A231" s="7" t="s">
        <v>244</v>
      </c>
      <c r="B231" s="7"/>
      <c r="C231" s="7" t="s">
        <v>207</v>
      </c>
      <c r="E231" s="8">
        <f>7226997+1342612</f>
        <v>8569609</v>
      </c>
      <c r="F231" s="8"/>
      <c r="G231" s="8">
        <v>12907839</v>
      </c>
      <c r="H231" s="8"/>
      <c r="I231" s="8">
        <v>0</v>
      </c>
      <c r="J231" s="8"/>
      <c r="K231" s="8">
        <v>0</v>
      </c>
      <c r="L231" s="8"/>
      <c r="M231" s="8">
        <v>5883518</v>
      </c>
      <c r="N231" s="8"/>
      <c r="O231" s="8">
        <v>2415681</v>
      </c>
      <c r="P231" s="8"/>
      <c r="Q231" s="8">
        <f>175602+1092849</f>
        <v>1268451</v>
      </c>
      <c r="R231" s="8"/>
      <c r="S231" s="8">
        <f>22628+127985</f>
        <v>150613</v>
      </c>
      <c r="T231" s="8"/>
      <c r="U231" s="8">
        <v>3189576</v>
      </c>
      <c r="V231" s="8"/>
      <c r="W231" s="8">
        <f t="shared" si="18"/>
        <v>4608640</v>
      </c>
      <c r="X231" s="8"/>
      <c r="Y231" s="9">
        <f t="shared" si="16"/>
        <v>0</v>
      </c>
    </row>
    <row r="232" spans="1:26" ht="12.75" hidden="1" customHeight="1" x14ac:dyDescent="0.2">
      <c r="A232" s="7" t="s">
        <v>245</v>
      </c>
      <c r="B232" s="7"/>
      <c r="C232" s="7" t="s">
        <v>161</v>
      </c>
      <c r="E232" s="8">
        <f>9656000+8989000+500000+32082000</f>
        <v>51227000</v>
      </c>
      <c r="F232" s="8"/>
      <c r="G232" s="8">
        <v>247202000</v>
      </c>
      <c r="H232" s="8"/>
      <c r="I232" s="8">
        <v>0</v>
      </c>
      <c r="J232" s="8"/>
      <c r="K232" s="8">
        <v>0</v>
      </c>
      <c r="L232" s="8"/>
      <c r="M232" s="8">
        <v>212021000</v>
      </c>
      <c r="N232" s="8"/>
      <c r="O232" s="8">
        <v>0</v>
      </c>
      <c r="P232" s="8"/>
      <c r="Q232" s="8">
        <f>5631000+49243000</f>
        <v>54874000</v>
      </c>
      <c r="R232" s="8"/>
      <c r="S232" s="8">
        <v>326000</v>
      </c>
      <c r="T232" s="8"/>
      <c r="U232" s="8">
        <v>-20019000</v>
      </c>
      <c r="V232" s="8"/>
      <c r="W232" s="8">
        <f t="shared" si="18"/>
        <v>35181000</v>
      </c>
      <c r="X232" s="8"/>
      <c r="Y232" s="9">
        <f t="shared" si="16"/>
        <v>0</v>
      </c>
      <c r="Z232" s="10"/>
    </row>
    <row r="233" spans="1:26" ht="12.75" customHeight="1" x14ac:dyDescent="0.2">
      <c r="A233" s="7" t="s">
        <v>246</v>
      </c>
      <c r="B233" s="7"/>
      <c r="C233" s="7" t="s">
        <v>247</v>
      </c>
      <c r="E233" s="8">
        <v>1373410</v>
      </c>
      <c r="F233" s="8"/>
      <c r="G233" s="8">
        <v>4054303</v>
      </c>
      <c r="H233" s="8"/>
      <c r="I233" s="8">
        <v>0</v>
      </c>
      <c r="J233" s="8"/>
      <c r="K233" s="8">
        <v>2314741</v>
      </c>
      <c r="L233" s="8"/>
      <c r="M233" s="8">
        <v>2410297</v>
      </c>
      <c r="N233" s="8"/>
      <c r="O233" s="8">
        <v>0</v>
      </c>
      <c r="P233" s="8"/>
      <c r="Q233" s="8">
        <f>70544+485684</f>
        <v>556228</v>
      </c>
      <c r="R233" s="8"/>
      <c r="S233" s="8">
        <f>98378+122633</f>
        <v>221011</v>
      </c>
      <c r="T233" s="8"/>
      <c r="U233" s="8">
        <v>866767</v>
      </c>
      <c r="V233" s="8"/>
      <c r="W233" s="8">
        <f t="shared" si="18"/>
        <v>1644006</v>
      </c>
      <c r="X233" s="8"/>
      <c r="Y233" s="9">
        <f t="shared" si="16"/>
        <v>0</v>
      </c>
    </row>
    <row r="234" spans="1:26" ht="12.75" customHeight="1" x14ac:dyDescent="0.2">
      <c r="A234" s="7" t="s">
        <v>248</v>
      </c>
      <c r="B234" s="7"/>
      <c r="C234" s="7" t="s">
        <v>101</v>
      </c>
      <c r="E234" s="8">
        <v>3353281</v>
      </c>
      <c r="F234" s="8"/>
      <c r="G234" s="8">
        <v>4698665</v>
      </c>
      <c r="H234" s="8"/>
      <c r="I234" s="8">
        <v>0</v>
      </c>
      <c r="J234" s="8"/>
      <c r="K234" s="8">
        <v>0</v>
      </c>
      <c r="L234" s="8"/>
      <c r="M234" s="8">
        <v>874446</v>
      </c>
      <c r="N234" s="8"/>
      <c r="O234" s="8">
        <v>701065</v>
      </c>
      <c r="P234" s="8"/>
      <c r="Q234" s="8">
        <f>5015+1227377</f>
        <v>1232392</v>
      </c>
      <c r="R234" s="8"/>
      <c r="S234" s="8">
        <f>625710+8803</f>
        <v>634513</v>
      </c>
      <c r="T234" s="8"/>
      <c r="U234" s="8">
        <v>1256249</v>
      </c>
      <c r="V234" s="8"/>
      <c r="W234" s="8">
        <f t="shared" si="18"/>
        <v>3123154</v>
      </c>
      <c r="X234" s="8"/>
      <c r="Y234" s="9">
        <f t="shared" si="16"/>
        <v>0</v>
      </c>
    </row>
    <row r="235" spans="1:26" ht="12.75" customHeight="1" x14ac:dyDescent="0.2">
      <c r="A235" s="7" t="s">
        <v>249</v>
      </c>
      <c r="B235" s="7"/>
      <c r="C235" s="7" t="s">
        <v>64</v>
      </c>
      <c r="E235" s="8">
        <f>2804531+74955</f>
        <v>2879486</v>
      </c>
      <c r="F235" s="8"/>
      <c r="G235" s="8">
        <v>13902597</v>
      </c>
      <c r="H235" s="8"/>
      <c r="I235" s="8">
        <v>0</v>
      </c>
      <c r="J235" s="8"/>
      <c r="K235" s="8">
        <v>10238165</v>
      </c>
      <c r="L235" s="8"/>
      <c r="M235" s="8">
        <v>13900631</v>
      </c>
      <c r="N235" s="8"/>
      <c r="O235" s="8">
        <v>0</v>
      </c>
      <c r="P235" s="8"/>
      <c r="Q235" s="8">
        <v>1513244</v>
      </c>
      <c r="R235" s="8"/>
      <c r="S235" s="8">
        <v>678551</v>
      </c>
      <c r="T235" s="8"/>
      <c r="U235" s="8">
        <v>-2189829</v>
      </c>
      <c r="V235" s="8"/>
      <c r="W235" s="8">
        <f t="shared" si="18"/>
        <v>1966</v>
      </c>
      <c r="X235" s="8"/>
      <c r="Y235" s="9">
        <f t="shared" si="16"/>
        <v>0</v>
      </c>
    </row>
    <row r="236" spans="1:26" ht="13.5" customHeight="1" x14ac:dyDescent="0.2">
      <c r="A236" s="7" t="s">
        <v>250</v>
      </c>
      <c r="B236" s="7"/>
      <c r="C236" s="7" t="s">
        <v>207</v>
      </c>
      <c r="E236" s="8">
        <v>55469081</v>
      </c>
      <c r="F236" s="8"/>
      <c r="G236" s="8">
        <v>64536331</v>
      </c>
      <c r="H236" s="8"/>
      <c r="I236" s="8">
        <v>0</v>
      </c>
      <c r="J236" s="8"/>
      <c r="K236" s="8">
        <v>3081050</v>
      </c>
      <c r="L236" s="8"/>
      <c r="M236" s="8">
        <v>5866592</v>
      </c>
      <c r="N236" s="8"/>
      <c r="O236" s="8">
        <v>0</v>
      </c>
      <c r="P236" s="8"/>
      <c r="Q236" s="8">
        <v>9109167</v>
      </c>
      <c r="R236" s="8"/>
      <c r="S236" s="8">
        <v>935109</v>
      </c>
      <c r="T236" s="8"/>
      <c r="U236" s="8">
        <v>48625463</v>
      </c>
      <c r="V236" s="8"/>
      <c r="W236" s="8">
        <f t="shared" si="18"/>
        <v>58669739</v>
      </c>
      <c r="X236" s="8"/>
      <c r="Y236" s="9">
        <f t="shared" si="16"/>
        <v>0</v>
      </c>
    </row>
    <row r="237" spans="1:26" ht="12.75" hidden="1" customHeight="1" x14ac:dyDescent="0.2">
      <c r="A237" s="7" t="s">
        <v>251</v>
      </c>
      <c r="B237" s="7"/>
      <c r="C237" s="7" t="s">
        <v>11</v>
      </c>
      <c r="E237" s="8">
        <f>23866090+11517</f>
        <v>23877607</v>
      </c>
      <c r="F237" s="8"/>
      <c r="G237" s="8">
        <v>30851334</v>
      </c>
      <c r="H237" s="8"/>
      <c r="I237" s="8"/>
      <c r="J237" s="8"/>
      <c r="K237" s="8">
        <v>3058397</v>
      </c>
      <c r="L237" s="8"/>
      <c r="M237" s="8">
        <v>4740134</v>
      </c>
      <c r="N237" s="8"/>
      <c r="O237" s="8"/>
      <c r="P237" s="8"/>
      <c r="Q237" s="8">
        <f>235191+3083274+4664523</f>
        <v>7982988</v>
      </c>
      <c r="R237" s="8"/>
      <c r="S237" s="8">
        <v>363095</v>
      </c>
      <c r="T237" s="8"/>
      <c r="U237" s="8">
        <v>17765117</v>
      </c>
      <c r="V237" s="8"/>
      <c r="W237" s="8">
        <f t="shared" si="18"/>
        <v>26111200</v>
      </c>
      <c r="X237" s="8"/>
      <c r="Y237" s="9">
        <f t="shared" si="16"/>
        <v>0</v>
      </c>
    </row>
    <row r="238" spans="1:26" ht="12.75" customHeight="1" x14ac:dyDescent="0.2">
      <c r="A238" s="7" t="s">
        <v>252</v>
      </c>
      <c r="B238" s="7"/>
      <c r="C238" s="7" t="s">
        <v>87</v>
      </c>
      <c r="E238" s="8">
        <v>889639</v>
      </c>
      <c r="F238" s="8"/>
      <c r="G238" s="8">
        <v>2681184</v>
      </c>
      <c r="H238" s="8"/>
      <c r="I238" s="8">
        <v>0</v>
      </c>
      <c r="J238" s="8"/>
      <c r="K238" s="8">
        <v>1380141</v>
      </c>
      <c r="L238" s="8"/>
      <c r="M238" s="8">
        <v>1510503</v>
      </c>
      <c r="N238" s="8"/>
      <c r="O238" s="8">
        <v>0</v>
      </c>
      <c r="P238" s="8"/>
      <c r="Q238" s="8">
        <f>42870+841544</f>
        <v>884414</v>
      </c>
      <c r="R238" s="8"/>
      <c r="S238" s="8">
        <f>40391+2646</f>
        <v>43037</v>
      </c>
      <c r="T238" s="8"/>
      <c r="U238" s="8">
        <v>243230</v>
      </c>
      <c r="V238" s="8"/>
      <c r="W238" s="8">
        <f t="shared" si="18"/>
        <v>1170681</v>
      </c>
      <c r="X238" s="8"/>
      <c r="Y238" s="9">
        <f t="shared" si="16"/>
        <v>0</v>
      </c>
    </row>
    <row r="239" spans="1:26" ht="12.75" customHeight="1" x14ac:dyDescent="0.2">
      <c r="A239" s="7" t="s">
        <v>157</v>
      </c>
      <c r="B239" s="7"/>
      <c r="C239" s="7" t="s">
        <v>64</v>
      </c>
      <c r="E239" s="8">
        <v>1893487</v>
      </c>
      <c r="F239" s="8"/>
      <c r="G239" s="8">
        <v>4573016</v>
      </c>
      <c r="H239" s="8"/>
      <c r="I239" s="8">
        <v>0</v>
      </c>
      <c r="J239" s="8"/>
      <c r="K239" s="8">
        <v>2530159</v>
      </c>
      <c r="L239" s="8"/>
      <c r="M239" s="8">
        <v>2986865</v>
      </c>
      <c r="N239" s="8"/>
      <c r="O239" s="8">
        <v>0</v>
      </c>
      <c r="P239" s="8"/>
      <c r="Q239" s="8">
        <f>45327+9395+150864+897822+14404+11825</f>
        <v>1129637</v>
      </c>
      <c r="R239" s="8"/>
      <c r="S239" s="8">
        <f>94541+8000</f>
        <v>102541</v>
      </c>
      <c r="T239" s="8"/>
      <c r="U239" s="8">
        <v>353973</v>
      </c>
      <c r="V239" s="8"/>
      <c r="W239" s="8">
        <f t="shared" si="18"/>
        <v>1586151</v>
      </c>
      <c r="X239" s="8"/>
      <c r="Y239" s="9">
        <f t="shared" si="16"/>
        <v>0</v>
      </c>
    </row>
    <row r="240" spans="1:26" ht="12.75" customHeight="1" x14ac:dyDescent="0.2">
      <c r="A240" s="7" t="s">
        <v>253</v>
      </c>
      <c r="B240" s="7"/>
      <c r="C240" s="7" t="s">
        <v>25</v>
      </c>
      <c r="E240" s="8">
        <v>4359024</v>
      </c>
      <c r="F240" s="8"/>
      <c r="G240" s="8">
        <v>13889122</v>
      </c>
      <c r="H240" s="8"/>
      <c r="I240" s="8">
        <v>0</v>
      </c>
      <c r="J240" s="8"/>
      <c r="K240" s="8">
        <v>0</v>
      </c>
      <c r="L240" s="8"/>
      <c r="M240" s="8">
        <v>1024312</v>
      </c>
      <c r="N240" s="8"/>
      <c r="O240" s="8">
        <v>7622106</v>
      </c>
      <c r="P240" s="8"/>
      <c r="Q240" s="8">
        <f>125574+1869010</f>
        <v>1994584</v>
      </c>
      <c r="R240" s="8"/>
      <c r="S240" s="8">
        <f>436+2294169</f>
        <v>2294605</v>
      </c>
      <c r="T240" s="8"/>
      <c r="U240" s="8">
        <v>953515</v>
      </c>
      <c r="V240" s="8"/>
      <c r="W240" s="8">
        <f t="shared" si="18"/>
        <v>5242704</v>
      </c>
      <c r="X240" s="8"/>
      <c r="Y240" s="9">
        <f t="shared" si="16"/>
        <v>0</v>
      </c>
    </row>
    <row r="241" spans="1:25" s="9" customFormat="1" ht="12.75" customHeight="1" x14ac:dyDescent="0.2">
      <c r="A241" s="9" t="s">
        <v>254</v>
      </c>
      <c r="C241" s="9" t="s">
        <v>41</v>
      </c>
      <c r="E241" s="8">
        <v>54393168</v>
      </c>
      <c r="F241" s="8"/>
      <c r="G241" s="8">
        <v>79470826</v>
      </c>
      <c r="H241" s="8"/>
      <c r="I241" s="8">
        <v>0</v>
      </c>
      <c r="J241" s="8"/>
      <c r="K241" s="8">
        <v>0</v>
      </c>
      <c r="L241" s="8"/>
      <c r="M241" s="8">
        <v>9287591</v>
      </c>
      <c r="N241" s="8"/>
      <c r="O241" s="8">
        <v>17814068</v>
      </c>
      <c r="P241" s="8"/>
      <c r="Q241" s="8">
        <f>187067+12225837</f>
        <v>12412904</v>
      </c>
      <c r="R241" s="8"/>
      <c r="S241" s="8">
        <v>21493915</v>
      </c>
      <c r="T241" s="8"/>
      <c r="U241" s="8">
        <v>18462348</v>
      </c>
      <c r="V241" s="8"/>
      <c r="W241" s="8">
        <f t="shared" si="18"/>
        <v>52369167</v>
      </c>
      <c r="X241" s="40"/>
      <c r="Y241" s="9">
        <f t="shared" si="16"/>
        <v>0</v>
      </c>
    </row>
    <row r="242" spans="1:25" ht="12.75" customHeight="1" x14ac:dyDescent="0.2">
      <c r="B242" s="7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11" t="s">
        <v>478</v>
      </c>
      <c r="X242" s="8"/>
    </row>
    <row r="243" spans="1:25" ht="12.75" customHeight="1" x14ac:dyDescent="0.2">
      <c r="A243" s="7" t="s">
        <v>255</v>
      </c>
      <c r="B243" s="7"/>
      <c r="C243" s="7" t="s">
        <v>256</v>
      </c>
      <c r="E243" s="40">
        <v>1616547</v>
      </c>
      <c r="F243" s="40"/>
      <c r="G243" s="40">
        <v>4030261</v>
      </c>
      <c r="H243" s="40"/>
      <c r="I243" s="40">
        <v>0</v>
      </c>
      <c r="J243" s="40"/>
      <c r="K243" s="40">
        <v>1752872</v>
      </c>
      <c r="L243" s="40"/>
      <c r="M243" s="40">
        <v>2051572</v>
      </c>
      <c r="N243" s="40"/>
      <c r="O243" s="40">
        <v>0</v>
      </c>
      <c r="P243" s="40"/>
      <c r="Q243" s="40">
        <f>43370+1281085</f>
        <v>1324455</v>
      </c>
      <c r="R243" s="40"/>
      <c r="S243" s="40">
        <v>314607</v>
      </c>
      <c r="T243" s="40"/>
      <c r="U243" s="40">
        <v>339627</v>
      </c>
      <c r="V243" s="40"/>
      <c r="W243" s="40">
        <f t="shared" ref="W243:W272" si="19">+U243+S243+Q243</f>
        <v>1978689</v>
      </c>
      <c r="X243" s="8"/>
      <c r="Y243" s="9">
        <f t="shared" ref="Y243:Y272" si="20">+G243-M243-W243+I243-O243</f>
        <v>0</v>
      </c>
    </row>
    <row r="244" spans="1:25" ht="12.75" customHeight="1" x14ac:dyDescent="0.2">
      <c r="A244" s="7" t="s">
        <v>257</v>
      </c>
      <c r="B244" s="7"/>
      <c r="C244" s="7" t="s">
        <v>341</v>
      </c>
      <c r="E244" s="8">
        <v>4108956</v>
      </c>
      <c r="F244" s="8"/>
      <c r="G244" s="8">
        <v>8360793</v>
      </c>
      <c r="H244" s="8"/>
      <c r="I244" s="8">
        <v>0</v>
      </c>
      <c r="J244" s="8"/>
      <c r="K244" s="8">
        <v>0</v>
      </c>
      <c r="L244" s="8"/>
      <c r="M244" s="8">
        <v>1120783</v>
      </c>
      <c r="N244" s="8"/>
      <c r="O244" s="8">
        <v>1825533</v>
      </c>
      <c r="P244" s="8"/>
      <c r="Q244" s="8">
        <f>92219+35000+27768+366311+56721+544987+112656+136312+4984</f>
        <v>1376958</v>
      </c>
      <c r="R244" s="8"/>
      <c r="S244" s="8">
        <f>228201+8495+7092+528+308866+2436051</f>
        <v>2989233</v>
      </c>
      <c r="T244" s="8"/>
      <c r="U244" s="8">
        <v>1048286</v>
      </c>
      <c r="V244" s="8"/>
      <c r="W244" s="8">
        <f t="shared" si="19"/>
        <v>5414477</v>
      </c>
      <c r="X244" s="8"/>
      <c r="Y244" s="9">
        <f t="shared" si="20"/>
        <v>0</v>
      </c>
    </row>
    <row r="245" spans="1:25" ht="12.75" customHeight="1" x14ac:dyDescent="0.2">
      <c r="A245" s="7" t="s">
        <v>259</v>
      </c>
      <c r="B245" s="7"/>
      <c r="C245" s="7" t="s">
        <v>64</v>
      </c>
      <c r="E245" s="8">
        <v>19609888</v>
      </c>
      <c r="F245" s="8"/>
      <c r="G245" s="8">
        <v>28067212</v>
      </c>
      <c r="H245" s="8"/>
      <c r="I245" s="8">
        <v>0</v>
      </c>
      <c r="J245" s="8"/>
      <c r="K245" s="8">
        <v>0</v>
      </c>
      <c r="L245" s="8"/>
      <c r="M245" s="8">
        <v>6023223</v>
      </c>
      <c r="N245" s="8"/>
      <c r="O245" s="8">
        <v>4108723</v>
      </c>
      <c r="P245" s="8"/>
      <c r="Q245" s="8">
        <f>2899313+1937880</f>
        <v>4837193</v>
      </c>
      <c r="R245" s="8"/>
      <c r="S245" s="8">
        <f>2515950+1348736</f>
        <v>3864686</v>
      </c>
      <c r="T245" s="8"/>
      <c r="U245" s="8">
        <v>9233387</v>
      </c>
      <c r="V245" s="8"/>
      <c r="W245" s="8">
        <f t="shared" si="19"/>
        <v>17935266</v>
      </c>
      <c r="X245" s="8"/>
      <c r="Y245" s="9">
        <f t="shared" si="20"/>
        <v>0</v>
      </c>
    </row>
    <row r="246" spans="1:25" ht="12.75" customHeight="1" x14ac:dyDescent="0.2">
      <c r="A246" s="7" t="s">
        <v>260</v>
      </c>
      <c r="B246" s="7"/>
      <c r="C246" s="7" t="s">
        <v>130</v>
      </c>
      <c r="E246" s="8">
        <f>5013773+365</f>
        <v>5014138</v>
      </c>
      <c r="F246" s="8"/>
      <c r="G246" s="8">
        <v>10124736</v>
      </c>
      <c r="H246" s="8"/>
      <c r="I246" s="8">
        <v>0</v>
      </c>
      <c r="J246" s="8"/>
      <c r="K246" s="8">
        <v>4095156</v>
      </c>
      <c r="L246" s="8"/>
      <c r="M246" s="8">
        <v>4863006</v>
      </c>
      <c r="N246" s="8"/>
      <c r="O246" s="8">
        <v>0</v>
      </c>
      <c r="P246" s="8"/>
      <c r="Q246" s="8">
        <f>104959+3929702</f>
        <v>4034661</v>
      </c>
      <c r="R246" s="8"/>
      <c r="S246" s="8">
        <f>779995+340740</f>
        <v>1120735</v>
      </c>
      <c r="T246" s="8"/>
      <c r="U246" s="8">
        <v>106334</v>
      </c>
      <c r="V246" s="8"/>
      <c r="W246" s="8">
        <f t="shared" si="19"/>
        <v>5261730</v>
      </c>
      <c r="X246" s="8"/>
      <c r="Y246" s="9">
        <f t="shared" si="20"/>
        <v>0</v>
      </c>
    </row>
    <row r="247" spans="1:25" ht="12.75" customHeight="1" x14ac:dyDescent="0.2">
      <c r="A247" s="7" t="s">
        <v>497</v>
      </c>
      <c r="B247" s="10"/>
      <c r="C247" s="7" t="s">
        <v>43</v>
      </c>
      <c r="E247" s="8">
        <v>15329334</v>
      </c>
      <c r="F247" s="8"/>
      <c r="G247" s="8">
        <v>25981304</v>
      </c>
      <c r="H247" s="8"/>
      <c r="I247" s="8">
        <v>0</v>
      </c>
      <c r="J247" s="8"/>
      <c r="K247" s="8">
        <v>0</v>
      </c>
      <c r="L247" s="8"/>
      <c r="M247" s="8">
        <v>978999</v>
      </c>
      <c r="N247" s="8"/>
      <c r="O247" s="8">
        <v>9769216</v>
      </c>
      <c r="P247" s="8"/>
      <c r="Q247" s="8">
        <f>1530923+166167</f>
        <v>1697090</v>
      </c>
      <c r="R247" s="8"/>
      <c r="S247" s="8">
        <f>4860191+18253</f>
        <v>4878444</v>
      </c>
      <c r="T247" s="8"/>
      <c r="U247" s="8">
        <v>8657555</v>
      </c>
      <c r="V247" s="8"/>
      <c r="W247" s="8">
        <f t="shared" si="19"/>
        <v>15233089</v>
      </c>
      <c r="X247" s="8"/>
      <c r="Y247" s="9">
        <f t="shared" si="20"/>
        <v>0</v>
      </c>
    </row>
    <row r="248" spans="1:25" ht="12.75" customHeight="1" x14ac:dyDescent="0.2">
      <c r="A248" s="7" t="s">
        <v>261</v>
      </c>
      <c r="B248" s="7"/>
      <c r="C248" s="7" t="s">
        <v>51</v>
      </c>
      <c r="E248" s="8">
        <f>13483863+4964+128+2043</f>
        <v>13490998</v>
      </c>
      <c r="F248" s="8"/>
      <c r="G248" s="8">
        <v>28384267</v>
      </c>
      <c r="H248" s="8"/>
      <c r="I248" s="8">
        <v>0</v>
      </c>
      <c r="J248" s="8"/>
      <c r="K248" s="8">
        <v>2225401</v>
      </c>
      <c r="L248" s="8"/>
      <c r="M248" s="8">
        <v>7571774</v>
      </c>
      <c r="N248" s="8"/>
      <c r="O248" s="8">
        <v>0</v>
      </c>
      <c r="P248" s="8"/>
      <c r="Q248" s="8">
        <f>62424+424935+8534568+1032839+638866+287403+256374+1735370+772219+209273+2183458+839446</f>
        <v>16977175</v>
      </c>
      <c r="R248" s="8"/>
      <c r="S248" s="8">
        <f>50995+253295+1190149+162176+124258+378403+816172</f>
        <v>2975448</v>
      </c>
      <c r="T248" s="8"/>
      <c r="U248" s="8">
        <v>859870</v>
      </c>
      <c r="V248" s="8"/>
      <c r="W248" s="8">
        <f t="shared" si="19"/>
        <v>20812493</v>
      </c>
      <c r="X248" s="8"/>
      <c r="Y248" s="9">
        <f t="shared" si="20"/>
        <v>0</v>
      </c>
    </row>
    <row r="249" spans="1:25" ht="12.75" customHeight="1" x14ac:dyDescent="0.2">
      <c r="A249" s="7" t="s">
        <v>262</v>
      </c>
      <c r="B249" s="7"/>
      <c r="C249" s="7" t="s">
        <v>237</v>
      </c>
      <c r="E249" s="8">
        <v>4706423</v>
      </c>
      <c r="F249" s="8"/>
      <c r="G249" s="8">
        <v>8247346</v>
      </c>
      <c r="H249" s="8"/>
      <c r="I249" s="8">
        <v>0</v>
      </c>
      <c r="J249" s="8"/>
      <c r="K249" s="8">
        <v>0</v>
      </c>
      <c r="L249" s="8"/>
      <c r="M249" s="8">
        <v>782266</v>
      </c>
      <c r="N249" s="8"/>
      <c r="O249" s="8">
        <v>2522561</v>
      </c>
      <c r="P249" s="8"/>
      <c r="Q249" s="8">
        <f>115420+2718666</f>
        <v>2834086</v>
      </c>
      <c r="R249" s="8"/>
      <c r="S249" s="8">
        <v>960728</v>
      </c>
      <c r="T249" s="8"/>
      <c r="U249" s="8">
        <v>1147705</v>
      </c>
      <c r="V249" s="8"/>
      <c r="W249" s="8">
        <f t="shared" si="19"/>
        <v>4942519</v>
      </c>
      <c r="X249" s="8"/>
      <c r="Y249" s="9">
        <f t="shared" si="20"/>
        <v>0</v>
      </c>
    </row>
    <row r="250" spans="1:25" ht="12.75" customHeight="1" x14ac:dyDescent="0.2">
      <c r="A250" s="7" t="s">
        <v>109</v>
      </c>
      <c r="B250" s="7"/>
      <c r="C250" s="7" t="s">
        <v>78</v>
      </c>
      <c r="E250" s="8">
        <f>7190169+665959</f>
        <v>7856128</v>
      </c>
      <c r="F250" s="8"/>
      <c r="G250" s="8">
        <v>25594256</v>
      </c>
      <c r="H250" s="8"/>
      <c r="I250" s="8">
        <v>0</v>
      </c>
      <c r="J250" s="8"/>
      <c r="K250" s="8">
        <v>0</v>
      </c>
      <c r="L250" s="8"/>
      <c r="M250" s="8">
        <v>1515673</v>
      </c>
      <c r="N250" s="8"/>
      <c r="O250" s="8">
        <v>7061852</v>
      </c>
      <c r="P250" s="8"/>
      <c r="Q250" s="8">
        <f>3538+12951571</f>
        <v>12955109</v>
      </c>
      <c r="R250" s="8"/>
      <c r="S250" s="8">
        <v>743525</v>
      </c>
      <c r="T250" s="8"/>
      <c r="U250" s="8">
        <v>3318097</v>
      </c>
      <c r="V250" s="8"/>
      <c r="W250" s="8">
        <f t="shared" si="19"/>
        <v>17016731</v>
      </c>
      <c r="X250" s="8"/>
      <c r="Y250" s="9">
        <f t="shared" si="20"/>
        <v>0</v>
      </c>
    </row>
    <row r="251" spans="1:25" ht="12.75" hidden="1" customHeight="1" x14ac:dyDescent="0.2">
      <c r="A251" s="7" t="s">
        <v>263</v>
      </c>
      <c r="B251" s="7"/>
      <c r="C251" s="7" t="s">
        <v>25</v>
      </c>
      <c r="E251" s="8">
        <f>3552290+41552</f>
        <v>3593842</v>
      </c>
      <c r="F251" s="8"/>
      <c r="G251" s="8">
        <v>15491036</v>
      </c>
      <c r="H251" s="8"/>
      <c r="I251" s="8"/>
      <c r="J251" s="8"/>
      <c r="K251" s="8">
        <v>4133132</v>
      </c>
      <c r="L251" s="8"/>
      <c r="M251" s="8">
        <v>12668507</v>
      </c>
      <c r="N251" s="8"/>
      <c r="O251" s="8"/>
      <c r="P251" s="8"/>
      <c r="Q251" s="8">
        <f>373140+4394852+232940</f>
        <v>5000932</v>
      </c>
      <c r="R251" s="8"/>
      <c r="S251" s="8">
        <v>600805</v>
      </c>
      <c r="T251" s="8"/>
      <c r="U251" s="8">
        <v>-2779208</v>
      </c>
      <c r="V251" s="8"/>
      <c r="W251" s="8">
        <f t="shared" si="19"/>
        <v>2822529</v>
      </c>
      <c r="X251" s="8"/>
      <c r="Y251" s="9">
        <f t="shared" si="20"/>
        <v>0</v>
      </c>
    </row>
    <row r="252" spans="1:25" ht="12.75" customHeight="1" x14ac:dyDescent="0.2">
      <c r="A252" s="7" t="s">
        <v>498</v>
      </c>
      <c r="B252" s="7"/>
      <c r="C252" s="10" t="s">
        <v>448</v>
      </c>
      <c r="E252" s="8">
        <f>3552290+41552</f>
        <v>3593842</v>
      </c>
      <c r="F252" s="8"/>
      <c r="G252" s="8">
        <v>8833617</v>
      </c>
      <c r="H252" s="8"/>
      <c r="I252" s="8">
        <v>0</v>
      </c>
      <c r="J252" s="8"/>
      <c r="K252" s="8">
        <v>4016843</v>
      </c>
      <c r="L252" s="8"/>
      <c r="M252" s="8">
        <v>5332152</v>
      </c>
      <c r="N252" s="8"/>
      <c r="O252" s="8">
        <v>0</v>
      </c>
      <c r="P252" s="8"/>
      <c r="Q252" s="8">
        <f>77725+2762817</f>
        <v>2840542</v>
      </c>
      <c r="R252" s="8"/>
      <c r="S252" s="8">
        <f>40593+84628</f>
        <v>125221</v>
      </c>
      <c r="T252" s="8"/>
      <c r="U252" s="8">
        <v>535702</v>
      </c>
      <c r="V252" s="8"/>
      <c r="W252" s="8">
        <f t="shared" si="19"/>
        <v>3501465</v>
      </c>
      <c r="X252" s="8"/>
      <c r="Y252" s="9">
        <f t="shared" si="20"/>
        <v>0</v>
      </c>
    </row>
    <row r="253" spans="1:25" ht="12.75" customHeight="1" x14ac:dyDescent="0.2">
      <c r="A253" s="7" t="s">
        <v>499</v>
      </c>
      <c r="B253" s="10"/>
      <c r="C253" s="7" t="s">
        <v>161</v>
      </c>
      <c r="E253" s="8">
        <v>2363498</v>
      </c>
      <c r="F253" s="8"/>
      <c r="G253" s="8">
        <v>4134821</v>
      </c>
      <c r="H253" s="8"/>
      <c r="I253" s="8">
        <v>0</v>
      </c>
      <c r="J253" s="8"/>
      <c r="K253" s="8">
        <v>0</v>
      </c>
      <c r="L253" s="8"/>
      <c r="M253" s="8">
        <v>641517</v>
      </c>
      <c r="N253" s="8"/>
      <c r="O253" s="8">
        <v>1551628</v>
      </c>
      <c r="P253" s="8"/>
      <c r="Q253" s="8">
        <f>65752+843116</f>
        <v>908868</v>
      </c>
      <c r="R253" s="8"/>
      <c r="S253" s="8">
        <v>219950</v>
      </c>
      <c r="T253" s="8"/>
      <c r="U253" s="8">
        <v>812858</v>
      </c>
      <c r="V253" s="8"/>
      <c r="W253" s="8">
        <f t="shared" si="19"/>
        <v>1941676</v>
      </c>
      <c r="X253" s="8"/>
      <c r="Y253" s="9">
        <f t="shared" si="20"/>
        <v>0</v>
      </c>
    </row>
    <row r="254" spans="1:25" ht="12.75" customHeight="1" x14ac:dyDescent="0.2">
      <c r="A254" s="7" t="s">
        <v>264</v>
      </c>
      <c r="B254" s="7"/>
      <c r="C254" s="7" t="s">
        <v>265</v>
      </c>
      <c r="E254" s="8">
        <f>1887005+1154634+69622+274024</f>
        <v>3385285</v>
      </c>
      <c r="F254" s="8"/>
      <c r="G254" s="8">
        <v>5289064</v>
      </c>
      <c r="H254" s="8"/>
      <c r="I254" s="8">
        <v>0</v>
      </c>
      <c r="J254" s="8"/>
      <c r="K254" s="8">
        <v>0</v>
      </c>
      <c r="L254" s="8"/>
      <c r="M254" s="8">
        <v>359424</v>
      </c>
      <c r="N254" s="8"/>
      <c r="O254" s="8">
        <v>633523</v>
      </c>
      <c r="P254" s="8"/>
      <c r="Q254" s="8">
        <f>540010+879564</f>
        <v>1419574</v>
      </c>
      <c r="R254" s="8"/>
      <c r="S254" s="8">
        <f>2389673+48155</f>
        <v>2437828</v>
      </c>
      <c r="T254" s="8"/>
      <c r="U254" s="8">
        <v>438715</v>
      </c>
      <c r="V254" s="8"/>
      <c r="W254" s="8">
        <f t="shared" si="19"/>
        <v>4296117</v>
      </c>
      <c r="X254" s="8"/>
      <c r="Y254" s="9">
        <f t="shared" si="20"/>
        <v>0</v>
      </c>
    </row>
    <row r="255" spans="1:25" ht="12.75" hidden="1" customHeight="1" x14ac:dyDescent="0.2">
      <c r="A255" s="7" t="s">
        <v>266</v>
      </c>
      <c r="B255" s="7"/>
      <c r="C255" s="7" t="s">
        <v>267</v>
      </c>
      <c r="E255" s="8">
        <v>1025739</v>
      </c>
      <c r="F255" s="8"/>
      <c r="G255" s="8">
        <v>2518781</v>
      </c>
      <c r="H255" s="8"/>
      <c r="I255" s="8"/>
      <c r="J255" s="8"/>
      <c r="K255" s="8">
        <v>1246064</v>
      </c>
      <c r="L255" s="8"/>
      <c r="M255" s="8">
        <v>1346837</v>
      </c>
      <c r="N255" s="8"/>
      <c r="O255" s="8"/>
      <c r="P255" s="8"/>
      <c r="Q255" s="8">
        <f>7139+753871</f>
        <v>761010</v>
      </c>
      <c r="R255" s="8"/>
      <c r="S255" s="8">
        <v>11363</v>
      </c>
      <c r="T255" s="8"/>
      <c r="U255" s="8">
        <v>399571</v>
      </c>
      <c r="V255" s="8"/>
      <c r="W255" s="8">
        <f t="shared" si="19"/>
        <v>1171944</v>
      </c>
      <c r="X255" s="8"/>
      <c r="Y255" s="9">
        <f t="shared" si="20"/>
        <v>0</v>
      </c>
    </row>
    <row r="256" spans="1:25" ht="12.75" customHeight="1" x14ac:dyDescent="0.2">
      <c r="A256" s="7" t="s">
        <v>268</v>
      </c>
      <c r="B256" s="7"/>
      <c r="C256" s="7" t="s">
        <v>134</v>
      </c>
      <c r="E256" s="8">
        <f>1819287+2507039</f>
        <v>4326326</v>
      </c>
      <c r="F256" s="8"/>
      <c r="G256" s="8">
        <v>5894150</v>
      </c>
      <c r="H256" s="8"/>
      <c r="I256" s="8">
        <v>0</v>
      </c>
      <c r="J256" s="8"/>
      <c r="K256" s="8">
        <v>0</v>
      </c>
      <c r="L256" s="8"/>
      <c r="M256" s="8">
        <v>599905</v>
      </c>
      <c r="N256" s="8"/>
      <c r="O256" s="8">
        <v>624370</v>
      </c>
      <c r="P256" s="8"/>
      <c r="Q256" s="8">
        <f>204347+620281+831891+46921+70659+2771129</f>
        <v>4545228</v>
      </c>
      <c r="R256" s="8"/>
      <c r="S256" s="8">
        <v>2528</v>
      </c>
      <c r="T256" s="8"/>
      <c r="U256" s="8">
        <v>122119</v>
      </c>
      <c r="V256" s="8"/>
      <c r="W256" s="8">
        <f t="shared" si="19"/>
        <v>4669875</v>
      </c>
      <c r="X256" s="8"/>
      <c r="Y256" s="9">
        <f t="shared" si="20"/>
        <v>0</v>
      </c>
    </row>
    <row r="257" spans="1:25" ht="12.75" customHeight="1" x14ac:dyDescent="0.2">
      <c r="A257" s="7" t="s">
        <v>269</v>
      </c>
      <c r="B257" s="7"/>
      <c r="C257" s="7" t="s">
        <v>64</v>
      </c>
      <c r="E257" s="8">
        <v>3338827</v>
      </c>
      <c r="F257" s="8"/>
      <c r="G257" s="8">
        <v>6901588</v>
      </c>
      <c r="H257" s="8"/>
      <c r="I257" s="8">
        <v>0</v>
      </c>
      <c r="J257" s="8"/>
      <c r="K257" s="8">
        <v>2380000</v>
      </c>
      <c r="L257" s="8"/>
      <c r="M257" s="8">
        <v>4769675</v>
      </c>
      <c r="N257" s="8"/>
      <c r="O257" s="8">
        <v>0</v>
      </c>
      <c r="P257" s="8"/>
      <c r="Q257" s="8">
        <f>3758+1439896</f>
        <v>1443654</v>
      </c>
      <c r="R257" s="8"/>
      <c r="S257" s="8">
        <v>29993</v>
      </c>
      <c r="T257" s="8"/>
      <c r="U257" s="8">
        <v>658266</v>
      </c>
      <c r="V257" s="8"/>
      <c r="W257" s="8">
        <f t="shared" si="19"/>
        <v>2131913</v>
      </c>
      <c r="X257" s="8"/>
      <c r="Y257" s="9">
        <f t="shared" si="20"/>
        <v>0</v>
      </c>
    </row>
    <row r="258" spans="1:25" ht="12.75" customHeight="1" x14ac:dyDescent="0.2">
      <c r="A258" s="7" t="s">
        <v>270</v>
      </c>
      <c r="B258" s="7"/>
      <c r="C258" s="7" t="s">
        <v>41</v>
      </c>
      <c r="E258" s="8">
        <f>54841597+295543</f>
        <v>55137140</v>
      </c>
      <c r="F258" s="8"/>
      <c r="G258" s="8">
        <v>91355029</v>
      </c>
      <c r="H258" s="8"/>
      <c r="I258" s="8">
        <v>0</v>
      </c>
      <c r="J258" s="8"/>
      <c r="K258" s="8">
        <v>0</v>
      </c>
      <c r="L258" s="8"/>
      <c r="M258" s="8">
        <v>12048331</v>
      </c>
      <c r="N258" s="8"/>
      <c r="O258" s="8">
        <v>20364393</v>
      </c>
      <c r="P258" s="8"/>
      <c r="Q258" s="8">
        <f>11162009+12647327</f>
        <v>23809336</v>
      </c>
      <c r="R258" s="8"/>
      <c r="S258" s="8">
        <f>6852590+7076394</f>
        <v>13928984</v>
      </c>
      <c r="T258" s="8"/>
      <c r="U258" s="8">
        <v>21203985</v>
      </c>
      <c r="V258" s="8"/>
      <c r="W258" s="8">
        <f t="shared" si="19"/>
        <v>58942305</v>
      </c>
      <c r="X258" s="8"/>
      <c r="Y258" s="9">
        <f t="shared" si="20"/>
        <v>0</v>
      </c>
    </row>
    <row r="259" spans="1:25" ht="12.75" customHeight="1" x14ac:dyDescent="0.2">
      <c r="A259" s="7" t="s">
        <v>271</v>
      </c>
      <c r="B259" s="7"/>
      <c r="C259" s="7" t="s">
        <v>25</v>
      </c>
      <c r="E259" s="8">
        <f>66241836+375042+510143</f>
        <v>67127021</v>
      </c>
      <c r="F259" s="8"/>
      <c r="G259" s="8">
        <v>96062217</v>
      </c>
      <c r="H259" s="8"/>
      <c r="I259" s="8">
        <v>0</v>
      </c>
      <c r="J259" s="8"/>
      <c r="K259" s="8">
        <v>0</v>
      </c>
      <c r="L259" s="8"/>
      <c r="M259" s="8">
        <v>4270897</v>
      </c>
      <c r="N259" s="8"/>
      <c r="O259" s="8">
        <v>21408882</v>
      </c>
      <c r="P259" s="8"/>
      <c r="Q259" s="8">
        <f>1781388+29538716</f>
        <v>31320104</v>
      </c>
      <c r="R259" s="8"/>
      <c r="S259" s="8">
        <f>1785426+17166722</f>
        <v>18952148</v>
      </c>
      <c r="T259" s="8"/>
      <c r="U259" s="8">
        <v>20110186</v>
      </c>
      <c r="V259" s="8"/>
      <c r="W259" s="8">
        <f t="shared" si="19"/>
        <v>70382438</v>
      </c>
      <c r="X259" s="8"/>
      <c r="Y259" s="9">
        <f t="shared" si="20"/>
        <v>0</v>
      </c>
    </row>
    <row r="260" spans="1:25" ht="12.75" customHeight="1" x14ac:dyDescent="0.2">
      <c r="A260" s="7" t="s">
        <v>272</v>
      </c>
      <c r="B260" s="7"/>
      <c r="C260" s="7" t="s">
        <v>41</v>
      </c>
      <c r="E260" s="8">
        <f>13832740+126106</f>
        <v>13958846</v>
      </c>
      <c r="F260" s="8"/>
      <c r="G260" s="8">
        <v>18609037</v>
      </c>
      <c r="H260" s="8"/>
      <c r="I260" s="8">
        <v>0</v>
      </c>
      <c r="J260" s="8"/>
      <c r="K260" s="8">
        <v>0</v>
      </c>
      <c r="L260" s="8"/>
      <c r="M260" s="8">
        <v>1829107</v>
      </c>
      <c r="N260" s="8"/>
      <c r="O260" s="8">
        <v>2679995</v>
      </c>
      <c r="P260" s="8"/>
      <c r="Q260" s="8">
        <f>223141+3253917</f>
        <v>3477058</v>
      </c>
      <c r="R260" s="8"/>
      <c r="S260" s="8">
        <f>4848818+616175</f>
        <v>5464993</v>
      </c>
      <c r="T260" s="8"/>
      <c r="U260" s="8">
        <v>5157884</v>
      </c>
      <c r="V260" s="8"/>
      <c r="W260" s="8">
        <f t="shared" si="19"/>
        <v>14099935</v>
      </c>
      <c r="X260" s="8"/>
      <c r="Y260" s="9">
        <f t="shared" si="20"/>
        <v>0</v>
      </c>
    </row>
    <row r="261" spans="1:25" ht="12.75" customHeight="1" x14ac:dyDescent="0.2">
      <c r="A261" s="7" t="s">
        <v>273</v>
      </c>
      <c r="B261" s="7"/>
      <c r="C261" s="7" t="s">
        <v>90</v>
      </c>
      <c r="E261" s="8">
        <f>9918104+966</f>
        <v>9919070</v>
      </c>
      <c r="F261" s="8"/>
      <c r="G261" s="8">
        <v>15440603</v>
      </c>
      <c r="H261" s="8"/>
      <c r="I261" s="8">
        <v>0</v>
      </c>
      <c r="J261" s="8"/>
      <c r="K261" s="8">
        <v>0</v>
      </c>
      <c r="L261" s="8"/>
      <c r="M261" s="8">
        <v>2653153</v>
      </c>
      <c r="N261" s="8"/>
      <c r="O261" s="8">
        <v>2855515</v>
      </c>
      <c r="P261" s="8"/>
      <c r="Q261" s="8">
        <f>114593+484757</f>
        <v>599350</v>
      </c>
      <c r="R261" s="8"/>
      <c r="S261" s="8">
        <v>776401</v>
      </c>
      <c r="T261" s="8"/>
      <c r="U261" s="8">
        <v>8556184</v>
      </c>
      <c r="V261" s="8"/>
      <c r="W261" s="8">
        <f t="shared" si="19"/>
        <v>9931935</v>
      </c>
      <c r="X261" s="8"/>
      <c r="Y261" s="9">
        <f t="shared" si="20"/>
        <v>0</v>
      </c>
    </row>
    <row r="262" spans="1:25" ht="12.75" customHeight="1" x14ac:dyDescent="0.2">
      <c r="A262" s="7" t="s">
        <v>274</v>
      </c>
      <c r="B262" s="7"/>
      <c r="C262" s="7" t="s">
        <v>36</v>
      </c>
      <c r="E262" s="8">
        <f>5831909+249256</f>
        <v>6081165</v>
      </c>
      <c r="F262" s="8"/>
      <c r="G262" s="8">
        <v>7576492</v>
      </c>
      <c r="H262" s="8"/>
      <c r="I262" s="8">
        <v>0</v>
      </c>
      <c r="J262" s="8"/>
      <c r="K262" s="8">
        <v>0</v>
      </c>
      <c r="L262" s="8"/>
      <c r="M262" s="8">
        <v>828822</v>
      </c>
      <c r="N262" s="8"/>
      <c r="O262" s="8">
        <v>702325</v>
      </c>
      <c r="P262" s="8"/>
      <c r="Q262" s="8">
        <f>1678650+2290458</f>
        <v>3969108</v>
      </c>
      <c r="R262" s="8"/>
      <c r="S262" s="8">
        <f>98133+783057</f>
        <v>881190</v>
      </c>
      <c r="T262" s="8"/>
      <c r="U262" s="8">
        <v>1195047</v>
      </c>
      <c r="V262" s="8"/>
      <c r="W262" s="8">
        <f t="shared" si="19"/>
        <v>6045345</v>
      </c>
      <c r="X262" s="8"/>
      <c r="Y262" s="9">
        <f t="shared" si="20"/>
        <v>0</v>
      </c>
    </row>
    <row r="263" spans="1:25" ht="12.75" customHeight="1" x14ac:dyDescent="0.2">
      <c r="A263" s="7" t="s">
        <v>275</v>
      </c>
      <c r="B263" s="7"/>
      <c r="C263" s="7" t="s">
        <v>90</v>
      </c>
      <c r="E263" s="8">
        <v>15626200</v>
      </c>
      <c r="F263" s="8"/>
      <c r="G263" s="8">
        <v>33398758</v>
      </c>
      <c r="H263" s="8"/>
      <c r="I263" s="8">
        <v>0</v>
      </c>
      <c r="J263" s="8"/>
      <c r="K263" s="8">
        <v>0</v>
      </c>
      <c r="L263" s="8"/>
      <c r="M263" s="8">
        <v>7772526</v>
      </c>
      <c r="N263" s="8"/>
      <c r="O263" s="8">
        <v>8357334</v>
      </c>
      <c r="P263" s="8"/>
      <c r="Q263" s="8">
        <f>1970821+7696117</f>
        <v>9666938</v>
      </c>
      <c r="R263" s="8"/>
      <c r="S263" s="8">
        <f>371992+2082503</f>
        <v>2454495</v>
      </c>
      <c r="T263" s="8"/>
      <c r="U263" s="8">
        <v>5147465</v>
      </c>
      <c r="V263" s="8"/>
      <c r="W263" s="8">
        <f t="shared" si="19"/>
        <v>17268898</v>
      </c>
      <c r="X263" s="8"/>
      <c r="Y263" s="9">
        <f t="shared" si="20"/>
        <v>0</v>
      </c>
    </row>
    <row r="264" spans="1:25" ht="12.75" customHeight="1" x14ac:dyDescent="0.2">
      <c r="A264" s="7" t="s">
        <v>276</v>
      </c>
      <c r="B264" s="7"/>
      <c r="C264" s="7" t="s">
        <v>90</v>
      </c>
      <c r="E264" s="8">
        <f>3045254+31052</f>
        <v>3076306</v>
      </c>
      <c r="F264" s="8"/>
      <c r="G264" s="8">
        <v>16701295</v>
      </c>
      <c r="H264" s="8"/>
      <c r="I264" s="8">
        <v>0</v>
      </c>
      <c r="J264" s="8"/>
      <c r="K264" s="8">
        <v>0</v>
      </c>
      <c r="L264" s="8"/>
      <c r="M264" s="8">
        <v>1109618</v>
      </c>
      <c r="N264" s="8"/>
      <c r="O264" s="8">
        <v>12929667</v>
      </c>
      <c r="P264" s="8"/>
      <c r="Q264" s="8">
        <f>135689+1386111</f>
        <v>1521800</v>
      </c>
      <c r="R264" s="8"/>
      <c r="S264" s="8">
        <f>322460+95921</f>
        <v>418381</v>
      </c>
      <c r="T264" s="8"/>
      <c r="U264" s="8">
        <v>721829</v>
      </c>
      <c r="V264" s="8"/>
      <c r="W264" s="8">
        <f t="shared" si="19"/>
        <v>2662010</v>
      </c>
      <c r="X264" s="8"/>
      <c r="Y264" s="9">
        <f t="shared" si="20"/>
        <v>0</v>
      </c>
    </row>
    <row r="265" spans="1:25" ht="12.75" customHeight="1" x14ac:dyDescent="0.2">
      <c r="A265" s="7" t="s">
        <v>277</v>
      </c>
      <c r="B265" s="7"/>
      <c r="C265" s="7" t="s">
        <v>90</v>
      </c>
      <c r="E265" s="8">
        <v>5278699</v>
      </c>
      <c r="F265" s="8"/>
      <c r="G265" s="8">
        <v>12153014</v>
      </c>
      <c r="H265" s="8"/>
      <c r="I265" s="8">
        <v>0</v>
      </c>
      <c r="J265" s="8"/>
      <c r="K265" s="8">
        <v>6165318</v>
      </c>
      <c r="L265" s="8"/>
      <c r="M265" s="8">
        <v>7057901</v>
      </c>
      <c r="N265" s="8"/>
      <c r="O265" s="8">
        <v>0</v>
      </c>
      <c r="P265" s="8"/>
      <c r="Q265" s="8">
        <f>35714+3502040</f>
        <v>3537754</v>
      </c>
      <c r="R265" s="8"/>
      <c r="S265" s="8">
        <f>206065+220199</f>
        <v>426264</v>
      </c>
      <c r="T265" s="8"/>
      <c r="U265" s="8">
        <v>1131095</v>
      </c>
      <c r="V265" s="8"/>
      <c r="W265" s="8">
        <f t="shared" si="19"/>
        <v>5095113</v>
      </c>
      <c r="X265" s="8"/>
      <c r="Y265" s="9">
        <f t="shared" si="20"/>
        <v>0</v>
      </c>
    </row>
    <row r="266" spans="1:25" ht="12.75" customHeight="1" x14ac:dyDescent="0.2">
      <c r="A266" s="7" t="s">
        <v>278</v>
      </c>
      <c r="B266" s="7"/>
      <c r="C266" s="7" t="s">
        <v>279</v>
      </c>
      <c r="E266" s="8">
        <v>5386314</v>
      </c>
      <c r="F266" s="8"/>
      <c r="G266" s="8">
        <v>9846611</v>
      </c>
      <c r="H266" s="8"/>
      <c r="I266" s="8">
        <v>0</v>
      </c>
      <c r="J266" s="8"/>
      <c r="K266" s="8">
        <v>2635654</v>
      </c>
      <c r="L266" s="8"/>
      <c r="M266" s="8">
        <v>4170901</v>
      </c>
      <c r="N266" s="8"/>
      <c r="O266" s="8">
        <v>0</v>
      </c>
      <c r="P266" s="8"/>
      <c r="Q266" s="8">
        <f>35000+160246+38073+644310+424523+11672</f>
        <v>1313824</v>
      </c>
      <c r="R266" s="8"/>
      <c r="S266" s="8">
        <f>891232+4129+450117+84146</f>
        <v>1429624</v>
      </c>
      <c r="T266" s="8"/>
      <c r="U266" s="8">
        <v>2932262</v>
      </c>
      <c r="V266" s="8"/>
      <c r="W266" s="8">
        <f t="shared" si="19"/>
        <v>5675710</v>
      </c>
      <c r="X266" s="8"/>
      <c r="Y266" s="9">
        <f t="shared" si="20"/>
        <v>0</v>
      </c>
    </row>
    <row r="267" spans="1:25" ht="12.75" customHeight="1" x14ac:dyDescent="0.2">
      <c r="A267" s="7" t="s">
        <v>280</v>
      </c>
      <c r="B267" s="7"/>
      <c r="C267" s="7" t="s">
        <v>197</v>
      </c>
      <c r="E267" s="8">
        <v>17028825</v>
      </c>
      <c r="F267" s="8"/>
      <c r="G267" s="8">
        <v>26683793</v>
      </c>
      <c r="H267" s="8"/>
      <c r="I267" s="8">
        <v>0</v>
      </c>
      <c r="J267" s="8"/>
      <c r="K267" s="8">
        <v>7656880</v>
      </c>
      <c r="L267" s="8"/>
      <c r="M267" s="8">
        <v>10945324</v>
      </c>
      <c r="N267" s="8"/>
      <c r="O267" s="8">
        <v>0</v>
      </c>
      <c r="P267" s="8"/>
      <c r="Q267" s="8">
        <f>245103+3925939</f>
        <v>4171042</v>
      </c>
      <c r="R267" s="8"/>
      <c r="S267" s="8">
        <f>141105+5639032</f>
        <v>5780137</v>
      </c>
      <c r="T267" s="8"/>
      <c r="U267" s="8">
        <v>5787290</v>
      </c>
      <c r="V267" s="8"/>
      <c r="W267" s="8">
        <f t="shared" si="19"/>
        <v>15738469</v>
      </c>
      <c r="X267" s="8"/>
      <c r="Y267" s="9">
        <f t="shared" si="20"/>
        <v>0</v>
      </c>
    </row>
    <row r="268" spans="1:25" ht="12.75" customHeight="1" x14ac:dyDescent="0.2">
      <c r="A268" s="7" t="s">
        <v>281</v>
      </c>
      <c r="B268" s="7"/>
      <c r="C268" s="7" t="s">
        <v>41</v>
      </c>
      <c r="E268" s="8">
        <f>15251082+992+220119</f>
        <v>15472193</v>
      </c>
      <c r="F268" s="8"/>
      <c r="G268" s="8">
        <v>23641412</v>
      </c>
      <c r="H268" s="8"/>
      <c r="I268" s="8">
        <v>0</v>
      </c>
      <c r="J268" s="8"/>
      <c r="K268" s="8">
        <v>0</v>
      </c>
      <c r="L268" s="8"/>
      <c r="M268" s="8">
        <v>2373150</v>
      </c>
      <c r="N268" s="8"/>
      <c r="O268" s="8">
        <v>4128572</v>
      </c>
      <c r="P268" s="8"/>
      <c r="Q268" s="8">
        <f>263437+2152566</f>
        <v>2416003</v>
      </c>
      <c r="R268" s="8"/>
      <c r="S268" s="8">
        <f>7903876+126830</f>
        <v>8030706</v>
      </c>
      <c r="T268" s="8"/>
      <c r="U268" s="8">
        <v>6692981</v>
      </c>
      <c r="V268" s="8"/>
      <c r="W268" s="8">
        <f t="shared" si="19"/>
        <v>17139690</v>
      </c>
      <c r="X268" s="8"/>
      <c r="Y268" s="9">
        <f t="shared" si="20"/>
        <v>0</v>
      </c>
    </row>
    <row r="269" spans="1:25" ht="12.75" customHeight="1" x14ac:dyDescent="0.2">
      <c r="A269" s="7" t="s">
        <v>282</v>
      </c>
      <c r="B269" s="7"/>
      <c r="C269" s="7" t="s">
        <v>43</v>
      </c>
      <c r="E269" s="8">
        <f>4214363+68383</f>
        <v>4282746</v>
      </c>
      <c r="F269" s="8"/>
      <c r="G269" s="8">
        <v>10157839</v>
      </c>
      <c r="H269" s="8"/>
      <c r="I269" s="8">
        <v>0</v>
      </c>
      <c r="J269" s="8"/>
      <c r="K269" s="8">
        <v>4029180</v>
      </c>
      <c r="L269" s="8"/>
      <c r="M269" s="8">
        <v>5194420</v>
      </c>
      <c r="N269" s="8"/>
      <c r="O269" s="8">
        <v>0</v>
      </c>
      <c r="P269" s="8"/>
      <c r="Q269" s="8">
        <f>61992+444970</f>
        <v>506962</v>
      </c>
      <c r="R269" s="8"/>
      <c r="S269" s="8">
        <f>2586931+1235422</f>
        <v>3822353</v>
      </c>
      <c r="T269" s="8"/>
      <c r="U269" s="8">
        <v>634104</v>
      </c>
      <c r="V269" s="8"/>
      <c r="W269" s="8">
        <f t="shared" si="19"/>
        <v>4963419</v>
      </c>
      <c r="X269" s="8"/>
      <c r="Y269" s="9">
        <f t="shared" si="20"/>
        <v>0</v>
      </c>
    </row>
    <row r="270" spans="1:25" ht="12.75" customHeight="1" x14ac:dyDescent="0.2">
      <c r="A270" s="7" t="s">
        <v>283</v>
      </c>
      <c r="B270" s="7"/>
      <c r="C270" s="7" t="s">
        <v>28</v>
      </c>
      <c r="E270" s="8">
        <f>2547942+5838501</f>
        <v>8386443</v>
      </c>
      <c r="F270" s="8"/>
      <c r="G270" s="8">
        <v>15875544</v>
      </c>
      <c r="H270" s="8"/>
      <c r="I270" s="8">
        <v>0</v>
      </c>
      <c r="J270" s="8"/>
      <c r="K270" s="8">
        <v>3699909</v>
      </c>
      <c r="L270" s="8"/>
      <c r="M270" s="8">
        <v>4847048</v>
      </c>
      <c r="N270" s="8"/>
      <c r="O270" s="8">
        <v>0</v>
      </c>
      <c r="P270" s="8"/>
      <c r="Q270" s="8">
        <f>93522+169748+5173704</f>
        <v>5436974</v>
      </c>
      <c r="R270" s="8"/>
      <c r="S270" s="8">
        <f>149778+2225405</f>
        <v>2375183</v>
      </c>
      <c r="T270" s="8"/>
      <c r="U270" s="8">
        <v>3216339</v>
      </c>
      <c r="V270" s="8"/>
      <c r="W270" s="8">
        <f t="shared" si="19"/>
        <v>11028496</v>
      </c>
      <c r="X270" s="8"/>
      <c r="Y270" s="9">
        <f t="shared" si="20"/>
        <v>0</v>
      </c>
    </row>
    <row r="271" spans="1:25" ht="12.75" customHeight="1" x14ac:dyDescent="0.2">
      <c r="A271" s="7" t="s">
        <v>284</v>
      </c>
      <c r="B271" s="7"/>
      <c r="C271" s="7" t="s">
        <v>59</v>
      </c>
      <c r="E271" s="8">
        <v>10308366</v>
      </c>
      <c r="F271" s="8"/>
      <c r="G271" s="8">
        <v>35712472</v>
      </c>
      <c r="H271" s="8"/>
      <c r="I271" s="8">
        <v>0</v>
      </c>
      <c r="J271" s="8"/>
      <c r="K271" s="8">
        <v>9277381</v>
      </c>
      <c r="L271" s="8"/>
      <c r="M271" s="8">
        <v>29711963</v>
      </c>
      <c r="N271" s="8"/>
      <c r="O271" s="8">
        <v>0</v>
      </c>
      <c r="P271" s="8"/>
      <c r="Q271" s="8">
        <f>3270075+10377202</f>
        <v>13647277</v>
      </c>
      <c r="R271" s="8"/>
      <c r="S271" s="8">
        <f>118491+404887</f>
        <v>523378</v>
      </c>
      <c r="T271" s="8"/>
      <c r="U271" s="8">
        <v>-8170146</v>
      </c>
      <c r="V271" s="8"/>
      <c r="W271" s="8">
        <f t="shared" si="19"/>
        <v>6000509</v>
      </c>
      <c r="X271" s="8"/>
      <c r="Y271" s="9">
        <f t="shared" si="20"/>
        <v>0</v>
      </c>
    </row>
    <row r="272" spans="1:25" ht="12.75" customHeight="1" x14ac:dyDescent="0.2">
      <c r="A272" s="7" t="s">
        <v>285</v>
      </c>
      <c r="B272" s="7"/>
      <c r="C272" s="7" t="s">
        <v>286</v>
      </c>
      <c r="E272" s="8">
        <f>7503640+24249+7545+40000</f>
        <v>7575434</v>
      </c>
      <c r="F272" s="8"/>
      <c r="G272" s="8">
        <v>16721691</v>
      </c>
      <c r="H272" s="8"/>
      <c r="I272" s="8">
        <v>0</v>
      </c>
      <c r="J272" s="8"/>
      <c r="K272" s="8">
        <v>0</v>
      </c>
      <c r="L272" s="8"/>
      <c r="M272" s="8">
        <v>2445059</v>
      </c>
      <c r="N272" s="8"/>
      <c r="O272" s="8">
        <v>5434068</v>
      </c>
      <c r="P272" s="8"/>
      <c r="Q272" s="8">
        <f>958266+4440330</f>
        <v>5398596</v>
      </c>
      <c r="R272" s="8"/>
      <c r="S272" s="8">
        <f>142854+271905</f>
        <v>414759</v>
      </c>
      <c r="T272" s="8"/>
      <c r="U272" s="8">
        <v>3029209</v>
      </c>
      <c r="V272" s="8"/>
      <c r="W272" s="8">
        <f t="shared" si="19"/>
        <v>8842564</v>
      </c>
      <c r="X272" s="8"/>
      <c r="Y272" s="9">
        <f t="shared" si="20"/>
        <v>0</v>
      </c>
    </row>
    <row r="273" spans="2:2" ht="12.75" customHeight="1" x14ac:dyDescent="0.2">
      <c r="B273" s="7"/>
    </row>
    <row r="274" spans="2:2" ht="12.75" customHeight="1" x14ac:dyDescent="0.2">
      <c r="B274" s="7"/>
    </row>
  </sheetData>
  <phoneticPr fontId="4" type="noConversion"/>
  <pageMargins left="0.75" right="0.75" top="0.5" bottom="0.5" header="0" footer="0.25"/>
  <pageSetup scale="74" firstPageNumber="36" pageOrder="overThenDown" orientation="portrait" useFirstPageNumber="1" r:id="rId1"/>
  <headerFooter alignWithMargins="0">
    <oddFooter>&amp;C&amp;"Times New Roman,Regular"&amp;11&amp;P</oddFooter>
  </headerFooter>
  <colBreaks count="1" manualBreakCount="1">
    <brk id="15" max="27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44"/>
  <sheetViews>
    <sheetView view="pageBreakPreview" zoomScaleNormal="100" zoomScaleSheetLayoutView="100" workbookViewId="0">
      <pane xSplit="3" ySplit="8" topLeftCell="D173" activePane="bottomRight" state="frozen"/>
      <selection pane="topRight" activeCell="D1" sqref="D1"/>
      <selection pane="bottomLeft" activeCell="A8" sqref="A8"/>
      <selection pane="bottomRight" activeCell="K138" sqref="K138"/>
    </sheetView>
  </sheetViews>
  <sheetFormatPr defaultColWidth="9.140625" defaultRowHeight="12.75" customHeight="1" x14ac:dyDescent="0.2"/>
  <cols>
    <col min="1" max="1" width="20.5703125" style="12" customWidth="1"/>
    <col min="2" max="2" width="1.7109375" style="91" customWidth="1"/>
    <col min="3" max="3" width="14.5703125" style="12" customWidth="1"/>
    <col min="4" max="4" width="1.7109375" style="10" customWidth="1"/>
    <col min="5" max="5" width="12.28515625" style="12" customWidth="1"/>
    <col min="6" max="6" width="1.7109375" style="12" customWidth="1"/>
    <col min="7" max="7" width="12.28515625" style="12" customWidth="1"/>
    <col min="8" max="8" width="1.7109375" style="12" customWidth="1"/>
    <col min="9" max="9" width="12.28515625" style="12" customWidth="1"/>
    <col min="10" max="10" width="1.7109375" style="12" customWidth="1"/>
    <col min="11" max="11" width="12.28515625" style="12" customWidth="1"/>
    <col min="12" max="12" width="1.7109375" style="12" customWidth="1"/>
    <col min="13" max="13" width="12.28515625" style="12" customWidth="1"/>
    <col min="14" max="14" width="1.7109375" style="12" customWidth="1"/>
    <col min="15" max="15" width="12.28515625" style="12" customWidth="1"/>
    <col min="16" max="16" width="1.7109375" style="12" customWidth="1"/>
    <col min="17" max="17" width="12.28515625" style="12" customWidth="1"/>
    <col min="18" max="18" width="1.7109375" style="12" customWidth="1"/>
    <col min="19" max="19" width="12.28515625" style="7" customWidth="1"/>
    <col min="20" max="20" width="1.7109375" style="12" customWidth="1"/>
    <col min="21" max="21" width="12.28515625" style="11" customWidth="1"/>
    <col min="22" max="22" width="2.5703125" style="10" customWidth="1"/>
    <col min="23" max="23" width="12.28515625" style="10" customWidth="1"/>
    <col min="24" max="25" width="9.28515625" style="10" bestFit="1" customWidth="1"/>
    <col min="26" max="16384" width="9.140625" style="10"/>
  </cols>
  <sheetData>
    <row r="1" spans="1:24" s="79" customFormat="1" ht="12.75" customHeight="1" x14ac:dyDescent="0.2">
      <c r="A1" s="38" t="s">
        <v>385</v>
      </c>
      <c r="C1" s="38"/>
      <c r="D1" s="10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23"/>
      <c r="T1" s="38"/>
      <c r="U1" s="77"/>
      <c r="V1" s="75"/>
    </row>
    <row r="2" spans="1:24" s="79" customFormat="1" ht="12.75" customHeight="1" x14ac:dyDescent="0.2">
      <c r="A2" s="38" t="s">
        <v>505</v>
      </c>
      <c r="C2" s="38"/>
      <c r="D2" s="10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23"/>
      <c r="T2" s="38"/>
      <c r="U2" s="77"/>
      <c r="V2" s="75"/>
    </row>
    <row r="3" spans="1:24" s="12" customFormat="1" ht="12.75" customHeight="1" x14ac:dyDescent="0.2">
      <c r="A3" s="75" t="s">
        <v>287</v>
      </c>
      <c r="C3" s="13"/>
      <c r="D3" s="10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6"/>
      <c r="T3" s="13"/>
      <c r="U3" s="16"/>
      <c r="V3" s="13"/>
    </row>
    <row r="4" spans="1:24" s="12" customFormat="1" ht="12.75" customHeight="1" x14ac:dyDescent="0.2">
      <c r="A4" s="75"/>
      <c r="C4" s="13"/>
      <c r="D4" s="10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6"/>
      <c r="T4" s="13"/>
      <c r="U4" s="16"/>
      <c r="V4" s="13"/>
    </row>
    <row r="6" spans="1:24" s="44" customFormat="1" ht="12.75" customHeight="1" x14ac:dyDescent="0.2">
      <c r="A6" s="38"/>
      <c r="C6" s="3"/>
      <c r="D6" s="4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90"/>
      <c r="T6" s="3"/>
      <c r="U6" s="16"/>
      <c r="V6" s="3"/>
      <c r="W6" s="44" t="s">
        <v>292</v>
      </c>
    </row>
    <row r="7" spans="1:24" s="44" customFormat="1" ht="12.75" customHeight="1" x14ac:dyDescent="0.2">
      <c r="A7" s="3"/>
      <c r="C7" s="3"/>
      <c r="D7" s="3"/>
      <c r="E7" s="3" t="s">
        <v>291</v>
      </c>
      <c r="F7" s="3"/>
      <c r="G7" s="3" t="s">
        <v>324</v>
      </c>
      <c r="H7" s="3"/>
      <c r="I7" s="3" t="s">
        <v>292</v>
      </c>
      <c r="J7" s="3"/>
      <c r="K7" s="3" t="s">
        <v>290</v>
      </c>
      <c r="L7" s="3"/>
      <c r="M7" s="3" t="s">
        <v>325</v>
      </c>
      <c r="N7" s="3"/>
      <c r="O7" s="3" t="s">
        <v>326</v>
      </c>
      <c r="P7" s="3"/>
      <c r="Q7" s="3" t="s">
        <v>327</v>
      </c>
      <c r="R7" s="3"/>
      <c r="S7" s="90" t="s">
        <v>328</v>
      </c>
      <c r="T7" s="3"/>
      <c r="U7" s="90" t="s">
        <v>5</v>
      </c>
      <c r="V7" s="3"/>
      <c r="W7" s="44" t="s">
        <v>431</v>
      </c>
    </row>
    <row r="8" spans="1:24" s="44" customFormat="1" ht="12.75" customHeight="1" x14ac:dyDescent="0.2">
      <c r="A8" s="46" t="s">
        <v>6</v>
      </c>
      <c r="C8" s="46" t="s">
        <v>7</v>
      </c>
      <c r="D8" s="3"/>
      <c r="E8" s="46" t="s">
        <v>421</v>
      </c>
      <c r="F8" s="3"/>
      <c r="G8" s="46" t="s">
        <v>297</v>
      </c>
      <c r="H8" s="3"/>
      <c r="I8" s="46" t="s">
        <v>297</v>
      </c>
      <c r="J8" s="3"/>
      <c r="K8" s="46" t="s">
        <v>295</v>
      </c>
      <c r="L8" s="3"/>
      <c r="M8" s="46" t="s">
        <v>329</v>
      </c>
      <c r="N8" s="3"/>
      <c r="O8" s="46" t="s">
        <v>330</v>
      </c>
      <c r="P8" s="3"/>
      <c r="Q8" s="46" t="s">
        <v>399</v>
      </c>
      <c r="R8" s="3"/>
      <c r="S8" s="27" t="s">
        <v>321</v>
      </c>
      <c r="T8" s="3"/>
      <c r="U8" s="27" t="s">
        <v>300</v>
      </c>
      <c r="V8" s="3"/>
      <c r="W8" s="45" t="s">
        <v>432</v>
      </c>
    </row>
    <row r="9" spans="1:24" s="44" customFormat="1" ht="12.75" customHeight="1" x14ac:dyDescent="0.2">
      <c r="A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90"/>
      <c r="T9" s="3"/>
      <c r="U9" s="16"/>
      <c r="V9" s="3"/>
    </row>
    <row r="10" spans="1:24" s="9" customFormat="1" ht="12.75" hidden="1" customHeight="1" x14ac:dyDescent="0.2">
      <c r="A10" s="7" t="s">
        <v>10</v>
      </c>
      <c r="B10" s="12"/>
      <c r="C10" s="7" t="s">
        <v>11</v>
      </c>
      <c r="D10" s="6"/>
      <c r="E10" s="40">
        <v>13590625</v>
      </c>
      <c r="F10" s="40"/>
      <c r="G10" s="40">
        <v>77932879</v>
      </c>
      <c r="H10" s="40"/>
      <c r="I10" s="40">
        <v>0</v>
      </c>
      <c r="J10" s="40"/>
      <c r="K10" s="40">
        <v>13295883</v>
      </c>
      <c r="L10" s="40"/>
      <c r="M10" s="40">
        <v>0</v>
      </c>
      <c r="N10" s="40"/>
      <c r="O10" s="40">
        <v>21047</v>
      </c>
      <c r="P10" s="40"/>
      <c r="Q10" s="40">
        <v>6156712</v>
      </c>
      <c r="R10" s="40"/>
      <c r="S10" s="9">
        <f>U10-E10-G10-K10-M10-O10-Q10-I10</f>
        <v>27876768</v>
      </c>
      <c r="T10" s="40"/>
      <c r="U10" s="40">
        <v>138873914</v>
      </c>
      <c r="V10" s="19"/>
      <c r="W10" s="9">
        <v>5728080</v>
      </c>
    </row>
    <row r="11" spans="1:24" s="9" customFormat="1" ht="12.75" customHeight="1" x14ac:dyDescent="0.2">
      <c r="A11" s="7" t="s">
        <v>12</v>
      </c>
      <c r="B11" s="12"/>
      <c r="C11" s="7" t="s">
        <v>13</v>
      </c>
      <c r="D11" s="6"/>
      <c r="E11" s="40">
        <v>841102</v>
      </c>
      <c r="F11" s="40"/>
      <c r="G11" s="40">
        <v>8178643</v>
      </c>
      <c r="H11" s="40"/>
      <c r="I11" s="40">
        <v>0</v>
      </c>
      <c r="J11" s="40"/>
      <c r="K11" s="40">
        <v>313836</v>
      </c>
      <c r="L11" s="40"/>
      <c r="M11" s="40">
        <v>868401</v>
      </c>
      <c r="N11" s="40"/>
      <c r="O11" s="40">
        <v>0</v>
      </c>
      <c r="P11" s="40"/>
      <c r="Q11" s="40">
        <f>157963+370629</f>
        <v>528592</v>
      </c>
      <c r="R11" s="40"/>
      <c r="S11" s="9">
        <f t="shared" ref="S11:S66" si="0">U11-E11-G11-K11-M11-O11-Q11-I11</f>
        <v>576429</v>
      </c>
      <c r="T11" s="40"/>
      <c r="U11" s="40">
        <v>11307003</v>
      </c>
      <c r="V11" s="19"/>
      <c r="W11" s="9">
        <v>6</v>
      </c>
    </row>
    <row r="12" spans="1:24" s="12" customFormat="1" ht="12.75" customHeight="1" x14ac:dyDescent="0.2">
      <c r="A12" s="7" t="s">
        <v>14</v>
      </c>
      <c r="C12" s="7" t="s">
        <v>15</v>
      </c>
      <c r="D12" s="6"/>
      <c r="E12" s="8">
        <v>823293</v>
      </c>
      <c r="F12" s="8"/>
      <c r="G12" s="8">
        <v>2964610</v>
      </c>
      <c r="H12" s="8"/>
      <c r="I12" s="8">
        <v>0</v>
      </c>
      <c r="J12" s="8"/>
      <c r="K12" s="8">
        <v>107121</v>
      </c>
      <c r="L12" s="8"/>
      <c r="M12" s="8">
        <v>1208868</v>
      </c>
      <c r="N12" s="8"/>
      <c r="O12" s="8">
        <v>0</v>
      </c>
      <c r="P12" s="8"/>
      <c r="Q12" s="8">
        <f>171810+88767</f>
        <v>260577</v>
      </c>
      <c r="R12" s="8"/>
      <c r="S12" s="7">
        <f t="shared" si="0"/>
        <v>124892</v>
      </c>
      <c r="T12" s="8"/>
      <c r="U12" s="8">
        <v>5489361</v>
      </c>
      <c r="V12" s="6"/>
      <c r="W12" s="8">
        <v>12880</v>
      </c>
    </row>
    <row r="13" spans="1:24" s="12" customFormat="1" ht="12.75" customHeight="1" x14ac:dyDescent="0.2">
      <c r="A13" s="7" t="s">
        <v>16</v>
      </c>
      <c r="C13" s="7" t="s">
        <v>16</v>
      </c>
      <c r="D13" s="6"/>
      <c r="E13" s="8">
        <v>547139</v>
      </c>
      <c r="F13" s="8"/>
      <c r="G13" s="8">
        <v>6937454</v>
      </c>
      <c r="H13" s="8"/>
      <c r="I13" s="8">
        <v>0</v>
      </c>
      <c r="J13" s="8"/>
      <c r="K13" s="8">
        <v>1030448</v>
      </c>
      <c r="L13" s="8"/>
      <c r="M13" s="8">
        <v>696913</v>
      </c>
      <c r="N13" s="8"/>
      <c r="O13" s="8">
        <v>0</v>
      </c>
      <c r="P13" s="8"/>
      <c r="Q13" s="8">
        <f>21867+703556</f>
        <v>725423</v>
      </c>
      <c r="R13" s="8"/>
      <c r="S13" s="7">
        <f t="shared" si="0"/>
        <v>78818</v>
      </c>
      <c r="T13" s="8"/>
      <c r="U13" s="8">
        <v>10016195</v>
      </c>
      <c r="V13" s="6"/>
      <c r="W13" s="8">
        <v>0</v>
      </c>
    </row>
    <row r="14" spans="1:24" s="12" customFormat="1" ht="12.75" customHeight="1" x14ac:dyDescent="0.2">
      <c r="A14" s="7" t="s">
        <v>17</v>
      </c>
      <c r="C14" s="7" t="s">
        <v>17</v>
      </c>
      <c r="D14" s="6"/>
      <c r="E14" s="8">
        <v>865814</v>
      </c>
      <c r="F14" s="8"/>
      <c r="G14" s="8">
        <v>5448549</v>
      </c>
      <c r="H14" s="8"/>
      <c r="I14" s="8">
        <v>257048</v>
      </c>
      <c r="J14" s="8"/>
      <c r="K14" s="8">
        <v>594662</v>
      </c>
      <c r="L14" s="8"/>
      <c r="M14" s="8">
        <v>1334699</v>
      </c>
      <c r="N14" s="8"/>
      <c r="O14" s="8">
        <v>0</v>
      </c>
      <c r="P14" s="8"/>
      <c r="Q14" s="8">
        <f>58450+617619</f>
        <v>676069</v>
      </c>
      <c r="R14" s="8"/>
      <c r="S14" s="7">
        <f t="shared" si="0"/>
        <v>261577</v>
      </c>
      <c r="T14" s="8"/>
      <c r="U14" s="8">
        <v>9438418</v>
      </c>
      <c r="V14" s="6"/>
      <c r="W14" s="8">
        <v>85000</v>
      </c>
      <c r="X14" s="7"/>
    </row>
    <row r="15" spans="1:24" s="12" customFormat="1" ht="12.75" customHeight="1" x14ac:dyDescent="0.2">
      <c r="A15" s="7" t="s">
        <v>18</v>
      </c>
      <c r="C15" s="7" t="s">
        <v>18</v>
      </c>
      <c r="D15" s="6"/>
      <c r="E15" s="8">
        <v>767469</v>
      </c>
      <c r="F15" s="8"/>
      <c r="G15" s="8">
        <v>6550763</v>
      </c>
      <c r="H15" s="8"/>
      <c r="I15" s="8">
        <v>135761</v>
      </c>
      <c r="J15" s="8"/>
      <c r="K15" s="8">
        <v>946004</v>
      </c>
      <c r="L15" s="8"/>
      <c r="M15" s="8">
        <v>1062824</v>
      </c>
      <c r="N15" s="8"/>
      <c r="O15" s="8">
        <v>1570</v>
      </c>
      <c r="P15" s="8"/>
      <c r="Q15" s="8">
        <f>609224+1448469</f>
        <v>2057693</v>
      </c>
      <c r="R15" s="8"/>
      <c r="S15" s="7">
        <f t="shared" si="0"/>
        <v>214299</v>
      </c>
      <c r="T15" s="8"/>
      <c r="U15" s="8">
        <v>11736383</v>
      </c>
      <c r="V15" s="6"/>
      <c r="W15" s="8">
        <v>0</v>
      </c>
    </row>
    <row r="16" spans="1:24" s="12" customFormat="1" ht="12.75" customHeight="1" x14ac:dyDescent="0.2">
      <c r="A16" s="7" t="s">
        <v>19</v>
      </c>
      <c r="C16" s="7" t="s">
        <v>20</v>
      </c>
      <c r="D16" s="6"/>
      <c r="E16" s="8">
        <v>1263566</v>
      </c>
      <c r="F16" s="8"/>
      <c r="G16" s="8">
        <v>10801097</v>
      </c>
      <c r="H16" s="8"/>
      <c r="I16" s="8">
        <v>1601365</v>
      </c>
      <c r="J16" s="8"/>
      <c r="K16" s="8">
        <v>243431</v>
      </c>
      <c r="L16" s="8"/>
      <c r="M16" s="8">
        <v>400847</v>
      </c>
      <c r="N16" s="8"/>
      <c r="O16" s="8">
        <v>0</v>
      </c>
      <c r="P16" s="8"/>
      <c r="Q16" s="8">
        <f>215605+17715</f>
        <v>233320</v>
      </c>
      <c r="R16" s="8"/>
      <c r="S16" s="7">
        <f t="shared" si="0"/>
        <v>77405</v>
      </c>
      <c r="T16" s="8"/>
      <c r="U16" s="8">
        <v>14621031</v>
      </c>
      <c r="V16" s="6"/>
      <c r="W16" s="8">
        <v>0</v>
      </c>
    </row>
    <row r="17" spans="1:23" s="12" customFormat="1" ht="12.75" customHeight="1" x14ac:dyDescent="0.2">
      <c r="A17" s="7" t="s">
        <v>21</v>
      </c>
      <c r="C17" s="7" t="s">
        <v>15</v>
      </c>
      <c r="D17" s="6"/>
      <c r="E17" s="8">
        <v>1583032</v>
      </c>
      <c r="F17" s="8"/>
      <c r="G17" s="8">
        <v>6143850</v>
      </c>
      <c r="H17" s="8"/>
      <c r="I17" s="8">
        <v>0</v>
      </c>
      <c r="J17" s="8"/>
      <c r="K17" s="8">
        <v>621097</v>
      </c>
      <c r="L17" s="8"/>
      <c r="M17" s="8">
        <v>1472210</v>
      </c>
      <c r="N17" s="8"/>
      <c r="O17" s="8">
        <v>0</v>
      </c>
      <c r="P17" s="8"/>
      <c r="Q17" s="8">
        <f>645364+394330</f>
        <v>1039694</v>
      </c>
      <c r="R17" s="8"/>
      <c r="S17" s="7">
        <f t="shared" si="0"/>
        <v>243204</v>
      </c>
      <c r="T17" s="8"/>
      <c r="U17" s="8">
        <v>11103087</v>
      </c>
      <c r="V17" s="6"/>
      <c r="W17" s="8">
        <v>193219</v>
      </c>
    </row>
    <row r="18" spans="1:23" s="12" customFormat="1" ht="12.75" customHeight="1" x14ac:dyDescent="0.2">
      <c r="A18" s="7" t="s">
        <v>22</v>
      </c>
      <c r="C18" s="7" t="s">
        <v>15</v>
      </c>
      <c r="D18" s="6"/>
      <c r="E18" s="8">
        <v>1219341</v>
      </c>
      <c r="F18" s="8"/>
      <c r="G18" s="8">
        <v>4378124</v>
      </c>
      <c r="H18" s="8"/>
      <c r="I18" s="8">
        <v>0</v>
      </c>
      <c r="J18" s="8"/>
      <c r="K18" s="8">
        <v>446776</v>
      </c>
      <c r="L18" s="8"/>
      <c r="M18" s="8">
        <v>76548</v>
      </c>
      <c r="N18" s="8"/>
      <c r="O18" s="8">
        <v>0</v>
      </c>
      <c r="P18" s="8"/>
      <c r="Q18" s="8">
        <f>1295047+324662</f>
        <v>1619709</v>
      </c>
      <c r="R18" s="8"/>
      <c r="S18" s="7">
        <f t="shared" ref="S18" si="1">U18-E18-G18-K18-M18-O18-Q18-I18</f>
        <v>319646</v>
      </c>
      <c r="T18" s="8"/>
      <c r="U18" s="8">
        <v>8060144</v>
      </c>
      <c r="V18" s="6"/>
      <c r="W18" s="8">
        <v>648128</v>
      </c>
    </row>
    <row r="19" spans="1:23" s="12" customFormat="1" ht="12.75" customHeight="1" x14ac:dyDescent="0.2">
      <c r="A19" s="7" t="s">
        <v>23</v>
      </c>
      <c r="C19" s="7" t="s">
        <v>11</v>
      </c>
      <c r="D19" s="6"/>
      <c r="E19" s="8">
        <v>676147</v>
      </c>
      <c r="F19" s="8"/>
      <c r="G19" s="8">
        <v>10218388</v>
      </c>
      <c r="H19" s="8"/>
      <c r="I19" s="8">
        <v>0</v>
      </c>
      <c r="J19" s="8"/>
      <c r="K19" s="8">
        <v>1919146</v>
      </c>
      <c r="L19" s="8"/>
      <c r="M19" s="8">
        <v>2466861</v>
      </c>
      <c r="N19" s="8"/>
      <c r="O19" s="8">
        <v>0</v>
      </c>
      <c r="P19" s="8"/>
      <c r="Q19" s="8">
        <f>494997+87402</f>
        <v>582399</v>
      </c>
      <c r="R19" s="8"/>
      <c r="S19" s="7">
        <f t="shared" si="0"/>
        <v>266409</v>
      </c>
      <c r="T19" s="8"/>
      <c r="U19" s="8">
        <v>16129350</v>
      </c>
      <c r="V19" s="6"/>
      <c r="W19" s="8">
        <f>12721+15790</f>
        <v>28511</v>
      </c>
    </row>
    <row r="20" spans="1:23" s="12" customFormat="1" ht="12.75" customHeight="1" x14ac:dyDescent="0.2">
      <c r="A20" s="7" t="s">
        <v>24</v>
      </c>
      <c r="C20" s="7" t="s">
        <v>25</v>
      </c>
      <c r="D20" s="6"/>
      <c r="E20" s="8">
        <v>3479814</v>
      </c>
      <c r="F20" s="8"/>
      <c r="G20" s="8">
        <v>5061005</v>
      </c>
      <c r="H20" s="8"/>
      <c r="I20" s="8">
        <v>0</v>
      </c>
      <c r="J20" s="8"/>
      <c r="K20" s="8">
        <v>305563</v>
      </c>
      <c r="L20" s="8"/>
      <c r="M20" s="8">
        <v>2229536</v>
      </c>
      <c r="N20" s="8"/>
      <c r="O20" s="8">
        <v>0</v>
      </c>
      <c r="P20" s="8"/>
      <c r="Q20" s="8">
        <v>481804</v>
      </c>
      <c r="R20" s="8"/>
      <c r="S20" s="7">
        <f t="shared" si="0"/>
        <v>484457</v>
      </c>
      <c r="T20" s="8"/>
      <c r="U20" s="8">
        <v>12042179</v>
      </c>
      <c r="V20" s="6"/>
      <c r="W20" s="8">
        <v>0</v>
      </c>
    </row>
    <row r="21" spans="1:23" s="12" customFormat="1" ht="12.75" customHeight="1" x14ac:dyDescent="0.2">
      <c r="A21" s="7" t="s">
        <v>26</v>
      </c>
      <c r="C21" s="7" t="s">
        <v>25</v>
      </c>
      <c r="D21" s="6"/>
      <c r="E21" s="8">
        <v>2377630</v>
      </c>
      <c r="F21" s="8"/>
      <c r="G21" s="8">
        <v>28162508</v>
      </c>
      <c r="H21" s="8"/>
      <c r="I21" s="8">
        <f>3045450+399449+805323+131450</f>
        <v>4381672</v>
      </c>
      <c r="J21" s="8"/>
      <c r="K21" s="8">
        <v>2109663</v>
      </c>
      <c r="L21" s="8"/>
      <c r="M21" s="8">
        <v>518387</v>
      </c>
      <c r="N21" s="8"/>
      <c r="O21" s="8">
        <v>0</v>
      </c>
      <c r="P21" s="8"/>
      <c r="Q21" s="8">
        <v>1089326</v>
      </c>
      <c r="R21" s="8"/>
      <c r="S21" s="7">
        <f t="shared" si="0"/>
        <v>1119470</v>
      </c>
      <c r="T21" s="8"/>
      <c r="U21" s="8">
        <v>39758656</v>
      </c>
      <c r="V21" s="6"/>
      <c r="W21" s="8">
        <v>0</v>
      </c>
    </row>
    <row r="22" spans="1:23" s="12" customFormat="1" ht="12.75" customHeight="1" x14ac:dyDescent="0.2">
      <c r="A22" s="7" t="s">
        <v>27</v>
      </c>
      <c r="C22" s="7" t="s">
        <v>28</v>
      </c>
      <c r="D22" s="6"/>
      <c r="E22" s="8">
        <v>1303748</v>
      </c>
      <c r="F22" s="8"/>
      <c r="G22" s="8">
        <v>0</v>
      </c>
      <c r="H22" s="8"/>
      <c r="I22" s="8">
        <v>2391</v>
      </c>
      <c r="J22" s="8"/>
      <c r="K22" s="8">
        <v>1136518</v>
      </c>
      <c r="L22" s="8"/>
      <c r="M22" s="8">
        <v>2186121</v>
      </c>
      <c r="N22" s="8"/>
      <c r="O22" s="8">
        <v>0</v>
      </c>
      <c r="P22" s="8"/>
      <c r="Q22" s="8">
        <v>729128</v>
      </c>
      <c r="R22" s="8"/>
      <c r="S22" s="7">
        <f t="shared" si="0"/>
        <v>245891</v>
      </c>
      <c r="T22" s="8"/>
      <c r="U22" s="8">
        <v>5603797</v>
      </c>
      <c r="V22" s="6"/>
      <c r="W22" s="8">
        <v>0</v>
      </c>
    </row>
    <row r="23" spans="1:23" s="12" customFormat="1" ht="12.75" customHeight="1" x14ac:dyDescent="0.2">
      <c r="A23" s="7" t="s">
        <v>29</v>
      </c>
      <c r="C23" s="7" t="s">
        <v>25</v>
      </c>
      <c r="D23" s="6"/>
      <c r="E23" s="8">
        <v>1966997</v>
      </c>
      <c r="F23" s="8"/>
      <c r="G23" s="8">
        <v>9207903</v>
      </c>
      <c r="H23" s="8"/>
      <c r="I23" s="8">
        <v>0</v>
      </c>
      <c r="J23" s="8"/>
      <c r="K23" s="8">
        <v>646030</v>
      </c>
      <c r="L23" s="8"/>
      <c r="M23" s="8">
        <v>1364642</v>
      </c>
      <c r="N23" s="8"/>
      <c r="O23" s="8">
        <v>18389</v>
      </c>
      <c r="P23" s="8"/>
      <c r="Q23" s="8">
        <f>210750+1659895</f>
        <v>1870645</v>
      </c>
      <c r="R23" s="8"/>
      <c r="S23" s="7">
        <f t="shared" si="0"/>
        <v>262793</v>
      </c>
      <c r="T23" s="8"/>
      <c r="U23" s="8">
        <v>15337399</v>
      </c>
      <c r="V23" s="6"/>
      <c r="W23" s="8">
        <f>7019+39540</f>
        <v>46559</v>
      </c>
    </row>
    <row r="24" spans="1:23" s="12" customFormat="1" ht="12.75" customHeight="1" x14ac:dyDescent="0.2">
      <c r="A24" s="7" t="s">
        <v>30</v>
      </c>
      <c r="C24" s="7" t="s">
        <v>25</v>
      </c>
      <c r="D24" s="6"/>
      <c r="E24" s="8">
        <v>1215762</v>
      </c>
      <c r="F24" s="8"/>
      <c r="G24" s="8">
        <v>8158302</v>
      </c>
      <c r="H24" s="8"/>
      <c r="I24" s="8">
        <v>0</v>
      </c>
      <c r="J24" s="8"/>
      <c r="K24" s="8">
        <v>2411452</v>
      </c>
      <c r="L24" s="8"/>
      <c r="M24" s="8">
        <v>509722</v>
      </c>
      <c r="N24" s="8"/>
      <c r="O24" s="8">
        <v>0</v>
      </c>
      <c r="P24" s="8"/>
      <c r="Q24" s="8">
        <f>263355+170005</f>
        <v>433360</v>
      </c>
      <c r="R24" s="8"/>
      <c r="S24" s="7">
        <f t="shared" si="0"/>
        <v>229498</v>
      </c>
      <c r="T24" s="8"/>
      <c r="U24" s="8">
        <v>12958096</v>
      </c>
      <c r="V24" s="6"/>
      <c r="W24" s="8">
        <f>305709+7878</f>
        <v>313587</v>
      </c>
    </row>
    <row r="25" spans="1:23" s="12" customFormat="1" ht="12.75" customHeight="1" x14ac:dyDescent="0.2">
      <c r="A25" s="9" t="s">
        <v>32</v>
      </c>
      <c r="B25" s="9"/>
      <c r="C25" s="9" t="s">
        <v>28</v>
      </c>
      <c r="D25" s="19"/>
      <c r="E25" s="8">
        <v>575762</v>
      </c>
      <c r="F25" s="8"/>
      <c r="G25" s="8">
        <v>0</v>
      </c>
      <c r="H25" s="8"/>
      <c r="I25" s="8">
        <v>0</v>
      </c>
      <c r="J25" s="8"/>
      <c r="K25" s="8">
        <v>32821</v>
      </c>
      <c r="L25" s="8"/>
      <c r="M25" s="8">
        <v>260044</v>
      </c>
      <c r="N25" s="8"/>
      <c r="O25" s="8">
        <v>3906</v>
      </c>
      <c r="P25" s="8"/>
      <c r="Q25" s="8">
        <v>156409</v>
      </c>
      <c r="R25" s="8"/>
      <c r="S25" s="7">
        <f t="shared" si="0"/>
        <v>13028</v>
      </c>
      <c r="T25" s="8"/>
      <c r="U25" s="8">
        <v>1041970</v>
      </c>
      <c r="V25" s="6"/>
      <c r="W25" s="8">
        <v>0</v>
      </c>
    </row>
    <row r="26" spans="1:23" s="12" customFormat="1" ht="12.75" customHeight="1" x14ac:dyDescent="0.2">
      <c r="A26" s="7" t="s">
        <v>33</v>
      </c>
      <c r="C26" s="7" t="s">
        <v>34</v>
      </c>
      <c r="D26" s="6"/>
      <c r="E26" s="8">
        <v>456887</v>
      </c>
      <c r="F26" s="8"/>
      <c r="G26" s="8">
        <v>5356198</v>
      </c>
      <c r="H26" s="8"/>
      <c r="I26" s="8">
        <v>25000</v>
      </c>
      <c r="J26" s="8"/>
      <c r="K26" s="8">
        <v>158627</v>
      </c>
      <c r="L26" s="8"/>
      <c r="M26" s="8">
        <v>398560</v>
      </c>
      <c r="N26" s="8"/>
      <c r="O26" s="8">
        <v>0</v>
      </c>
      <c r="P26" s="8"/>
      <c r="Q26" s="8">
        <f>135516+622597</f>
        <v>758113</v>
      </c>
      <c r="R26" s="8"/>
      <c r="S26" s="7">
        <f t="shared" si="0"/>
        <v>168506</v>
      </c>
      <c r="T26" s="8"/>
      <c r="U26" s="8">
        <v>7321891</v>
      </c>
      <c r="V26" s="6"/>
      <c r="W26" s="8">
        <v>0</v>
      </c>
    </row>
    <row r="27" spans="1:23" s="12" customFormat="1" ht="12.75" customHeight="1" x14ac:dyDescent="0.2">
      <c r="A27" s="7" t="s">
        <v>35</v>
      </c>
      <c r="C27" s="7" t="s">
        <v>36</v>
      </c>
      <c r="D27" s="6"/>
      <c r="E27" s="8">
        <v>241865</v>
      </c>
      <c r="F27" s="8"/>
      <c r="G27" s="8">
        <v>3611700</v>
      </c>
      <c r="H27" s="8"/>
      <c r="I27" s="8">
        <v>0</v>
      </c>
      <c r="J27" s="8"/>
      <c r="K27" s="8">
        <v>5672</v>
      </c>
      <c r="L27" s="8"/>
      <c r="M27" s="8">
        <v>425934</v>
      </c>
      <c r="N27" s="8"/>
      <c r="O27" s="8">
        <v>0</v>
      </c>
      <c r="P27" s="8"/>
      <c r="Q27" s="8">
        <f>18907+179130</f>
        <v>198037</v>
      </c>
      <c r="R27" s="8"/>
      <c r="S27" s="7">
        <f t="shared" si="0"/>
        <v>64611</v>
      </c>
      <c r="T27" s="8"/>
      <c r="U27" s="8">
        <v>4547819</v>
      </c>
      <c r="V27" s="6"/>
      <c r="W27" s="8">
        <v>0</v>
      </c>
    </row>
    <row r="28" spans="1:23" s="12" customFormat="1" ht="12.75" customHeight="1" x14ac:dyDescent="0.2">
      <c r="A28" s="9" t="s">
        <v>37</v>
      </c>
      <c r="B28" s="9"/>
      <c r="C28" s="9" t="s">
        <v>38</v>
      </c>
      <c r="D28" s="19"/>
      <c r="E28" s="8">
        <v>295639</v>
      </c>
      <c r="F28" s="8"/>
      <c r="G28" s="8">
        <v>1366351</v>
      </c>
      <c r="H28" s="8"/>
      <c r="I28" s="8">
        <v>0</v>
      </c>
      <c r="J28" s="8"/>
      <c r="K28" s="8">
        <v>1092271</v>
      </c>
      <c r="L28" s="8"/>
      <c r="M28" s="8">
        <v>591956</v>
      </c>
      <c r="N28" s="8"/>
      <c r="O28" s="8">
        <v>0</v>
      </c>
      <c r="P28" s="8"/>
      <c r="Q28" s="8">
        <v>232444</v>
      </c>
      <c r="R28" s="8"/>
      <c r="S28" s="7">
        <f t="shared" si="0"/>
        <v>85831</v>
      </c>
      <c r="T28" s="8"/>
      <c r="U28" s="8">
        <v>3664492</v>
      </c>
      <c r="V28" s="6"/>
      <c r="W28" s="8">
        <f>120812+681</f>
        <v>121493</v>
      </c>
    </row>
    <row r="29" spans="1:23" s="12" customFormat="1" ht="12.75" customHeight="1" x14ac:dyDescent="0.2">
      <c r="A29" s="7" t="s">
        <v>39</v>
      </c>
      <c r="C29" s="7" t="s">
        <v>25</v>
      </c>
      <c r="D29" s="6"/>
      <c r="E29" s="8">
        <v>1594966</v>
      </c>
      <c r="F29" s="8"/>
      <c r="G29" s="8">
        <v>10758113</v>
      </c>
      <c r="H29" s="8"/>
      <c r="I29" s="8">
        <v>278888</v>
      </c>
      <c r="J29" s="8"/>
      <c r="K29" s="8">
        <v>394980</v>
      </c>
      <c r="L29" s="8"/>
      <c r="M29" s="8">
        <v>1155474</v>
      </c>
      <c r="N29" s="8"/>
      <c r="O29" s="8">
        <v>12244</v>
      </c>
      <c r="P29" s="8"/>
      <c r="Q29" s="8">
        <f>367536+1510789</f>
        <v>1878325</v>
      </c>
      <c r="R29" s="8"/>
      <c r="S29" s="7">
        <f t="shared" si="0"/>
        <v>169904</v>
      </c>
      <c r="T29" s="8"/>
      <c r="U29" s="8">
        <v>16242894</v>
      </c>
      <c r="V29" s="6"/>
      <c r="W29" s="8">
        <v>0</v>
      </c>
    </row>
    <row r="30" spans="1:23" s="12" customFormat="1" ht="12.75" customHeight="1" x14ac:dyDescent="0.2">
      <c r="A30" s="7" t="s">
        <v>40</v>
      </c>
      <c r="C30" s="7" t="s">
        <v>41</v>
      </c>
      <c r="D30" s="6"/>
      <c r="E30" s="8">
        <v>657420</v>
      </c>
      <c r="F30" s="8"/>
      <c r="G30" s="8">
        <v>6621712</v>
      </c>
      <c r="H30" s="8"/>
      <c r="I30" s="8">
        <v>189935</v>
      </c>
      <c r="J30" s="8"/>
      <c r="K30" s="8">
        <v>914370</v>
      </c>
      <c r="L30" s="8"/>
      <c r="M30" s="8">
        <v>1441267</v>
      </c>
      <c r="N30" s="8"/>
      <c r="O30" s="8">
        <v>0</v>
      </c>
      <c r="P30" s="8"/>
      <c r="Q30" s="8">
        <f>261554+87804</f>
        <v>349358</v>
      </c>
      <c r="R30" s="8"/>
      <c r="S30" s="7">
        <f t="shared" si="0"/>
        <v>186120</v>
      </c>
      <c r="T30" s="8"/>
      <c r="U30" s="8">
        <v>10360182</v>
      </c>
      <c r="V30" s="6"/>
      <c r="W30" s="8">
        <v>0</v>
      </c>
    </row>
    <row r="31" spans="1:23" s="12" customFormat="1" ht="12.75" customHeight="1" x14ac:dyDescent="0.2">
      <c r="A31" s="7" t="s">
        <v>42</v>
      </c>
      <c r="C31" s="7" t="s">
        <v>43</v>
      </c>
      <c r="D31" s="6"/>
      <c r="E31" s="8">
        <v>1951949</v>
      </c>
      <c r="F31" s="8"/>
      <c r="G31" s="8">
        <v>32056490</v>
      </c>
      <c r="H31" s="8"/>
      <c r="I31" s="8">
        <v>977428</v>
      </c>
      <c r="J31" s="8"/>
      <c r="K31" s="8">
        <v>698632</v>
      </c>
      <c r="L31" s="8"/>
      <c r="M31" s="8">
        <v>1852010</v>
      </c>
      <c r="N31" s="8"/>
      <c r="O31" s="8">
        <v>0</v>
      </c>
      <c r="P31" s="8"/>
      <c r="Q31" s="8">
        <v>479189</v>
      </c>
      <c r="R31" s="8"/>
      <c r="S31" s="7">
        <f t="shared" si="0"/>
        <v>233833</v>
      </c>
      <c r="T31" s="8"/>
      <c r="U31" s="8">
        <v>38249531</v>
      </c>
      <c r="V31" s="6"/>
      <c r="W31" s="8">
        <v>500485</v>
      </c>
    </row>
    <row r="32" spans="1:23" s="12" customFormat="1" ht="12.75" customHeight="1" x14ac:dyDescent="0.2">
      <c r="A32" s="7" t="s">
        <v>44</v>
      </c>
      <c r="C32" s="7" t="s">
        <v>45</v>
      </c>
      <c r="D32" s="6"/>
      <c r="E32" s="8">
        <v>1479235</v>
      </c>
      <c r="F32" s="8"/>
      <c r="G32" s="8">
        <v>6249905</v>
      </c>
      <c r="H32" s="8"/>
      <c r="I32" s="8">
        <v>2181576</v>
      </c>
      <c r="J32" s="8"/>
      <c r="K32" s="8">
        <v>1801210</v>
      </c>
      <c r="L32" s="8"/>
      <c r="M32" s="8">
        <v>2008123</v>
      </c>
      <c r="N32" s="8"/>
      <c r="O32" s="8">
        <v>0</v>
      </c>
      <c r="P32" s="8"/>
      <c r="Q32" s="8">
        <f>21527+683536</f>
        <v>705063</v>
      </c>
      <c r="R32" s="8"/>
      <c r="S32" s="7">
        <f t="shared" si="0"/>
        <v>654060</v>
      </c>
      <c r="T32" s="8"/>
      <c r="U32" s="8">
        <v>15079172</v>
      </c>
      <c r="V32" s="6"/>
      <c r="W32" s="8">
        <v>0</v>
      </c>
    </row>
    <row r="33" spans="1:24" s="12" customFormat="1" ht="12.75" customHeight="1" x14ac:dyDescent="0.2">
      <c r="A33" s="7" t="s">
        <v>46</v>
      </c>
      <c r="C33" s="7" t="s">
        <v>25</v>
      </c>
      <c r="D33" s="6"/>
      <c r="E33" s="8">
        <v>1824434</v>
      </c>
      <c r="F33" s="8"/>
      <c r="G33" s="8">
        <v>12765081</v>
      </c>
      <c r="H33" s="8"/>
      <c r="I33" s="8">
        <v>0</v>
      </c>
      <c r="J33" s="8"/>
      <c r="K33" s="8">
        <v>42638</v>
      </c>
      <c r="L33" s="8"/>
      <c r="M33" s="8">
        <v>1257653</v>
      </c>
      <c r="N33" s="8"/>
      <c r="O33" s="8">
        <v>0</v>
      </c>
      <c r="P33" s="8"/>
      <c r="Q33" s="8">
        <f>474433+242860</f>
        <v>717293</v>
      </c>
      <c r="R33" s="8"/>
      <c r="S33" s="7">
        <f t="shared" si="0"/>
        <v>473011</v>
      </c>
      <c r="T33" s="8"/>
      <c r="U33" s="8">
        <v>17080110</v>
      </c>
      <c r="V33" s="6"/>
      <c r="W33" s="8">
        <v>30406</v>
      </c>
    </row>
    <row r="34" spans="1:24" s="12" customFormat="1" ht="12.75" customHeight="1" x14ac:dyDescent="0.2">
      <c r="A34" s="7" t="s">
        <v>47</v>
      </c>
      <c r="C34" s="7" t="s">
        <v>25</v>
      </c>
      <c r="D34" s="6"/>
      <c r="E34" s="8">
        <v>1463681</v>
      </c>
      <c r="F34" s="8"/>
      <c r="G34" s="8">
        <v>7977966</v>
      </c>
      <c r="H34" s="8"/>
      <c r="I34" s="8">
        <v>0</v>
      </c>
      <c r="J34" s="8"/>
      <c r="K34" s="8">
        <v>543051</v>
      </c>
      <c r="L34" s="8"/>
      <c r="M34" s="8">
        <v>1109152</v>
      </c>
      <c r="N34" s="8"/>
      <c r="O34" s="8">
        <v>31638</v>
      </c>
      <c r="P34" s="8"/>
      <c r="Q34" s="8">
        <f>720322+326878</f>
        <v>1047200</v>
      </c>
      <c r="R34" s="8"/>
      <c r="S34" s="7">
        <f t="shared" si="0"/>
        <v>186554</v>
      </c>
      <c r="T34" s="8"/>
      <c r="U34" s="8">
        <v>12359242</v>
      </c>
      <c r="V34" s="6"/>
      <c r="W34" s="8">
        <v>11470</v>
      </c>
    </row>
    <row r="35" spans="1:24" s="12" customFormat="1" ht="12.75" customHeight="1" x14ac:dyDescent="0.2">
      <c r="A35" s="7" t="s">
        <v>48</v>
      </c>
      <c r="C35" s="7" t="s">
        <v>25</v>
      </c>
      <c r="D35" s="6"/>
      <c r="E35" s="8">
        <v>1620091</v>
      </c>
      <c r="F35" s="8"/>
      <c r="G35" s="8">
        <v>15767169</v>
      </c>
      <c r="H35" s="8"/>
      <c r="I35" s="8">
        <v>213567</v>
      </c>
      <c r="J35" s="8"/>
      <c r="K35" s="8">
        <v>1867450</v>
      </c>
      <c r="L35" s="8"/>
      <c r="M35" s="8">
        <v>809168</v>
      </c>
      <c r="N35" s="8"/>
      <c r="O35" s="8">
        <v>0</v>
      </c>
      <c r="P35" s="8"/>
      <c r="Q35" s="8">
        <f>689562+247373</f>
        <v>936935</v>
      </c>
      <c r="R35" s="8"/>
      <c r="S35" s="7">
        <f t="shared" si="0"/>
        <v>211724</v>
      </c>
      <c r="T35" s="8"/>
      <c r="U35" s="8">
        <v>21426104</v>
      </c>
      <c r="V35" s="6"/>
      <c r="W35" s="8">
        <f>5175+1000000</f>
        <v>1005175</v>
      </c>
    </row>
    <row r="36" spans="1:24" s="12" customFormat="1" ht="12.75" customHeight="1" x14ac:dyDescent="0.2">
      <c r="A36" s="7" t="s">
        <v>49</v>
      </c>
      <c r="C36" s="7" t="s">
        <v>25</v>
      </c>
      <c r="D36" s="6"/>
      <c r="E36" s="8">
        <v>598546</v>
      </c>
      <c r="F36" s="8"/>
      <c r="G36" s="8">
        <v>13261992</v>
      </c>
      <c r="H36" s="8"/>
      <c r="I36" s="8">
        <v>310119</v>
      </c>
      <c r="J36" s="8"/>
      <c r="K36" s="8">
        <v>1062878</v>
      </c>
      <c r="L36" s="8"/>
      <c r="M36" s="8">
        <v>684730</v>
      </c>
      <c r="N36" s="8"/>
      <c r="O36" s="8">
        <v>0</v>
      </c>
      <c r="P36" s="8"/>
      <c r="Q36" s="8">
        <v>377670</v>
      </c>
      <c r="R36" s="8"/>
      <c r="S36" s="7">
        <f t="shared" si="0"/>
        <v>182554</v>
      </c>
      <c r="T36" s="8"/>
      <c r="U36" s="8">
        <v>16478489</v>
      </c>
      <c r="V36" s="6"/>
      <c r="W36" s="8">
        <f>7725+217450</f>
        <v>225175</v>
      </c>
    </row>
    <row r="37" spans="1:24" s="12" customFormat="1" ht="12.75" customHeight="1" x14ac:dyDescent="0.2">
      <c r="A37" s="7" t="s">
        <v>458</v>
      </c>
      <c r="C37" s="7" t="s">
        <v>64</v>
      </c>
      <c r="D37" s="6"/>
      <c r="E37" s="8">
        <v>155660</v>
      </c>
      <c r="F37" s="8"/>
      <c r="G37" s="8">
        <v>2729208</v>
      </c>
      <c r="H37" s="8"/>
      <c r="I37" s="8">
        <v>0</v>
      </c>
      <c r="J37" s="8"/>
      <c r="K37" s="8">
        <v>775410</v>
      </c>
      <c r="L37" s="8"/>
      <c r="M37" s="8">
        <v>412967</v>
      </c>
      <c r="N37" s="8"/>
      <c r="O37" s="8">
        <v>0</v>
      </c>
      <c r="P37" s="8"/>
      <c r="Q37" s="8">
        <v>103816</v>
      </c>
      <c r="R37" s="8"/>
      <c r="S37" s="7">
        <f t="shared" si="0"/>
        <v>112813</v>
      </c>
      <c r="T37" s="8"/>
      <c r="U37" s="8">
        <v>4289874</v>
      </c>
      <c r="V37" s="6"/>
      <c r="W37" s="8">
        <v>4951</v>
      </c>
    </row>
    <row r="38" spans="1:24" s="12" customFormat="1" ht="12.75" customHeight="1" x14ac:dyDescent="0.2">
      <c r="A38" s="7" t="s">
        <v>50</v>
      </c>
      <c r="C38" s="7" t="s">
        <v>51</v>
      </c>
      <c r="D38" s="6"/>
      <c r="E38" s="8">
        <v>1447060</v>
      </c>
      <c r="F38" s="8"/>
      <c r="G38" s="8">
        <v>3444109</v>
      </c>
      <c r="H38" s="8"/>
      <c r="I38" s="8">
        <v>0</v>
      </c>
      <c r="J38" s="8"/>
      <c r="K38" s="8">
        <v>50400</v>
      </c>
      <c r="L38" s="8"/>
      <c r="M38" s="8">
        <v>1093548</v>
      </c>
      <c r="N38" s="8"/>
      <c r="O38" s="8">
        <v>0</v>
      </c>
      <c r="P38" s="8"/>
      <c r="Q38" s="8">
        <v>840737</v>
      </c>
      <c r="R38" s="8"/>
      <c r="S38" s="7">
        <f t="shared" si="0"/>
        <v>45645</v>
      </c>
      <c r="T38" s="8"/>
      <c r="U38" s="8">
        <v>6921499</v>
      </c>
      <c r="V38" s="6"/>
      <c r="W38" s="8">
        <v>0</v>
      </c>
    </row>
    <row r="39" spans="1:24" s="12" customFormat="1" ht="12.75" customHeight="1" x14ac:dyDescent="0.2">
      <c r="A39" s="7" t="s">
        <v>52</v>
      </c>
      <c r="C39" s="7" t="s">
        <v>53</v>
      </c>
      <c r="D39" s="6"/>
      <c r="E39" s="8">
        <v>6891282</v>
      </c>
      <c r="F39" s="8"/>
      <c r="G39" s="8">
        <v>0</v>
      </c>
      <c r="H39" s="8"/>
      <c r="I39" s="8">
        <v>0</v>
      </c>
      <c r="J39" s="8"/>
      <c r="K39" s="8">
        <v>122427</v>
      </c>
      <c r="L39" s="8"/>
      <c r="M39" s="8">
        <v>733546</v>
      </c>
      <c r="N39" s="8"/>
      <c r="O39" s="8">
        <v>0</v>
      </c>
      <c r="P39" s="8"/>
      <c r="Q39" s="8">
        <f>9140+539591</f>
        <v>548731</v>
      </c>
      <c r="R39" s="8"/>
      <c r="S39" s="7">
        <f t="shared" si="0"/>
        <v>180616</v>
      </c>
      <c r="T39" s="8"/>
      <c r="U39" s="8">
        <v>8476602</v>
      </c>
      <c r="V39" s="6"/>
      <c r="W39" s="8">
        <f>1042+38698</f>
        <v>39740</v>
      </c>
    </row>
    <row r="40" spans="1:24" s="12" customFormat="1" ht="12.75" customHeight="1" x14ac:dyDescent="0.2">
      <c r="A40" s="7" t="s">
        <v>54</v>
      </c>
      <c r="C40" s="7" t="s">
        <v>55</v>
      </c>
      <c r="D40" s="6"/>
      <c r="E40" s="8">
        <v>498150</v>
      </c>
      <c r="F40" s="8"/>
      <c r="G40" s="8">
        <v>2795699</v>
      </c>
      <c r="H40" s="8"/>
      <c r="I40" s="8">
        <v>40316</v>
      </c>
      <c r="J40" s="8"/>
      <c r="K40" s="8">
        <v>367693</v>
      </c>
      <c r="L40" s="8"/>
      <c r="M40" s="8">
        <v>441600</v>
      </c>
      <c r="N40" s="8"/>
      <c r="O40" s="8">
        <v>0</v>
      </c>
      <c r="P40" s="8"/>
      <c r="Q40" s="8">
        <f>43989+18866</f>
        <v>62855</v>
      </c>
      <c r="R40" s="8"/>
      <c r="S40" s="7">
        <f t="shared" si="0"/>
        <v>209202</v>
      </c>
      <c r="T40" s="8"/>
      <c r="U40" s="8">
        <v>4415515</v>
      </c>
      <c r="V40" s="6"/>
      <c r="W40" s="8">
        <v>0</v>
      </c>
    </row>
    <row r="41" spans="1:24" s="12" customFormat="1" ht="12.75" customHeight="1" x14ac:dyDescent="0.2">
      <c r="A41" s="7" t="s">
        <v>56</v>
      </c>
      <c r="C41" s="7" t="s">
        <v>57</v>
      </c>
      <c r="D41" s="6"/>
      <c r="E41" s="8">
        <v>297994</v>
      </c>
      <c r="F41" s="8"/>
      <c r="G41" s="8">
        <v>5196026</v>
      </c>
      <c r="H41" s="8"/>
      <c r="I41" s="8">
        <v>148862</v>
      </c>
      <c r="J41" s="8"/>
      <c r="K41" s="8">
        <v>361164</v>
      </c>
      <c r="L41" s="8"/>
      <c r="M41" s="8">
        <v>487563</v>
      </c>
      <c r="N41" s="8"/>
      <c r="O41" s="8">
        <v>0</v>
      </c>
      <c r="P41" s="8"/>
      <c r="Q41" s="8">
        <f>154346+591797</f>
        <v>746143</v>
      </c>
      <c r="R41" s="8"/>
      <c r="S41" s="7">
        <f t="shared" si="0"/>
        <v>91368</v>
      </c>
      <c r="T41" s="8"/>
      <c r="U41" s="8">
        <v>7329120</v>
      </c>
      <c r="V41" s="6"/>
      <c r="W41" s="8">
        <v>4000</v>
      </c>
    </row>
    <row r="42" spans="1:24" s="12" customFormat="1" ht="12.75" customHeight="1" x14ac:dyDescent="0.2">
      <c r="A42" s="9" t="s">
        <v>509</v>
      </c>
      <c r="B42" s="9"/>
      <c r="C42" s="9" t="s">
        <v>59</v>
      </c>
      <c r="D42" s="19"/>
      <c r="E42" s="8">
        <v>311269</v>
      </c>
      <c r="F42" s="8"/>
      <c r="G42" s="8">
        <v>1656724</v>
      </c>
      <c r="H42" s="8"/>
      <c r="I42" s="8">
        <v>0</v>
      </c>
      <c r="J42" s="8"/>
      <c r="K42" s="8">
        <v>156556</v>
      </c>
      <c r="L42" s="8"/>
      <c r="M42" s="8">
        <v>308759</v>
      </c>
      <c r="N42" s="8"/>
      <c r="O42" s="8">
        <v>0</v>
      </c>
      <c r="P42" s="8"/>
      <c r="Q42" s="8">
        <v>361124</v>
      </c>
      <c r="R42" s="8"/>
      <c r="S42" s="7">
        <f t="shared" ref="S42" si="2">U42-E42-G42-K42-M42-O42-Q42-I42</f>
        <v>125879</v>
      </c>
      <c r="T42" s="8"/>
      <c r="U42" s="8">
        <v>2920311</v>
      </c>
      <c r="V42" s="6"/>
      <c r="W42" s="8">
        <v>0</v>
      </c>
    </row>
    <row r="43" spans="1:24" s="12" customFormat="1" ht="12.75" customHeight="1" x14ac:dyDescent="0.2">
      <c r="A43" s="9" t="s">
        <v>470</v>
      </c>
      <c r="B43" s="9"/>
      <c r="C43" s="9" t="s">
        <v>13</v>
      </c>
      <c r="D43" s="19"/>
      <c r="E43" s="8">
        <v>230355</v>
      </c>
      <c r="F43" s="8"/>
      <c r="G43" s="8">
        <v>2061372</v>
      </c>
      <c r="H43" s="8"/>
      <c r="I43" s="8">
        <v>0</v>
      </c>
      <c r="J43" s="8"/>
      <c r="K43" s="8">
        <v>6932</v>
      </c>
      <c r="L43" s="8"/>
      <c r="M43" s="8">
        <v>142212</v>
      </c>
      <c r="N43" s="8"/>
      <c r="O43" s="8">
        <v>0</v>
      </c>
      <c r="P43" s="8"/>
      <c r="Q43" s="8">
        <v>66834</v>
      </c>
      <c r="R43" s="8"/>
      <c r="S43" s="7">
        <f t="shared" si="0"/>
        <v>29745</v>
      </c>
      <c r="T43" s="8"/>
      <c r="U43" s="8">
        <v>2537450</v>
      </c>
      <c r="V43" s="6"/>
      <c r="W43" s="8">
        <v>0</v>
      </c>
    </row>
    <row r="44" spans="1:24" s="12" customFormat="1" ht="12.75" customHeight="1" x14ac:dyDescent="0.2">
      <c r="A44" s="7" t="s">
        <v>493</v>
      </c>
      <c r="B44" s="10"/>
      <c r="C44" s="7" t="s">
        <v>41</v>
      </c>
      <c r="D44" s="19"/>
      <c r="E44" s="8">
        <v>378385</v>
      </c>
      <c r="F44" s="8"/>
      <c r="G44" s="8">
        <v>4118270</v>
      </c>
      <c r="H44" s="8"/>
      <c r="I44" s="8">
        <v>0</v>
      </c>
      <c r="J44" s="8"/>
      <c r="K44" s="8">
        <v>125582</v>
      </c>
      <c r="L44" s="8"/>
      <c r="M44" s="8">
        <v>321214</v>
      </c>
      <c r="N44" s="8"/>
      <c r="O44" s="8">
        <v>124802</v>
      </c>
      <c r="P44" s="8"/>
      <c r="Q44" s="8">
        <v>342039</v>
      </c>
      <c r="R44" s="8"/>
      <c r="S44" s="7">
        <f t="shared" ref="S44" si="3">U44-E44-G44-K44-M44-O44-Q44-I44</f>
        <v>275365</v>
      </c>
      <c r="T44" s="8"/>
      <c r="U44" s="8">
        <v>5685657</v>
      </c>
      <c r="V44" s="6"/>
      <c r="W44" s="8">
        <v>0</v>
      </c>
    </row>
    <row r="45" spans="1:24" s="12" customFormat="1" ht="12.75" customHeight="1" x14ac:dyDescent="0.2">
      <c r="A45" s="7" t="s">
        <v>58</v>
      </c>
      <c r="C45" s="7" t="s">
        <v>59</v>
      </c>
      <c r="D45" s="6"/>
      <c r="E45" s="8">
        <v>0</v>
      </c>
      <c r="F45" s="8"/>
      <c r="G45" s="8">
        <v>2674400</v>
      </c>
      <c r="H45" s="8"/>
      <c r="I45" s="8">
        <v>0</v>
      </c>
      <c r="J45" s="8"/>
      <c r="K45" s="8">
        <v>329498</v>
      </c>
      <c r="L45" s="8"/>
      <c r="M45" s="8">
        <v>251081</v>
      </c>
      <c r="N45" s="8"/>
      <c r="O45" s="8">
        <v>433</v>
      </c>
      <c r="P45" s="8"/>
      <c r="Q45" s="8">
        <f>94817+33393</f>
        <v>128210</v>
      </c>
      <c r="R45" s="8"/>
      <c r="S45" s="7">
        <f t="shared" si="0"/>
        <v>43092</v>
      </c>
      <c r="T45" s="8"/>
      <c r="U45" s="8">
        <v>3426714</v>
      </c>
      <c r="V45" s="6"/>
      <c r="W45" s="8">
        <v>0</v>
      </c>
    </row>
    <row r="46" spans="1:24" s="12" customFormat="1" ht="12.75" hidden="1" customHeight="1" x14ac:dyDescent="0.2">
      <c r="A46" s="9" t="s">
        <v>60</v>
      </c>
      <c r="B46" s="9"/>
      <c r="C46" s="9" t="s">
        <v>13</v>
      </c>
      <c r="D46" s="19"/>
      <c r="E46" s="8">
        <v>3392212</v>
      </c>
      <c r="F46" s="8"/>
      <c r="G46" s="8">
        <v>33620647</v>
      </c>
      <c r="H46" s="8"/>
      <c r="I46" s="8">
        <v>0</v>
      </c>
      <c r="J46" s="8"/>
      <c r="K46" s="8">
        <v>10770559</v>
      </c>
      <c r="L46" s="8"/>
      <c r="M46" s="8">
        <v>5312575</v>
      </c>
      <c r="N46" s="8"/>
      <c r="O46" s="8">
        <v>0</v>
      </c>
      <c r="P46" s="8"/>
      <c r="Q46" s="8">
        <f>1324515+344724</f>
        <v>1669239</v>
      </c>
      <c r="R46" s="8"/>
      <c r="S46" s="7">
        <f t="shared" si="0"/>
        <v>3067538</v>
      </c>
      <c r="T46" s="8"/>
      <c r="U46" s="8">
        <v>57832770</v>
      </c>
      <c r="V46" s="6"/>
      <c r="W46" s="8">
        <v>6007</v>
      </c>
      <c r="X46" s="7"/>
    </row>
    <row r="47" spans="1:24" s="12" customFormat="1" ht="12.75" hidden="1" customHeight="1" x14ac:dyDescent="0.2">
      <c r="A47" s="7" t="s">
        <v>479</v>
      </c>
      <c r="C47" s="7" t="s">
        <v>109</v>
      </c>
      <c r="D47" s="6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7">
        <f t="shared" si="0"/>
        <v>0</v>
      </c>
      <c r="T47" s="8"/>
      <c r="U47" s="8"/>
      <c r="V47" s="6"/>
      <c r="W47" s="8">
        <v>0</v>
      </c>
      <c r="X47" s="7"/>
    </row>
    <row r="48" spans="1:24" s="12" customFormat="1" ht="12.75" customHeight="1" x14ac:dyDescent="0.2">
      <c r="A48" s="7" t="s">
        <v>61</v>
      </c>
      <c r="C48" s="7" t="s">
        <v>62</v>
      </c>
      <c r="D48" s="6"/>
      <c r="E48" s="8">
        <v>273397</v>
      </c>
      <c r="F48" s="8"/>
      <c r="G48" s="8">
        <v>4851673</v>
      </c>
      <c r="H48" s="8"/>
      <c r="I48" s="8">
        <v>556035</v>
      </c>
      <c r="J48" s="8"/>
      <c r="K48" s="8">
        <v>218341</v>
      </c>
      <c r="L48" s="8"/>
      <c r="M48" s="8">
        <v>858853</v>
      </c>
      <c r="N48" s="8"/>
      <c r="O48" s="8">
        <v>0</v>
      </c>
      <c r="P48" s="8"/>
      <c r="Q48" s="8">
        <f>80544+304866</f>
        <v>385410</v>
      </c>
      <c r="R48" s="8"/>
      <c r="S48" s="7">
        <f t="shared" si="0"/>
        <v>642664</v>
      </c>
      <c r="T48" s="8"/>
      <c r="U48" s="8">
        <v>7786373</v>
      </c>
      <c r="V48" s="6"/>
      <c r="W48" s="8">
        <v>5523</v>
      </c>
    </row>
    <row r="49" spans="1:23" s="12" customFormat="1" ht="12.75" customHeight="1" x14ac:dyDescent="0.2">
      <c r="A49" s="7" t="s">
        <v>63</v>
      </c>
      <c r="C49" s="7" t="s">
        <v>64</v>
      </c>
      <c r="D49" s="6"/>
      <c r="E49" s="8">
        <v>13478234</v>
      </c>
      <c r="F49" s="8"/>
      <c r="G49" s="8">
        <v>0</v>
      </c>
      <c r="H49" s="8"/>
      <c r="I49" s="8">
        <v>0</v>
      </c>
      <c r="J49" s="8"/>
      <c r="K49" s="8">
        <v>344021</v>
      </c>
      <c r="L49" s="8"/>
      <c r="M49" s="8">
        <v>2576470</v>
      </c>
      <c r="N49" s="8"/>
      <c r="O49" s="8">
        <v>31387</v>
      </c>
      <c r="P49" s="8"/>
      <c r="Q49" s="8">
        <v>356070</v>
      </c>
      <c r="R49" s="8"/>
      <c r="S49" s="7">
        <f t="shared" si="0"/>
        <v>412003</v>
      </c>
      <c r="T49" s="8"/>
      <c r="U49" s="8">
        <v>17198185</v>
      </c>
      <c r="V49" s="6"/>
      <c r="W49" s="8">
        <v>0</v>
      </c>
    </row>
    <row r="50" spans="1:23" s="12" customFormat="1" ht="12.75" hidden="1" customHeight="1" x14ac:dyDescent="0.2">
      <c r="A50" s="7" t="s">
        <v>65</v>
      </c>
      <c r="C50" s="7" t="s">
        <v>373</v>
      </c>
      <c r="D50" s="6"/>
      <c r="E50" s="8">
        <v>393798</v>
      </c>
      <c r="F50" s="8"/>
      <c r="G50" s="8">
        <v>5488804</v>
      </c>
      <c r="H50" s="8"/>
      <c r="I50" s="8">
        <v>0</v>
      </c>
      <c r="J50" s="8"/>
      <c r="K50" s="8">
        <v>72140</v>
      </c>
      <c r="L50" s="8"/>
      <c r="M50" s="8">
        <v>279272</v>
      </c>
      <c r="N50" s="8"/>
      <c r="O50" s="8">
        <v>0</v>
      </c>
      <c r="P50" s="8"/>
      <c r="Q50" s="8">
        <f>155337+921341</f>
        <v>1076678</v>
      </c>
      <c r="R50" s="8"/>
      <c r="S50" s="7">
        <f t="shared" si="0"/>
        <v>227809</v>
      </c>
      <c r="T50" s="8"/>
      <c r="U50" s="8">
        <v>7538501</v>
      </c>
      <c r="V50" s="6"/>
      <c r="W50" s="8">
        <v>100000</v>
      </c>
    </row>
    <row r="51" spans="1:23" s="12" customFormat="1" ht="12.75" customHeight="1" x14ac:dyDescent="0.2">
      <c r="A51" s="7" t="s">
        <v>66</v>
      </c>
      <c r="C51" s="7" t="s">
        <v>43</v>
      </c>
      <c r="D51" s="6"/>
      <c r="E51" s="8">
        <v>1477123</v>
      </c>
      <c r="F51" s="8"/>
      <c r="G51" s="8">
        <v>1597323</v>
      </c>
      <c r="H51" s="8"/>
      <c r="I51" s="8">
        <v>69594</v>
      </c>
      <c r="J51" s="8"/>
      <c r="K51" s="8">
        <v>141790</v>
      </c>
      <c r="L51" s="8"/>
      <c r="M51" s="8">
        <v>565536</v>
      </c>
      <c r="N51" s="8"/>
      <c r="O51" s="8">
        <v>0</v>
      </c>
      <c r="P51" s="8"/>
      <c r="Q51" s="8">
        <f>32492+96792</f>
        <v>129284</v>
      </c>
      <c r="R51" s="8"/>
      <c r="S51" s="7">
        <f t="shared" si="0"/>
        <v>91433</v>
      </c>
      <c r="T51" s="8"/>
      <c r="U51" s="8">
        <v>4072083</v>
      </c>
      <c r="V51" s="6"/>
      <c r="W51" s="8">
        <v>0</v>
      </c>
    </row>
    <row r="52" spans="1:23" s="12" customFormat="1" ht="12.75" hidden="1" customHeight="1" x14ac:dyDescent="0.2">
      <c r="A52" s="7" t="s">
        <v>67</v>
      </c>
      <c r="C52" s="7" t="s">
        <v>68</v>
      </c>
      <c r="D52" s="6"/>
      <c r="E52" s="8">
        <v>913458</v>
      </c>
      <c r="F52" s="8"/>
      <c r="G52" s="8">
        <v>8838118</v>
      </c>
      <c r="H52" s="8"/>
      <c r="I52" s="8">
        <v>207975</v>
      </c>
      <c r="J52" s="8"/>
      <c r="K52" s="8">
        <v>2867039</v>
      </c>
      <c r="L52" s="8"/>
      <c r="M52" s="8">
        <v>2103449</v>
      </c>
      <c r="N52" s="8"/>
      <c r="O52" s="8">
        <v>34087</v>
      </c>
      <c r="P52" s="8"/>
      <c r="Q52" s="8">
        <v>1586492</v>
      </c>
      <c r="R52" s="8"/>
      <c r="S52" s="7">
        <f t="shared" si="0"/>
        <v>354498</v>
      </c>
      <c r="T52" s="8"/>
      <c r="U52" s="8">
        <v>16905116</v>
      </c>
      <c r="V52" s="6"/>
      <c r="W52" s="8">
        <f>203086+960357</f>
        <v>1163443</v>
      </c>
    </row>
    <row r="53" spans="1:23" s="12" customFormat="1" ht="12.75" customHeight="1" x14ac:dyDescent="0.2">
      <c r="A53" s="9" t="s">
        <v>69</v>
      </c>
      <c r="B53" s="9"/>
      <c r="C53" s="9" t="s">
        <v>43</v>
      </c>
      <c r="D53" s="19"/>
      <c r="E53" s="8">
        <v>264466000</v>
      </c>
      <c r="F53" s="8"/>
      <c r="G53" s="8">
        <v>0</v>
      </c>
      <c r="H53" s="8"/>
      <c r="I53" s="8">
        <v>0</v>
      </c>
      <c r="J53" s="8"/>
      <c r="K53" s="8">
        <v>19881000</v>
      </c>
      <c r="L53" s="8"/>
      <c r="M53" s="8">
        <v>41462000</v>
      </c>
      <c r="N53" s="8"/>
      <c r="O53" s="8">
        <v>0</v>
      </c>
      <c r="P53" s="8"/>
      <c r="Q53" s="8">
        <v>9421000</v>
      </c>
      <c r="R53" s="8"/>
      <c r="S53" s="7">
        <f t="shared" si="0"/>
        <v>9259000</v>
      </c>
      <c r="T53" s="8"/>
      <c r="U53" s="8">
        <v>344489000</v>
      </c>
      <c r="V53" s="6"/>
      <c r="W53" s="8">
        <v>13903000</v>
      </c>
    </row>
    <row r="54" spans="1:23" s="12" customFormat="1" ht="12.75" customHeight="1" x14ac:dyDescent="0.2">
      <c r="A54" s="7" t="s">
        <v>459</v>
      </c>
      <c r="C54" s="7" t="s">
        <v>460</v>
      </c>
      <c r="D54" s="6"/>
      <c r="E54" s="8">
        <v>739047</v>
      </c>
      <c r="F54" s="8"/>
      <c r="G54" s="8">
        <v>1726265</v>
      </c>
      <c r="H54" s="8"/>
      <c r="I54" s="8">
        <v>147849</v>
      </c>
      <c r="J54" s="8"/>
      <c r="K54" s="8">
        <v>414586</v>
      </c>
      <c r="L54" s="8"/>
      <c r="M54" s="8">
        <v>969589</v>
      </c>
      <c r="N54" s="8"/>
      <c r="O54" s="8">
        <v>0</v>
      </c>
      <c r="P54" s="8"/>
      <c r="Q54" s="8">
        <f>59001+590721</f>
        <v>649722</v>
      </c>
      <c r="R54" s="8"/>
      <c r="S54" s="7">
        <f t="shared" si="0"/>
        <v>134906</v>
      </c>
      <c r="T54" s="8"/>
      <c r="U54" s="8">
        <v>4781964</v>
      </c>
      <c r="V54" s="6"/>
      <c r="W54" s="8">
        <v>0</v>
      </c>
    </row>
    <row r="55" spans="1:23" s="12" customFormat="1" ht="12.75" customHeight="1" x14ac:dyDescent="0.2">
      <c r="A55" s="7" t="s">
        <v>70</v>
      </c>
      <c r="C55" s="7" t="s">
        <v>64</v>
      </c>
      <c r="D55" s="6"/>
      <c r="E55" s="8">
        <v>333002</v>
      </c>
      <c r="F55" s="8"/>
      <c r="G55" s="8">
        <v>1789099</v>
      </c>
      <c r="H55" s="8"/>
      <c r="I55" s="8">
        <v>180937</v>
      </c>
      <c r="J55" s="8"/>
      <c r="K55" s="8">
        <v>727550</v>
      </c>
      <c r="L55" s="8"/>
      <c r="M55" s="8">
        <v>351767</v>
      </c>
      <c r="N55" s="8"/>
      <c r="O55" s="8">
        <v>0</v>
      </c>
      <c r="P55" s="8"/>
      <c r="Q55" s="8">
        <v>5572</v>
      </c>
      <c r="R55" s="8"/>
      <c r="S55" s="7">
        <f t="shared" si="0"/>
        <v>49199</v>
      </c>
      <c r="T55" s="8"/>
      <c r="U55" s="8">
        <v>3437126</v>
      </c>
      <c r="V55" s="6"/>
      <c r="W55" s="8">
        <v>0</v>
      </c>
    </row>
    <row r="56" spans="1:23" s="12" customFormat="1" ht="12.75" customHeight="1" x14ac:dyDescent="0.2">
      <c r="A56" s="7" t="s">
        <v>71</v>
      </c>
      <c r="C56" s="7" t="s">
        <v>25</v>
      </c>
      <c r="D56" s="6"/>
      <c r="E56" s="8">
        <v>36028000</v>
      </c>
      <c r="F56" s="8"/>
      <c r="G56" s="8">
        <v>294648000</v>
      </c>
      <c r="H56" s="8"/>
      <c r="I56" s="8">
        <v>50489000</v>
      </c>
      <c r="J56" s="8"/>
      <c r="K56" s="8">
        <v>34230000</v>
      </c>
      <c r="L56" s="8"/>
      <c r="M56" s="8">
        <v>31821000</v>
      </c>
      <c r="N56" s="8"/>
      <c r="O56" s="8">
        <v>0</v>
      </c>
      <c r="P56" s="8"/>
      <c r="Q56" s="8">
        <v>21451000</v>
      </c>
      <c r="R56" s="8"/>
      <c r="S56" s="7">
        <f t="shared" si="0"/>
        <v>28389000</v>
      </c>
      <c r="T56" s="8"/>
      <c r="U56" s="8">
        <v>497056000</v>
      </c>
      <c r="V56" s="6"/>
      <c r="W56" s="8">
        <f>3602000+2000</f>
        <v>3604000</v>
      </c>
    </row>
    <row r="57" spans="1:23" s="12" customFormat="1" ht="12.75" customHeight="1" x14ac:dyDescent="0.2">
      <c r="A57" s="7" t="s">
        <v>72</v>
      </c>
      <c r="C57" s="7" t="s">
        <v>25</v>
      </c>
      <c r="D57" s="6"/>
      <c r="E57" s="8">
        <v>6680907</v>
      </c>
      <c r="F57" s="8"/>
      <c r="G57" s="8">
        <v>23022254</v>
      </c>
      <c r="H57" s="8"/>
      <c r="I57" s="8">
        <v>119536</v>
      </c>
      <c r="J57" s="8"/>
      <c r="K57" s="8">
        <v>2612680</v>
      </c>
      <c r="L57" s="8"/>
      <c r="M57" s="8">
        <v>4569518</v>
      </c>
      <c r="N57" s="8"/>
      <c r="O57" s="8">
        <v>0</v>
      </c>
      <c r="P57" s="8"/>
      <c r="Q57" s="8">
        <f>1915963+2526405</f>
        <v>4442368</v>
      </c>
      <c r="R57" s="8"/>
      <c r="S57" s="7">
        <f t="shared" si="0"/>
        <v>2095430</v>
      </c>
      <c r="T57" s="8"/>
      <c r="U57" s="8">
        <v>43542693</v>
      </c>
      <c r="V57" s="6"/>
      <c r="W57" s="8">
        <f>25200+17026</f>
        <v>42226</v>
      </c>
    </row>
    <row r="58" spans="1:23" s="12" customFormat="1" ht="12.75" customHeight="1" x14ac:dyDescent="0.2">
      <c r="A58" s="7" t="s">
        <v>73</v>
      </c>
      <c r="C58" s="7" t="s">
        <v>74</v>
      </c>
      <c r="D58" s="6"/>
      <c r="E58" s="8">
        <v>538145</v>
      </c>
      <c r="F58" s="8"/>
      <c r="G58" s="8">
        <v>2929463</v>
      </c>
      <c r="H58" s="8"/>
      <c r="I58" s="8">
        <v>0</v>
      </c>
      <c r="J58" s="8"/>
      <c r="K58" s="8">
        <v>247166</v>
      </c>
      <c r="L58" s="8"/>
      <c r="M58" s="8">
        <v>283081</v>
      </c>
      <c r="N58" s="8"/>
      <c r="O58" s="8">
        <v>14708</v>
      </c>
      <c r="P58" s="8"/>
      <c r="Q58" s="8">
        <f>46895+12572</f>
        <v>59467</v>
      </c>
      <c r="R58" s="8"/>
      <c r="S58" s="7">
        <f t="shared" si="0"/>
        <v>147077</v>
      </c>
      <c r="T58" s="8"/>
      <c r="U58" s="8">
        <v>4219107</v>
      </c>
      <c r="V58" s="6"/>
      <c r="W58" s="8">
        <f>235000+1836</f>
        <v>236836</v>
      </c>
    </row>
    <row r="59" spans="1:23" s="12" customFormat="1" ht="12.75" hidden="1" customHeight="1" x14ac:dyDescent="0.2">
      <c r="A59" s="7" t="s">
        <v>75</v>
      </c>
      <c r="C59" s="7" t="s">
        <v>41</v>
      </c>
      <c r="D59" s="6"/>
      <c r="E59" s="8">
        <v>44812000</v>
      </c>
      <c r="F59" s="8"/>
      <c r="G59" s="8">
        <v>519624000</v>
      </c>
      <c r="H59" s="8"/>
      <c r="I59" s="8">
        <v>0</v>
      </c>
      <c r="J59" s="8"/>
      <c r="K59" s="8">
        <v>59739000</v>
      </c>
      <c r="L59" s="8"/>
      <c r="M59" s="8">
        <v>39586000</v>
      </c>
      <c r="N59" s="8"/>
      <c r="O59" s="8">
        <v>0</v>
      </c>
      <c r="P59" s="8"/>
      <c r="Q59" s="8">
        <f>10900000+21297000</f>
        <v>32197000</v>
      </c>
      <c r="R59" s="8"/>
      <c r="S59" s="7">
        <f t="shared" si="0"/>
        <v>11334000</v>
      </c>
      <c r="T59" s="8"/>
      <c r="U59" s="8">
        <v>707292000</v>
      </c>
      <c r="V59" s="6"/>
      <c r="W59" s="8">
        <v>27696000</v>
      </c>
    </row>
    <row r="60" spans="1:23" s="12" customFormat="1" ht="12.75" customHeight="1" x14ac:dyDescent="0.2">
      <c r="A60" s="7" t="s">
        <v>92</v>
      </c>
      <c r="C60" s="7" t="s">
        <v>92</v>
      </c>
      <c r="D60" s="6"/>
      <c r="E60" s="8">
        <v>2249689</v>
      </c>
      <c r="F60" s="8"/>
      <c r="G60" s="8">
        <v>0</v>
      </c>
      <c r="H60" s="8"/>
      <c r="I60" s="8">
        <v>0</v>
      </c>
      <c r="J60" s="8"/>
      <c r="K60" s="8">
        <v>164029</v>
      </c>
      <c r="L60" s="8"/>
      <c r="M60" s="8">
        <v>461611</v>
      </c>
      <c r="N60" s="8"/>
      <c r="O60" s="8">
        <v>0</v>
      </c>
      <c r="P60" s="8"/>
      <c r="Q60" s="8">
        <f>102771+37612</f>
        <v>140383</v>
      </c>
      <c r="R60" s="8"/>
      <c r="S60" s="7">
        <f t="shared" si="0"/>
        <v>23351</v>
      </c>
      <c r="T60" s="8"/>
      <c r="U60" s="8">
        <v>3039063</v>
      </c>
      <c r="V60" s="6"/>
      <c r="W60" s="8">
        <v>0</v>
      </c>
    </row>
    <row r="61" spans="1:23" s="9" customFormat="1" ht="12.75" customHeight="1" x14ac:dyDescent="0.2">
      <c r="A61" s="7" t="s">
        <v>76</v>
      </c>
      <c r="B61" s="12"/>
      <c r="C61" s="7" t="s">
        <v>17</v>
      </c>
      <c r="D61" s="6"/>
      <c r="E61" s="8">
        <v>308177</v>
      </c>
      <c r="F61" s="8"/>
      <c r="G61" s="8">
        <v>2214644</v>
      </c>
      <c r="H61" s="8"/>
      <c r="I61" s="8">
        <f>20477+145880</f>
        <v>166357</v>
      </c>
      <c r="J61" s="8"/>
      <c r="K61" s="8">
        <v>29539</v>
      </c>
      <c r="L61" s="8"/>
      <c r="M61" s="8">
        <v>537002</v>
      </c>
      <c r="N61" s="8"/>
      <c r="O61" s="8">
        <v>0</v>
      </c>
      <c r="P61" s="8"/>
      <c r="Q61" s="8">
        <f>474985+188615</f>
        <v>663600</v>
      </c>
      <c r="R61" s="8"/>
      <c r="S61" s="7">
        <f t="shared" si="0"/>
        <v>77599</v>
      </c>
      <c r="T61" s="8"/>
      <c r="U61" s="8">
        <v>3996918</v>
      </c>
      <c r="V61" s="6"/>
      <c r="W61" s="8">
        <v>0</v>
      </c>
    </row>
    <row r="62" spans="1:23" s="12" customFormat="1" ht="12.75" customHeight="1" x14ac:dyDescent="0.2">
      <c r="A62" s="7" t="s">
        <v>77</v>
      </c>
      <c r="C62" s="7" t="s">
        <v>78</v>
      </c>
      <c r="D62" s="6"/>
      <c r="E62" s="8">
        <v>476429</v>
      </c>
      <c r="F62" s="8"/>
      <c r="G62" s="8">
        <v>0</v>
      </c>
      <c r="H62" s="8"/>
      <c r="I62" s="8">
        <v>0</v>
      </c>
      <c r="J62" s="8"/>
      <c r="K62" s="8">
        <v>74210</v>
      </c>
      <c r="L62" s="8"/>
      <c r="M62" s="8">
        <v>307585</v>
      </c>
      <c r="N62" s="8"/>
      <c r="O62" s="8">
        <v>0</v>
      </c>
      <c r="P62" s="8"/>
      <c r="Q62" s="8">
        <f>79267+6095</f>
        <v>85362</v>
      </c>
      <c r="R62" s="8"/>
      <c r="S62" s="7">
        <f t="shared" si="0"/>
        <v>14446</v>
      </c>
      <c r="T62" s="8"/>
      <c r="U62" s="8">
        <v>958032</v>
      </c>
      <c r="V62" s="6"/>
      <c r="W62" s="8">
        <v>0</v>
      </c>
    </row>
    <row r="63" spans="1:23" s="12" customFormat="1" ht="12.75" customHeight="1" x14ac:dyDescent="0.2">
      <c r="A63" s="7" t="s">
        <v>79</v>
      </c>
      <c r="C63" s="7" t="s">
        <v>79</v>
      </c>
      <c r="D63" s="6"/>
      <c r="E63" s="8">
        <v>406549</v>
      </c>
      <c r="F63" s="8"/>
      <c r="G63" s="8">
        <v>2172063</v>
      </c>
      <c r="H63" s="8"/>
      <c r="I63" s="8">
        <v>37772</v>
      </c>
      <c r="J63" s="8"/>
      <c r="K63" s="8">
        <v>347468</v>
      </c>
      <c r="L63" s="8"/>
      <c r="M63" s="8">
        <v>825340</v>
      </c>
      <c r="N63" s="8"/>
      <c r="O63" s="8">
        <v>0</v>
      </c>
      <c r="P63" s="8"/>
      <c r="Q63" s="8">
        <f>114149+979</f>
        <v>115128</v>
      </c>
      <c r="R63" s="8"/>
      <c r="S63" s="7">
        <f t="shared" si="0"/>
        <v>47695</v>
      </c>
      <c r="T63" s="8"/>
      <c r="U63" s="8">
        <v>3952015</v>
      </c>
      <c r="V63" s="6"/>
      <c r="W63" s="8">
        <v>6348</v>
      </c>
    </row>
    <row r="64" spans="1:23" s="9" customFormat="1" ht="12.75" hidden="1" customHeight="1" x14ac:dyDescent="0.2">
      <c r="A64" s="10" t="s">
        <v>461</v>
      </c>
      <c r="B64" s="10"/>
      <c r="C64" s="10" t="s">
        <v>55</v>
      </c>
      <c r="D64" s="6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7">
        <f t="shared" si="0"/>
        <v>0</v>
      </c>
      <c r="T64" s="8"/>
      <c r="U64" s="8"/>
      <c r="V64" s="6"/>
      <c r="W64" s="8">
        <v>0</v>
      </c>
    </row>
    <row r="65" spans="1:24" s="12" customFormat="1" ht="12.75" hidden="1" customHeight="1" x14ac:dyDescent="0.2">
      <c r="A65" s="7" t="s">
        <v>80</v>
      </c>
      <c r="C65" s="7" t="s">
        <v>11</v>
      </c>
      <c r="D65" s="6"/>
      <c r="E65" s="8">
        <v>8706419</v>
      </c>
      <c r="F65" s="8"/>
      <c r="G65" s="8">
        <v>0</v>
      </c>
      <c r="H65" s="8"/>
      <c r="I65" s="8">
        <v>366265</v>
      </c>
      <c r="J65" s="8"/>
      <c r="K65" s="8">
        <v>3723576</v>
      </c>
      <c r="L65" s="8"/>
      <c r="M65" s="8">
        <f>4708824+67700</f>
        <v>4776524</v>
      </c>
      <c r="N65" s="8"/>
      <c r="O65" s="8">
        <v>3622</v>
      </c>
      <c r="P65" s="8"/>
      <c r="Q65" s="8">
        <f>122174+277751</f>
        <v>399925</v>
      </c>
      <c r="R65" s="8"/>
      <c r="S65" s="7">
        <f t="shared" si="0"/>
        <v>330048</v>
      </c>
      <c r="T65" s="8"/>
      <c r="U65" s="8">
        <v>18306379</v>
      </c>
      <c r="V65" s="6"/>
      <c r="W65" s="8">
        <v>13406192</v>
      </c>
    </row>
    <row r="66" spans="1:24" s="12" customFormat="1" ht="12.75" customHeight="1" x14ac:dyDescent="0.2">
      <c r="A66" s="7" t="s">
        <v>81</v>
      </c>
      <c r="C66" s="7" t="s">
        <v>64</v>
      </c>
      <c r="D66" s="6"/>
      <c r="E66" s="8">
        <v>6440938</v>
      </c>
      <c r="F66" s="8"/>
      <c r="G66" s="8">
        <v>100450896</v>
      </c>
      <c r="H66" s="8"/>
      <c r="I66" s="8">
        <v>9650588</v>
      </c>
      <c r="J66" s="8"/>
      <c r="K66" s="8">
        <v>26036689</v>
      </c>
      <c r="L66" s="8"/>
      <c r="M66" s="8">
        <v>2318490</v>
      </c>
      <c r="N66" s="8"/>
      <c r="O66" s="8">
        <v>124794</v>
      </c>
      <c r="P66" s="8"/>
      <c r="Q66" s="8">
        <f>1597652+5079968</f>
        <v>6677620</v>
      </c>
      <c r="R66" s="8"/>
      <c r="S66" s="7">
        <f t="shared" si="0"/>
        <v>5520519</v>
      </c>
      <c r="T66" s="8"/>
      <c r="U66" s="8">
        <v>157220534</v>
      </c>
      <c r="V66" s="6"/>
      <c r="W66" s="8">
        <v>0</v>
      </c>
    </row>
    <row r="67" spans="1:24" s="9" customFormat="1" ht="12.75" customHeight="1" x14ac:dyDescent="0.2">
      <c r="A67" s="7" t="s">
        <v>82</v>
      </c>
      <c r="B67" s="12"/>
      <c r="C67" s="7" t="s">
        <v>43</v>
      </c>
      <c r="D67" s="6"/>
      <c r="E67" s="8">
        <v>2000668</v>
      </c>
      <c r="F67" s="8"/>
      <c r="G67" s="8">
        <v>0</v>
      </c>
      <c r="H67" s="8"/>
      <c r="I67" s="8">
        <v>0</v>
      </c>
      <c r="J67" s="8"/>
      <c r="K67" s="8">
        <v>95333</v>
      </c>
      <c r="L67" s="8"/>
      <c r="M67" s="8">
        <v>281646</v>
      </c>
      <c r="N67" s="8"/>
      <c r="O67" s="8">
        <v>0</v>
      </c>
      <c r="P67" s="8"/>
      <c r="Q67" s="8">
        <v>71145</v>
      </c>
      <c r="R67" s="8"/>
      <c r="S67" s="7">
        <f t="shared" ref="S67" si="4">U67-E67-G67-K67-M67-O67-Q67-I67</f>
        <v>3295</v>
      </c>
      <c r="T67" s="8"/>
      <c r="U67" s="8">
        <v>2452087</v>
      </c>
      <c r="V67" s="6"/>
      <c r="W67" s="8">
        <v>0</v>
      </c>
    </row>
    <row r="68" spans="1:24" s="9" customFormat="1" ht="12.75" customHeight="1" x14ac:dyDescent="0.2">
      <c r="A68" s="7" t="s">
        <v>83</v>
      </c>
      <c r="B68" s="12"/>
      <c r="C68" s="7" t="s">
        <v>83</v>
      </c>
      <c r="D68" s="6"/>
      <c r="E68" s="8">
        <v>534351</v>
      </c>
      <c r="F68" s="8"/>
      <c r="G68" s="8">
        <v>5527262</v>
      </c>
      <c r="H68" s="8"/>
      <c r="I68" s="8">
        <v>0</v>
      </c>
      <c r="J68" s="8"/>
      <c r="K68" s="8">
        <v>671046</v>
      </c>
      <c r="L68" s="8"/>
      <c r="M68" s="8">
        <v>764211</v>
      </c>
      <c r="N68" s="8"/>
      <c r="O68" s="8">
        <v>0</v>
      </c>
      <c r="P68" s="8"/>
      <c r="Q68" s="8">
        <f>106597+509655</f>
        <v>616252</v>
      </c>
      <c r="R68" s="8"/>
      <c r="S68" s="7">
        <f t="shared" ref="S68:S86" si="5">U68-E68-G68-K68-M68-O68-Q68-I68</f>
        <v>149689</v>
      </c>
      <c r="T68" s="8"/>
      <c r="U68" s="8">
        <v>8262811</v>
      </c>
      <c r="V68" s="6"/>
      <c r="W68" s="7">
        <v>0</v>
      </c>
    </row>
    <row r="69" spans="1:24" s="12" customFormat="1" ht="12.75" hidden="1" customHeight="1" x14ac:dyDescent="0.2">
      <c r="A69" s="7" t="s">
        <v>84</v>
      </c>
      <c r="C69" s="7" t="s">
        <v>84</v>
      </c>
      <c r="D69" s="6"/>
      <c r="E69" s="8">
        <v>1286633</v>
      </c>
      <c r="F69" s="8"/>
      <c r="G69" s="8">
        <v>10269766</v>
      </c>
      <c r="H69" s="8"/>
      <c r="I69" s="8">
        <v>51455</v>
      </c>
      <c r="J69" s="8"/>
      <c r="K69" s="8">
        <v>1067619</v>
      </c>
      <c r="L69" s="8"/>
      <c r="M69" s="8">
        <v>1872156</v>
      </c>
      <c r="N69" s="8"/>
      <c r="O69" s="8">
        <v>0</v>
      </c>
      <c r="P69" s="8"/>
      <c r="Q69" s="8">
        <f>715334+57830</f>
        <v>773164</v>
      </c>
      <c r="R69" s="8"/>
      <c r="S69" s="7">
        <f t="shared" si="5"/>
        <v>256543</v>
      </c>
      <c r="T69" s="8"/>
      <c r="U69" s="8">
        <v>15577336</v>
      </c>
      <c r="V69" s="6"/>
      <c r="W69" s="8">
        <f>12194+4292</f>
        <v>16486</v>
      </c>
    </row>
    <row r="70" spans="1:24" s="12" customFormat="1" ht="12.75" customHeight="1" x14ac:dyDescent="0.2">
      <c r="A70" s="9" t="s">
        <v>85</v>
      </c>
      <c r="B70" s="9"/>
      <c r="C70" s="9" t="s">
        <v>86</v>
      </c>
      <c r="D70" s="19"/>
      <c r="E70" s="8">
        <v>352616</v>
      </c>
      <c r="F70" s="8"/>
      <c r="G70" s="8">
        <v>1564956</v>
      </c>
      <c r="H70" s="8"/>
      <c r="I70" s="8">
        <v>0</v>
      </c>
      <c r="J70" s="8"/>
      <c r="K70" s="8">
        <v>567160</v>
      </c>
      <c r="L70" s="8"/>
      <c r="M70" s="8">
        <v>169484</v>
      </c>
      <c r="N70" s="8"/>
      <c r="O70" s="8">
        <v>0</v>
      </c>
      <c r="P70" s="8"/>
      <c r="Q70" s="8">
        <v>80326</v>
      </c>
      <c r="R70" s="8"/>
      <c r="S70" s="7">
        <f t="shared" si="5"/>
        <v>44278</v>
      </c>
      <c r="T70" s="8"/>
      <c r="U70" s="8">
        <v>2778820</v>
      </c>
      <c r="V70" s="6"/>
      <c r="W70" s="8">
        <v>28332</v>
      </c>
    </row>
    <row r="71" spans="1:24" s="12" customFormat="1" ht="12.75" customHeight="1" x14ac:dyDescent="0.2">
      <c r="A71" s="7" t="s">
        <v>392</v>
      </c>
      <c r="C71" s="7" t="s">
        <v>87</v>
      </c>
      <c r="D71" s="6"/>
      <c r="E71" s="8">
        <v>753883</v>
      </c>
      <c r="F71" s="8"/>
      <c r="G71" s="8">
        <v>3694776</v>
      </c>
      <c r="H71" s="8"/>
      <c r="I71" s="8">
        <v>0</v>
      </c>
      <c r="J71" s="8"/>
      <c r="K71" s="8">
        <v>841032</v>
      </c>
      <c r="L71" s="8"/>
      <c r="M71" s="8">
        <v>1640490</v>
      </c>
      <c r="N71" s="8"/>
      <c r="O71" s="8">
        <v>0</v>
      </c>
      <c r="P71" s="8"/>
      <c r="Q71" s="8">
        <v>59543</v>
      </c>
      <c r="R71" s="8"/>
      <c r="S71" s="7">
        <f t="shared" si="5"/>
        <v>92942</v>
      </c>
      <c r="T71" s="8"/>
      <c r="U71" s="8">
        <v>7082666</v>
      </c>
      <c r="V71" s="6"/>
      <c r="W71" s="8">
        <v>0</v>
      </c>
      <c r="X71" s="9"/>
    </row>
    <row r="72" spans="1:24" s="12" customFormat="1" ht="12.75" customHeight="1" x14ac:dyDescent="0.2">
      <c r="A72" s="7" t="s">
        <v>88</v>
      </c>
      <c r="C72" s="7" t="s">
        <v>41</v>
      </c>
      <c r="D72" s="6"/>
      <c r="E72" s="8">
        <v>0</v>
      </c>
      <c r="F72" s="8"/>
      <c r="G72" s="8">
        <v>54841430</v>
      </c>
      <c r="H72" s="8"/>
      <c r="I72" s="8">
        <v>0</v>
      </c>
      <c r="J72" s="8"/>
      <c r="K72" s="8">
        <v>1141612</v>
      </c>
      <c r="L72" s="8"/>
      <c r="M72" s="8">
        <v>1809864</v>
      </c>
      <c r="N72" s="8"/>
      <c r="O72" s="8">
        <v>0</v>
      </c>
      <c r="P72" s="8"/>
      <c r="Q72" s="8">
        <v>2810174</v>
      </c>
      <c r="R72" s="8"/>
      <c r="S72" s="7">
        <f t="shared" si="5"/>
        <v>1800863</v>
      </c>
      <c r="T72" s="8"/>
      <c r="U72" s="8">
        <v>62403943</v>
      </c>
      <c r="V72" s="6"/>
      <c r="W72" s="8">
        <v>0</v>
      </c>
    </row>
    <row r="73" spans="1:24" s="12" customFormat="1" ht="12.75" customHeight="1" x14ac:dyDescent="0.2">
      <c r="A73" s="10" t="s">
        <v>482</v>
      </c>
      <c r="B73" s="10"/>
      <c r="C73" s="10" t="s">
        <v>25</v>
      </c>
      <c r="D73" s="6"/>
      <c r="E73" s="8">
        <v>568804</v>
      </c>
      <c r="F73" s="8"/>
      <c r="G73" s="8">
        <v>8123073</v>
      </c>
      <c r="H73" s="8"/>
      <c r="I73" s="8">
        <v>4471</v>
      </c>
      <c r="J73" s="8"/>
      <c r="K73" s="8">
        <v>643193</v>
      </c>
      <c r="L73" s="8"/>
      <c r="M73" s="8">
        <v>3449229</v>
      </c>
      <c r="N73" s="8"/>
      <c r="O73" s="8">
        <v>15941</v>
      </c>
      <c r="P73" s="8"/>
      <c r="Q73" s="8">
        <f>465644+1779803</f>
        <v>2245447</v>
      </c>
      <c r="R73" s="8"/>
      <c r="S73" s="7">
        <f t="shared" si="5"/>
        <v>865284</v>
      </c>
      <c r="T73" s="8"/>
      <c r="U73" s="8">
        <v>15915442</v>
      </c>
      <c r="V73" s="6"/>
      <c r="W73" s="8">
        <f>7231+1000000</f>
        <v>1007231</v>
      </c>
    </row>
    <row r="74" spans="1:24" s="12" customFormat="1" ht="12.75" customHeight="1" x14ac:dyDescent="0.2">
      <c r="A74" s="7" t="s">
        <v>91</v>
      </c>
      <c r="B74" s="10"/>
      <c r="C74" s="7" t="s">
        <v>92</v>
      </c>
      <c r="D74" s="6"/>
      <c r="E74" s="8">
        <v>149751</v>
      </c>
      <c r="F74" s="8"/>
      <c r="G74" s="8">
        <v>2833229</v>
      </c>
      <c r="H74" s="8"/>
      <c r="I74" s="8">
        <v>28397</v>
      </c>
      <c r="J74" s="8"/>
      <c r="K74" s="8">
        <v>8717</v>
      </c>
      <c r="L74" s="8"/>
      <c r="M74" s="8">
        <v>208305</v>
      </c>
      <c r="N74" s="8"/>
      <c r="O74" s="8">
        <v>0</v>
      </c>
      <c r="P74" s="8"/>
      <c r="Q74" s="8">
        <f>460708+174542</f>
        <v>635250</v>
      </c>
      <c r="R74" s="8"/>
      <c r="S74" s="7">
        <f t="shared" si="5"/>
        <v>411847</v>
      </c>
      <c r="T74" s="8"/>
      <c r="U74" s="8">
        <v>4275496</v>
      </c>
      <c r="V74" s="6"/>
      <c r="W74" s="8">
        <v>12480</v>
      </c>
    </row>
    <row r="75" spans="1:24" s="9" customFormat="1" ht="12.75" hidden="1" customHeight="1" x14ac:dyDescent="0.2">
      <c r="A75" s="9" t="s">
        <v>93</v>
      </c>
      <c r="C75" s="9" t="s">
        <v>92</v>
      </c>
      <c r="D75" s="19"/>
      <c r="E75" s="8">
        <v>950018</v>
      </c>
      <c r="F75" s="8"/>
      <c r="G75" s="8">
        <v>0</v>
      </c>
      <c r="H75" s="8"/>
      <c r="I75" s="8">
        <v>0</v>
      </c>
      <c r="J75" s="8"/>
      <c r="K75" s="8">
        <v>263573</v>
      </c>
      <c r="L75" s="8"/>
      <c r="M75" s="8">
        <v>129111</v>
      </c>
      <c r="N75" s="8"/>
      <c r="O75" s="8">
        <v>0</v>
      </c>
      <c r="P75" s="8"/>
      <c r="Q75" s="8">
        <f>81505+6298</f>
        <v>87803</v>
      </c>
      <c r="R75" s="8"/>
      <c r="S75" s="7">
        <f t="shared" si="5"/>
        <v>69308</v>
      </c>
      <c r="T75" s="8"/>
      <c r="U75" s="8">
        <v>1499813</v>
      </c>
      <c r="V75" s="6"/>
      <c r="W75" s="8">
        <v>0</v>
      </c>
    </row>
    <row r="76" spans="1:24" s="12" customFormat="1" ht="12.75" customHeight="1" x14ac:dyDescent="0.2">
      <c r="A76" s="7" t="s">
        <v>89</v>
      </c>
      <c r="C76" s="7" t="s">
        <v>90</v>
      </c>
      <c r="D76" s="6"/>
      <c r="E76" s="8">
        <v>1275834</v>
      </c>
      <c r="F76" s="8"/>
      <c r="G76" s="8">
        <v>6866149</v>
      </c>
      <c r="H76" s="8"/>
      <c r="I76" s="8">
        <v>285961</v>
      </c>
      <c r="J76" s="8"/>
      <c r="K76" s="8">
        <v>863748</v>
      </c>
      <c r="L76" s="8"/>
      <c r="M76" s="8">
        <v>1626358</v>
      </c>
      <c r="N76" s="8"/>
      <c r="O76" s="8">
        <v>0</v>
      </c>
      <c r="P76" s="8"/>
      <c r="Q76" s="8">
        <f>481563+145628</f>
        <v>627191</v>
      </c>
      <c r="R76" s="8"/>
      <c r="S76" s="7">
        <f t="shared" si="5"/>
        <v>53503</v>
      </c>
      <c r="T76" s="8"/>
      <c r="U76" s="8">
        <v>11598744</v>
      </c>
      <c r="V76" s="6"/>
      <c r="W76" s="8">
        <v>0</v>
      </c>
    </row>
    <row r="77" spans="1:24" s="12" customFormat="1" ht="12.75" customHeight="1" x14ac:dyDescent="0.2">
      <c r="A77" s="7" t="s">
        <v>94</v>
      </c>
      <c r="C77" s="7" t="s">
        <v>95</v>
      </c>
      <c r="D77" s="6"/>
      <c r="E77" s="8">
        <v>482674</v>
      </c>
      <c r="F77" s="8"/>
      <c r="G77" s="8">
        <v>962821</v>
      </c>
      <c r="H77" s="8"/>
      <c r="I77" s="8">
        <v>0</v>
      </c>
      <c r="J77" s="8"/>
      <c r="K77" s="8">
        <v>91342</v>
      </c>
      <c r="L77" s="8"/>
      <c r="M77" s="8">
        <v>683840</v>
      </c>
      <c r="N77" s="8"/>
      <c r="O77" s="8">
        <v>0</v>
      </c>
      <c r="P77" s="8"/>
      <c r="Q77" s="8">
        <f>88449+601515</f>
        <v>689964</v>
      </c>
      <c r="R77" s="8"/>
      <c r="S77" s="7">
        <f t="shared" si="5"/>
        <v>104867</v>
      </c>
      <c r="T77" s="8"/>
      <c r="U77" s="8">
        <v>3015508</v>
      </c>
      <c r="V77" s="6"/>
      <c r="W77" s="8">
        <v>0</v>
      </c>
    </row>
    <row r="78" spans="1:24" s="12" customFormat="1" ht="12.75" customHeight="1" x14ac:dyDescent="0.2">
      <c r="A78" s="7" t="s">
        <v>96</v>
      </c>
      <c r="C78" s="7" t="s">
        <v>15</v>
      </c>
      <c r="D78" s="6"/>
      <c r="E78" s="8">
        <v>1068580</v>
      </c>
      <c r="F78" s="8"/>
      <c r="G78" s="8">
        <v>18868216</v>
      </c>
      <c r="H78" s="8"/>
      <c r="I78" s="8">
        <v>759265</v>
      </c>
      <c r="J78" s="8"/>
      <c r="K78" s="8">
        <v>1718666</v>
      </c>
      <c r="L78" s="8"/>
      <c r="M78" s="8">
        <v>2691812</v>
      </c>
      <c r="N78" s="8"/>
      <c r="O78" s="8">
        <v>29718</v>
      </c>
      <c r="P78" s="8"/>
      <c r="Q78" s="8">
        <f>425075+434613</f>
        <v>859688</v>
      </c>
      <c r="R78" s="8"/>
      <c r="S78" s="7">
        <f t="shared" si="5"/>
        <v>78355</v>
      </c>
      <c r="T78" s="8"/>
      <c r="U78" s="8">
        <v>26074300</v>
      </c>
      <c r="V78" s="6"/>
      <c r="W78" s="8">
        <v>26056</v>
      </c>
    </row>
    <row r="79" spans="1:24" s="12" customFormat="1" ht="12.75" customHeight="1" x14ac:dyDescent="0.2">
      <c r="A79" s="7" t="s">
        <v>97</v>
      </c>
      <c r="C79" s="7" t="s">
        <v>64</v>
      </c>
      <c r="D79" s="6"/>
      <c r="E79" s="8">
        <v>841063</v>
      </c>
      <c r="F79" s="8"/>
      <c r="G79" s="8">
        <v>6535293</v>
      </c>
      <c r="H79" s="8"/>
      <c r="I79" s="8">
        <v>0</v>
      </c>
      <c r="J79" s="8"/>
      <c r="K79" s="8">
        <v>194533</v>
      </c>
      <c r="L79" s="8"/>
      <c r="M79" s="8">
        <v>670288</v>
      </c>
      <c r="N79" s="8"/>
      <c r="O79" s="8">
        <v>26512</v>
      </c>
      <c r="P79" s="8"/>
      <c r="Q79" s="8">
        <v>112509</v>
      </c>
      <c r="R79" s="8"/>
      <c r="S79" s="7">
        <f t="shared" si="5"/>
        <v>159708</v>
      </c>
      <c r="T79" s="8"/>
      <c r="U79" s="8">
        <v>8539906</v>
      </c>
      <c r="V79" s="6"/>
      <c r="W79" s="8">
        <v>40062</v>
      </c>
    </row>
    <row r="80" spans="1:24" s="12" customFormat="1" ht="12.75" customHeight="1" x14ac:dyDescent="0.2">
      <c r="A80" s="7" t="s">
        <v>98</v>
      </c>
      <c r="C80" s="7" t="s">
        <v>25</v>
      </c>
      <c r="D80" s="6"/>
      <c r="E80" s="8">
        <v>1488415</v>
      </c>
      <c r="F80" s="8"/>
      <c r="G80" s="8">
        <v>21216091</v>
      </c>
      <c r="H80" s="8"/>
      <c r="I80" s="8">
        <v>679602</v>
      </c>
      <c r="J80" s="8"/>
      <c r="K80" s="8">
        <v>5964015</v>
      </c>
      <c r="L80" s="8"/>
      <c r="M80" s="8">
        <v>2748958</v>
      </c>
      <c r="N80" s="8"/>
      <c r="O80" s="8">
        <v>1109237</v>
      </c>
      <c r="P80" s="8"/>
      <c r="Q80" s="8">
        <f>161302+1761225</f>
        <v>1922527</v>
      </c>
      <c r="R80" s="8"/>
      <c r="S80" s="7">
        <f t="shared" si="5"/>
        <v>765390</v>
      </c>
      <c r="T80" s="8"/>
      <c r="U80" s="8">
        <v>35894235</v>
      </c>
      <c r="V80" s="6"/>
      <c r="W80" s="8">
        <f>2022+625000</f>
        <v>627022</v>
      </c>
    </row>
    <row r="81" spans="1:23" s="12" customFormat="1" ht="12.75" customHeight="1" x14ac:dyDescent="0.2">
      <c r="A81" s="7" t="s">
        <v>99</v>
      </c>
      <c r="C81" s="7" t="s">
        <v>28</v>
      </c>
      <c r="D81" s="6"/>
      <c r="E81" s="8">
        <v>830404</v>
      </c>
      <c r="F81" s="8"/>
      <c r="G81" s="8">
        <v>7998004</v>
      </c>
      <c r="H81" s="8"/>
      <c r="I81" s="8">
        <v>741227</v>
      </c>
      <c r="J81" s="8"/>
      <c r="K81" s="8">
        <v>3505386</v>
      </c>
      <c r="L81" s="8"/>
      <c r="M81" s="8">
        <v>1605415</v>
      </c>
      <c r="N81" s="8"/>
      <c r="O81" s="8">
        <v>0</v>
      </c>
      <c r="P81" s="8"/>
      <c r="Q81" s="8">
        <v>1107146</v>
      </c>
      <c r="R81" s="8"/>
      <c r="S81" s="7">
        <f t="shared" si="5"/>
        <v>355029</v>
      </c>
      <c r="T81" s="8"/>
      <c r="U81" s="8">
        <v>16142611</v>
      </c>
      <c r="V81" s="6"/>
      <c r="W81" s="8">
        <v>307840</v>
      </c>
    </row>
    <row r="82" spans="1:23" s="12" customFormat="1" ht="12.75" customHeight="1" x14ac:dyDescent="0.2">
      <c r="A82" s="7" t="s">
        <v>100</v>
      </c>
      <c r="C82" s="7" t="s">
        <v>101</v>
      </c>
      <c r="D82" s="6"/>
      <c r="E82" s="8">
        <v>18904378</v>
      </c>
      <c r="F82" s="8"/>
      <c r="G82" s="8">
        <v>0</v>
      </c>
      <c r="H82" s="8"/>
      <c r="I82" s="8">
        <v>0</v>
      </c>
      <c r="J82" s="8"/>
      <c r="K82" s="8">
        <v>1424050</v>
      </c>
      <c r="L82" s="8"/>
      <c r="M82" s="8">
        <v>2202858</v>
      </c>
      <c r="N82" s="8"/>
      <c r="O82" s="8">
        <v>14821</v>
      </c>
      <c r="P82" s="8"/>
      <c r="Q82" s="8">
        <v>1261187</v>
      </c>
      <c r="R82" s="8"/>
      <c r="S82" s="7">
        <f t="shared" si="5"/>
        <v>423770</v>
      </c>
      <c r="T82" s="8"/>
      <c r="U82" s="8">
        <v>24231064</v>
      </c>
      <c r="V82" s="6"/>
      <c r="W82" s="8">
        <v>34752</v>
      </c>
    </row>
    <row r="83" spans="1:23" s="12" customFormat="1" ht="12.75" customHeight="1" x14ac:dyDescent="0.2">
      <c r="A83" s="7" t="s">
        <v>102</v>
      </c>
      <c r="C83" s="7" t="s">
        <v>11</v>
      </c>
      <c r="D83" s="6"/>
      <c r="E83" s="8">
        <v>863271</v>
      </c>
      <c r="F83" s="8"/>
      <c r="G83" s="8">
        <v>7907081</v>
      </c>
      <c r="H83" s="8"/>
      <c r="I83" s="8">
        <v>2332631</v>
      </c>
      <c r="J83" s="8"/>
      <c r="K83" s="8">
        <v>479868</v>
      </c>
      <c r="L83" s="8"/>
      <c r="M83" s="8">
        <v>1190081</v>
      </c>
      <c r="N83" s="8"/>
      <c r="O83" s="8">
        <v>0</v>
      </c>
      <c r="P83" s="8"/>
      <c r="Q83" s="8">
        <f>168593+134159</f>
        <v>302752</v>
      </c>
      <c r="R83" s="8"/>
      <c r="S83" s="7">
        <f t="shared" si="5"/>
        <v>207644</v>
      </c>
      <c r="T83" s="8"/>
      <c r="U83" s="8">
        <v>13283328</v>
      </c>
      <c r="V83" s="6"/>
      <c r="W83" s="8">
        <v>50000</v>
      </c>
    </row>
    <row r="84" spans="1:23" s="12" customFormat="1" ht="12.75" customHeight="1" x14ac:dyDescent="0.2">
      <c r="A84" s="7" t="s">
        <v>103</v>
      </c>
      <c r="C84" s="7" t="s">
        <v>25</v>
      </c>
      <c r="D84" s="6"/>
      <c r="E84" s="8">
        <v>2653575</v>
      </c>
      <c r="F84" s="8"/>
      <c r="G84" s="8">
        <v>5048043</v>
      </c>
      <c r="H84" s="8"/>
      <c r="I84" s="8">
        <v>0</v>
      </c>
      <c r="J84" s="8"/>
      <c r="K84" s="8">
        <v>710088</v>
      </c>
      <c r="L84" s="8"/>
      <c r="M84" s="8">
        <v>1369490</v>
      </c>
      <c r="N84" s="8"/>
      <c r="O84" s="8">
        <v>0</v>
      </c>
      <c r="P84" s="8"/>
      <c r="Q84" s="8">
        <v>335384</v>
      </c>
      <c r="R84" s="8"/>
      <c r="S84" s="7">
        <f t="shared" si="5"/>
        <v>109402</v>
      </c>
      <c r="T84" s="8"/>
      <c r="U84" s="8">
        <v>10225982</v>
      </c>
      <c r="V84" s="6"/>
      <c r="W84" s="8">
        <v>0</v>
      </c>
    </row>
    <row r="85" spans="1:23" s="12" customFormat="1" ht="12.75" customHeight="1" x14ac:dyDescent="0.2">
      <c r="A85" s="7" t="s">
        <v>104</v>
      </c>
      <c r="C85" s="7" t="s">
        <v>105</v>
      </c>
      <c r="D85" s="6"/>
      <c r="E85" s="8">
        <v>2341451</v>
      </c>
      <c r="F85" s="8"/>
      <c r="G85" s="8">
        <v>0</v>
      </c>
      <c r="H85" s="8"/>
      <c r="I85" s="8">
        <v>0</v>
      </c>
      <c r="J85" s="8"/>
      <c r="K85" s="8">
        <v>2531894</v>
      </c>
      <c r="L85" s="8"/>
      <c r="M85" s="8">
        <v>3743777</v>
      </c>
      <c r="N85" s="8"/>
      <c r="O85" s="8"/>
      <c r="P85" s="8"/>
      <c r="Q85" s="8">
        <f>319236+1142951</f>
        <v>1462187</v>
      </c>
      <c r="R85" s="8"/>
      <c r="S85" s="7">
        <f t="shared" si="5"/>
        <v>1121205</v>
      </c>
      <c r="T85" s="8"/>
      <c r="U85" s="8">
        <v>11200514</v>
      </c>
      <c r="V85" s="6"/>
      <c r="W85" s="8">
        <f>928+21152129</f>
        <v>21153057</v>
      </c>
    </row>
    <row r="86" spans="1:23" s="12" customFormat="1" ht="12.75" customHeight="1" x14ac:dyDescent="0.2">
      <c r="A86" s="7" t="s">
        <v>106</v>
      </c>
      <c r="C86" s="7" t="s">
        <v>43</v>
      </c>
      <c r="D86" s="6"/>
      <c r="E86" s="8">
        <v>8040734</v>
      </c>
      <c r="F86" s="8"/>
      <c r="G86" s="8">
        <v>0</v>
      </c>
      <c r="H86" s="8"/>
      <c r="I86" s="8">
        <v>0</v>
      </c>
      <c r="J86" s="8"/>
      <c r="K86" s="8">
        <v>70887</v>
      </c>
      <c r="L86" s="8"/>
      <c r="M86" s="8">
        <v>521533</v>
      </c>
      <c r="N86" s="8"/>
      <c r="O86" s="8">
        <v>0</v>
      </c>
      <c r="P86" s="8"/>
      <c r="Q86" s="8">
        <v>326070</v>
      </c>
      <c r="R86" s="8"/>
      <c r="S86" s="7">
        <f t="shared" si="5"/>
        <v>94548</v>
      </c>
      <c r="T86" s="8"/>
      <c r="U86" s="8">
        <v>9053772</v>
      </c>
      <c r="V86" s="6"/>
      <c r="W86" s="8">
        <v>100462</v>
      </c>
    </row>
    <row r="87" spans="1:23" s="12" customFormat="1" ht="12.75" customHeight="1" x14ac:dyDescent="0.2">
      <c r="A87" s="7" t="s">
        <v>467</v>
      </c>
      <c r="B87" s="9"/>
      <c r="C87" s="9"/>
      <c r="D87" s="19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7"/>
      <c r="T87" s="8"/>
      <c r="U87" s="8"/>
      <c r="V87" s="6"/>
      <c r="W87" s="11" t="s">
        <v>478</v>
      </c>
    </row>
    <row r="88" spans="1:23" s="79" customFormat="1" ht="12.75" customHeight="1" x14ac:dyDescent="0.2">
      <c r="A88" s="38" t="s">
        <v>385</v>
      </c>
      <c r="C88" s="38"/>
      <c r="D88" s="10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23"/>
      <c r="T88" s="38"/>
      <c r="U88" s="77"/>
      <c r="V88" s="75"/>
    </row>
    <row r="89" spans="1:23" s="79" customFormat="1" ht="12.75" customHeight="1" x14ac:dyDescent="0.2">
      <c r="A89" s="38" t="s">
        <v>505</v>
      </c>
      <c r="C89" s="38"/>
      <c r="D89" s="10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23"/>
      <c r="T89" s="38"/>
      <c r="U89" s="77"/>
      <c r="V89" s="75"/>
    </row>
    <row r="90" spans="1:23" s="12" customFormat="1" ht="12.75" customHeight="1" x14ac:dyDescent="0.2">
      <c r="A90" s="75" t="s">
        <v>287</v>
      </c>
      <c r="C90" s="13"/>
      <c r="D90" s="10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6"/>
      <c r="T90" s="13"/>
      <c r="U90" s="16"/>
      <c r="V90" s="13"/>
    </row>
    <row r="91" spans="1:23" s="12" customFormat="1" ht="12.75" customHeight="1" x14ac:dyDescent="0.2">
      <c r="A91" s="75" t="s">
        <v>478</v>
      </c>
      <c r="C91" s="13"/>
      <c r="D91" s="10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6"/>
      <c r="T91" s="13"/>
      <c r="U91" s="16"/>
      <c r="V91" s="13"/>
    </row>
    <row r="92" spans="1:23" s="44" customFormat="1" ht="12.75" customHeight="1" x14ac:dyDescent="0.2">
      <c r="A92" s="38"/>
      <c r="C92" s="3"/>
      <c r="D92" s="4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90"/>
      <c r="T92" s="3"/>
      <c r="U92" s="16"/>
      <c r="V92" s="3"/>
      <c r="W92" s="44" t="s">
        <v>292</v>
      </c>
    </row>
    <row r="93" spans="1:23" s="44" customFormat="1" ht="12.75" customHeight="1" x14ac:dyDescent="0.2">
      <c r="A93" s="3"/>
      <c r="C93" s="3"/>
      <c r="D93" s="3"/>
      <c r="E93" s="3" t="s">
        <v>291</v>
      </c>
      <c r="F93" s="3"/>
      <c r="G93" s="3" t="s">
        <v>324</v>
      </c>
      <c r="H93" s="3"/>
      <c r="I93" s="3" t="s">
        <v>292</v>
      </c>
      <c r="J93" s="3"/>
      <c r="K93" s="3" t="s">
        <v>290</v>
      </c>
      <c r="L93" s="3"/>
      <c r="M93" s="3" t="s">
        <v>325</v>
      </c>
      <c r="N93" s="3"/>
      <c r="O93" s="3" t="s">
        <v>326</v>
      </c>
      <c r="P93" s="3"/>
      <c r="Q93" s="3" t="s">
        <v>327</v>
      </c>
      <c r="R93" s="3"/>
      <c r="S93" s="90" t="s">
        <v>328</v>
      </c>
      <c r="T93" s="3"/>
      <c r="U93" s="90" t="s">
        <v>5</v>
      </c>
      <c r="V93" s="3"/>
      <c r="W93" s="44" t="s">
        <v>431</v>
      </c>
    </row>
    <row r="94" spans="1:23" s="44" customFormat="1" ht="12.75" customHeight="1" x14ac:dyDescent="0.2">
      <c r="A94" s="46" t="s">
        <v>6</v>
      </c>
      <c r="C94" s="46" t="s">
        <v>7</v>
      </c>
      <c r="D94" s="3"/>
      <c r="E94" s="46" t="s">
        <v>421</v>
      </c>
      <c r="F94" s="3"/>
      <c r="G94" s="46" t="s">
        <v>297</v>
      </c>
      <c r="H94" s="3"/>
      <c r="I94" s="46" t="s">
        <v>297</v>
      </c>
      <c r="J94" s="3"/>
      <c r="K94" s="46" t="s">
        <v>295</v>
      </c>
      <c r="L94" s="3"/>
      <c r="M94" s="46" t="s">
        <v>329</v>
      </c>
      <c r="N94" s="3"/>
      <c r="O94" s="46" t="s">
        <v>330</v>
      </c>
      <c r="P94" s="3"/>
      <c r="Q94" s="46" t="s">
        <v>399</v>
      </c>
      <c r="R94" s="3"/>
      <c r="S94" s="27" t="s">
        <v>321</v>
      </c>
      <c r="T94" s="3"/>
      <c r="U94" s="27" t="s">
        <v>300</v>
      </c>
      <c r="V94" s="3"/>
      <c r="W94" s="45" t="s">
        <v>432</v>
      </c>
    </row>
    <row r="95" spans="1:23" s="44" customFormat="1" ht="12.75" customHeight="1" x14ac:dyDescent="0.2">
      <c r="A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90"/>
      <c r="T95" s="3"/>
      <c r="U95" s="16"/>
      <c r="V95" s="3"/>
    </row>
    <row r="96" spans="1:23" s="7" customFormat="1" ht="12.75" customHeight="1" x14ac:dyDescent="0.2">
      <c r="A96" s="7" t="s">
        <v>107</v>
      </c>
      <c r="C96" s="7" t="s">
        <v>108</v>
      </c>
      <c r="D96" s="6"/>
      <c r="E96" s="40">
        <v>574379</v>
      </c>
      <c r="F96" s="40"/>
      <c r="G96" s="40">
        <v>4697624</v>
      </c>
      <c r="H96" s="40"/>
      <c r="I96" s="40">
        <v>0</v>
      </c>
      <c r="J96" s="40"/>
      <c r="K96" s="40">
        <v>860568</v>
      </c>
      <c r="L96" s="40"/>
      <c r="M96" s="40">
        <v>674838</v>
      </c>
      <c r="N96" s="40"/>
      <c r="O96" s="40">
        <v>0</v>
      </c>
      <c r="P96" s="40"/>
      <c r="Q96" s="40">
        <f>18638+8150</f>
        <v>26788</v>
      </c>
      <c r="R96" s="40"/>
      <c r="S96" s="9">
        <f t="shared" ref="S96:S132" si="6">U96-E96-G96-K96-M96-O96-Q96-I96</f>
        <v>113407</v>
      </c>
      <c r="T96" s="40"/>
      <c r="U96" s="40">
        <v>6947604</v>
      </c>
      <c r="V96" s="19"/>
      <c r="W96" s="40">
        <v>0</v>
      </c>
    </row>
    <row r="97" spans="1:23" s="12" customFormat="1" ht="12.75" customHeight="1" x14ac:dyDescent="0.2">
      <c r="A97" s="7" t="s">
        <v>41</v>
      </c>
      <c r="C97" s="7" t="s">
        <v>109</v>
      </c>
      <c r="D97" s="6"/>
      <c r="E97" s="8">
        <v>400122</v>
      </c>
      <c r="F97" s="8"/>
      <c r="G97" s="8">
        <v>8125750</v>
      </c>
      <c r="H97" s="8"/>
      <c r="I97" s="8">
        <v>152896</v>
      </c>
      <c r="J97" s="8"/>
      <c r="K97" s="8">
        <v>29194</v>
      </c>
      <c r="L97" s="8"/>
      <c r="M97" s="8">
        <v>333625</v>
      </c>
      <c r="N97" s="8"/>
      <c r="O97" s="8">
        <v>0</v>
      </c>
      <c r="P97" s="8"/>
      <c r="Q97" s="8">
        <v>562314</v>
      </c>
      <c r="R97" s="8"/>
      <c r="S97" s="7">
        <f t="shared" si="6"/>
        <v>190282</v>
      </c>
      <c r="T97" s="8"/>
      <c r="U97" s="8">
        <v>9794183</v>
      </c>
      <c r="V97" s="6"/>
      <c r="W97" s="8">
        <v>414994</v>
      </c>
    </row>
    <row r="98" spans="1:23" s="12" customFormat="1" ht="12.75" customHeight="1" x14ac:dyDescent="0.2">
      <c r="A98" s="7" t="s">
        <v>110</v>
      </c>
      <c r="C98" s="7" t="s">
        <v>74</v>
      </c>
      <c r="D98" s="6"/>
      <c r="E98" s="8">
        <v>791091</v>
      </c>
      <c r="F98" s="8"/>
      <c r="G98" s="8">
        <v>7645178</v>
      </c>
      <c r="H98" s="8"/>
      <c r="I98" s="8">
        <v>0</v>
      </c>
      <c r="J98" s="8"/>
      <c r="K98" s="8">
        <v>27308</v>
      </c>
      <c r="L98" s="8"/>
      <c r="M98" s="8">
        <v>841415</v>
      </c>
      <c r="N98" s="8"/>
      <c r="O98" s="8">
        <v>0</v>
      </c>
      <c r="P98" s="8"/>
      <c r="Q98" s="8">
        <f>31691+301737</f>
        <v>333428</v>
      </c>
      <c r="R98" s="8"/>
      <c r="S98" s="7">
        <f t="shared" si="6"/>
        <v>399538</v>
      </c>
      <c r="T98" s="8"/>
      <c r="U98" s="8">
        <v>10037958</v>
      </c>
      <c r="V98" s="6"/>
      <c r="W98" s="8">
        <v>20000</v>
      </c>
    </row>
    <row r="99" spans="1:23" s="12" customFormat="1" ht="12.75" hidden="1" customHeight="1" x14ac:dyDescent="0.2">
      <c r="A99" s="7" t="s">
        <v>111</v>
      </c>
      <c r="C99" s="7" t="s">
        <v>41</v>
      </c>
      <c r="D99" s="6"/>
      <c r="E99" s="8">
        <v>1534422</v>
      </c>
      <c r="F99" s="8"/>
      <c r="G99" s="8">
        <v>14405894</v>
      </c>
      <c r="H99" s="8"/>
      <c r="I99" s="8">
        <v>421791</v>
      </c>
      <c r="J99" s="8"/>
      <c r="K99" s="8">
        <v>3043979</v>
      </c>
      <c r="L99" s="8"/>
      <c r="M99" s="8">
        <v>2581859</v>
      </c>
      <c r="N99" s="8"/>
      <c r="O99" s="8">
        <v>0</v>
      </c>
      <c r="P99" s="8"/>
      <c r="Q99" s="8">
        <f>867537+464152</f>
        <v>1331689</v>
      </c>
      <c r="R99" s="8"/>
      <c r="S99" s="7">
        <f t="shared" si="6"/>
        <v>1370421</v>
      </c>
      <c r="T99" s="8"/>
      <c r="U99" s="8">
        <v>24690055</v>
      </c>
      <c r="V99" s="6"/>
      <c r="W99" s="8">
        <v>22302</v>
      </c>
    </row>
    <row r="100" spans="1:23" s="12" customFormat="1" ht="12.75" customHeight="1" x14ac:dyDescent="0.2">
      <c r="A100" s="7" t="s">
        <v>483</v>
      </c>
      <c r="C100" s="7" t="s">
        <v>55</v>
      </c>
      <c r="D100" s="6"/>
      <c r="E100" s="8">
        <v>336383</v>
      </c>
      <c r="F100" s="8"/>
      <c r="G100" s="8">
        <v>2294061</v>
      </c>
      <c r="H100" s="8"/>
      <c r="I100" s="8">
        <v>469946</v>
      </c>
      <c r="J100" s="8"/>
      <c r="K100" s="8">
        <v>1064501</v>
      </c>
      <c r="L100" s="8"/>
      <c r="M100" s="8">
        <v>584971</v>
      </c>
      <c r="N100" s="8"/>
      <c r="O100" s="8">
        <v>0</v>
      </c>
      <c r="P100" s="8"/>
      <c r="Q100" s="8">
        <f>124206+17313</f>
        <v>141519</v>
      </c>
      <c r="R100" s="8"/>
      <c r="S100" s="7">
        <f t="shared" si="6"/>
        <v>109233</v>
      </c>
      <c r="T100" s="8"/>
      <c r="U100" s="8">
        <v>5000614</v>
      </c>
      <c r="V100" s="6"/>
      <c r="W100" s="8">
        <v>360000</v>
      </c>
    </row>
    <row r="101" spans="1:23" s="12" customFormat="1" ht="12.75" customHeight="1" x14ac:dyDescent="0.2">
      <c r="A101" s="7" t="s">
        <v>112</v>
      </c>
      <c r="C101" s="7" t="s">
        <v>25</v>
      </c>
      <c r="D101" s="6"/>
      <c r="E101" s="8">
        <v>6711573</v>
      </c>
      <c r="F101" s="8"/>
      <c r="G101" s="8">
        <v>8015201</v>
      </c>
      <c r="H101" s="8"/>
      <c r="I101" s="8">
        <v>315167</v>
      </c>
      <c r="J101" s="8"/>
      <c r="K101" s="8">
        <v>5635354</v>
      </c>
      <c r="L101" s="8"/>
      <c r="M101" s="8">
        <v>2912875</v>
      </c>
      <c r="N101" s="8"/>
      <c r="O101" s="8">
        <v>0</v>
      </c>
      <c r="P101" s="8"/>
      <c r="Q101" s="8">
        <f>401563+700851</f>
        <v>1102414</v>
      </c>
      <c r="R101" s="8"/>
      <c r="S101" s="7">
        <f t="shared" si="6"/>
        <v>435872</v>
      </c>
      <c r="T101" s="8"/>
      <c r="U101" s="8">
        <v>25128456</v>
      </c>
      <c r="V101" s="6"/>
      <c r="W101" s="8">
        <v>134651</v>
      </c>
    </row>
    <row r="102" spans="1:23" s="12" customFormat="1" ht="12.75" customHeight="1" x14ac:dyDescent="0.2">
      <c r="A102" s="7" t="s">
        <v>113</v>
      </c>
      <c r="C102" s="7" t="s">
        <v>17</v>
      </c>
      <c r="D102" s="6"/>
      <c r="E102" s="8">
        <v>306662</v>
      </c>
      <c r="F102" s="8"/>
      <c r="G102" s="8">
        <v>2654009</v>
      </c>
      <c r="H102" s="8"/>
      <c r="I102" s="8">
        <v>0</v>
      </c>
      <c r="J102" s="8"/>
      <c r="K102" s="8">
        <v>276990</v>
      </c>
      <c r="L102" s="8"/>
      <c r="M102" s="8">
        <v>313291</v>
      </c>
      <c r="N102" s="8"/>
      <c r="O102" s="8">
        <v>0</v>
      </c>
      <c r="P102" s="8"/>
      <c r="Q102" s="8">
        <v>198914</v>
      </c>
      <c r="R102" s="8"/>
      <c r="S102" s="7">
        <f t="shared" si="6"/>
        <v>109424</v>
      </c>
      <c r="T102" s="8"/>
      <c r="U102" s="8">
        <v>3859290</v>
      </c>
      <c r="V102" s="6"/>
      <c r="W102" s="8">
        <v>3286</v>
      </c>
    </row>
    <row r="103" spans="1:23" s="12" customFormat="1" ht="12.75" customHeight="1" x14ac:dyDescent="0.2">
      <c r="A103" s="7" t="s">
        <v>114</v>
      </c>
      <c r="C103" s="7" t="s">
        <v>78</v>
      </c>
      <c r="D103" s="6"/>
      <c r="E103" s="8">
        <v>213492</v>
      </c>
      <c r="F103" s="8"/>
      <c r="G103" s="8">
        <v>3714040</v>
      </c>
      <c r="H103" s="8"/>
      <c r="I103" s="8">
        <v>0</v>
      </c>
      <c r="J103" s="8"/>
      <c r="K103" s="8">
        <v>0</v>
      </c>
      <c r="L103" s="8"/>
      <c r="M103" s="8">
        <v>937541</v>
      </c>
      <c r="N103" s="8"/>
      <c r="O103" s="8">
        <v>7071</v>
      </c>
      <c r="P103" s="8"/>
      <c r="Q103" s="8">
        <f>249125+515772</f>
        <v>764897</v>
      </c>
      <c r="R103" s="8"/>
      <c r="S103" s="7">
        <f t="shared" si="6"/>
        <v>108272</v>
      </c>
      <c r="T103" s="8"/>
      <c r="U103" s="8">
        <v>5745313</v>
      </c>
      <c r="V103" s="6"/>
      <c r="W103" s="8">
        <v>15230</v>
      </c>
    </row>
    <row r="104" spans="1:23" s="12" customFormat="1" ht="12.75" customHeight="1" x14ac:dyDescent="0.2">
      <c r="A104" s="7" t="s">
        <v>115</v>
      </c>
      <c r="C104" s="7" t="s">
        <v>41</v>
      </c>
      <c r="D104" s="6"/>
      <c r="E104" s="8">
        <v>1434166</v>
      </c>
      <c r="F104" s="8"/>
      <c r="G104" s="8">
        <v>6419105</v>
      </c>
      <c r="H104" s="8"/>
      <c r="I104" s="8">
        <v>0</v>
      </c>
      <c r="J104" s="8"/>
      <c r="K104" s="8">
        <v>973648</v>
      </c>
      <c r="L104" s="8"/>
      <c r="M104" s="8">
        <v>609238</v>
      </c>
      <c r="N104" s="8"/>
      <c r="O104" s="8">
        <v>0</v>
      </c>
      <c r="P104" s="8"/>
      <c r="Q104" s="8">
        <f>211362+86535</f>
        <v>297897</v>
      </c>
      <c r="R104" s="8"/>
      <c r="S104" s="7">
        <f t="shared" si="6"/>
        <v>165461</v>
      </c>
      <c r="T104" s="8"/>
      <c r="U104" s="8">
        <v>9899515</v>
      </c>
      <c r="V104" s="6"/>
      <c r="W104" s="8">
        <f>3941+20166</f>
        <v>24107</v>
      </c>
    </row>
    <row r="105" spans="1:23" s="12" customFormat="1" ht="12.75" customHeight="1" x14ac:dyDescent="0.2">
      <c r="A105" s="7" t="s">
        <v>116</v>
      </c>
      <c r="C105" s="7" t="s">
        <v>11</v>
      </c>
      <c r="D105" s="6"/>
      <c r="E105" s="8">
        <v>1292404</v>
      </c>
      <c r="F105" s="8"/>
      <c r="G105" s="8">
        <v>17772555</v>
      </c>
      <c r="H105" s="8"/>
      <c r="I105" s="8">
        <v>481020</v>
      </c>
      <c r="J105" s="8"/>
      <c r="K105" s="8">
        <v>266631</v>
      </c>
      <c r="L105" s="8"/>
      <c r="M105" s="8">
        <v>1034232</v>
      </c>
      <c r="N105" s="8"/>
      <c r="O105" s="8">
        <v>5252</v>
      </c>
      <c r="P105" s="8"/>
      <c r="Q105" s="8">
        <f>371186+32713</f>
        <v>403899</v>
      </c>
      <c r="R105" s="8"/>
      <c r="S105" s="7">
        <f t="shared" si="6"/>
        <v>581759</v>
      </c>
      <c r="T105" s="8"/>
      <c r="U105" s="8">
        <v>21837752</v>
      </c>
      <c r="V105" s="6"/>
      <c r="W105" s="8">
        <v>0</v>
      </c>
    </row>
    <row r="106" spans="1:23" s="12" customFormat="1" ht="12.75" customHeight="1" x14ac:dyDescent="0.2">
      <c r="A106" s="7" t="s">
        <v>118</v>
      </c>
      <c r="C106" s="7" t="s">
        <v>119</v>
      </c>
      <c r="D106" s="6"/>
      <c r="E106" s="8">
        <v>970517</v>
      </c>
      <c r="F106" s="8"/>
      <c r="G106" s="8">
        <v>6197188</v>
      </c>
      <c r="H106" s="8"/>
      <c r="I106" s="8">
        <v>0</v>
      </c>
      <c r="J106" s="8"/>
      <c r="K106" s="8">
        <v>37032</v>
      </c>
      <c r="L106" s="8"/>
      <c r="M106" s="8">
        <v>739784</v>
      </c>
      <c r="N106" s="8"/>
      <c r="O106" s="8">
        <v>13640</v>
      </c>
      <c r="P106" s="8"/>
      <c r="Q106" s="8">
        <f>102358+83991</f>
        <v>186349</v>
      </c>
      <c r="R106" s="8"/>
      <c r="S106" s="7">
        <f t="shared" si="6"/>
        <v>186266</v>
      </c>
      <c r="T106" s="8"/>
      <c r="U106" s="8">
        <v>8330776</v>
      </c>
      <c r="V106" s="6"/>
      <c r="W106" s="8">
        <v>0</v>
      </c>
    </row>
    <row r="107" spans="1:23" s="12" customFormat="1" ht="12.75" customHeight="1" x14ac:dyDescent="0.2">
      <c r="A107" s="7" t="s">
        <v>120</v>
      </c>
      <c r="C107" s="7" t="s">
        <v>41</v>
      </c>
      <c r="D107" s="6"/>
      <c r="E107" s="8">
        <v>841413</v>
      </c>
      <c r="F107" s="8"/>
      <c r="G107" s="8">
        <v>21750608</v>
      </c>
      <c r="H107" s="8"/>
      <c r="I107" s="8">
        <v>479843</v>
      </c>
      <c r="J107" s="8"/>
      <c r="K107" s="8">
        <v>280875</v>
      </c>
      <c r="L107" s="8"/>
      <c r="M107" s="8">
        <v>2682430</v>
      </c>
      <c r="N107" s="8"/>
      <c r="O107" s="8">
        <v>68632</v>
      </c>
      <c r="P107" s="8"/>
      <c r="Q107" s="8">
        <f>992442+403574</f>
        <v>1396016</v>
      </c>
      <c r="R107" s="8"/>
      <c r="S107" s="7">
        <f t="shared" si="6"/>
        <v>1452668</v>
      </c>
      <c r="T107" s="8"/>
      <c r="U107" s="8">
        <v>28952485</v>
      </c>
      <c r="V107" s="6"/>
      <c r="W107" s="8">
        <v>16322</v>
      </c>
    </row>
    <row r="108" spans="1:23" s="12" customFormat="1" ht="12.75" customHeight="1" x14ac:dyDescent="0.2">
      <c r="A108" s="6" t="s">
        <v>494</v>
      </c>
      <c r="B108" s="91"/>
      <c r="C108" s="6" t="s">
        <v>41</v>
      </c>
      <c r="D108" s="6"/>
      <c r="E108" s="8">
        <v>244174</v>
      </c>
      <c r="F108" s="8"/>
      <c r="G108" s="8">
        <v>7459565</v>
      </c>
      <c r="H108" s="8"/>
      <c r="I108" s="8">
        <v>0</v>
      </c>
      <c r="J108" s="8"/>
      <c r="K108" s="8">
        <v>2285571</v>
      </c>
      <c r="L108" s="8"/>
      <c r="M108" s="8">
        <v>307269</v>
      </c>
      <c r="N108" s="8"/>
      <c r="O108" s="8">
        <v>35522</v>
      </c>
      <c r="P108" s="8"/>
      <c r="Q108" s="8">
        <v>247918</v>
      </c>
      <c r="R108" s="8"/>
      <c r="S108" s="7">
        <f t="shared" si="6"/>
        <v>539035</v>
      </c>
      <c r="T108" s="8"/>
      <c r="U108" s="8">
        <v>11119054</v>
      </c>
      <c r="V108" s="6"/>
      <c r="W108" s="8">
        <f>500000+39841</f>
        <v>539841</v>
      </c>
    </row>
    <row r="109" spans="1:23" s="12" customFormat="1" ht="12.75" customHeight="1" x14ac:dyDescent="0.2">
      <c r="A109" s="7" t="s">
        <v>43</v>
      </c>
      <c r="C109" s="7" t="s">
        <v>101</v>
      </c>
      <c r="D109" s="6"/>
      <c r="E109" s="8">
        <v>5424344</v>
      </c>
      <c r="F109" s="8"/>
      <c r="G109" s="8">
        <v>16237009</v>
      </c>
      <c r="H109" s="8"/>
      <c r="I109" s="8">
        <v>0</v>
      </c>
      <c r="J109" s="8"/>
      <c r="K109" s="8">
        <v>5434589</v>
      </c>
      <c r="L109" s="8"/>
      <c r="M109" s="8">
        <v>3128736</v>
      </c>
      <c r="N109" s="8"/>
      <c r="O109" s="8">
        <v>0</v>
      </c>
      <c r="P109" s="8"/>
      <c r="Q109" s="8">
        <f>612917+704945</f>
        <v>1317862</v>
      </c>
      <c r="R109" s="8"/>
      <c r="S109" s="7">
        <f t="shared" si="6"/>
        <v>459594</v>
      </c>
      <c r="T109" s="8"/>
      <c r="U109" s="8">
        <v>32002134</v>
      </c>
      <c r="V109" s="6"/>
      <c r="W109" s="8">
        <v>279983</v>
      </c>
    </row>
    <row r="110" spans="1:23" s="12" customFormat="1" ht="12.75" customHeight="1" x14ac:dyDescent="0.2">
      <c r="A110" s="7" t="s">
        <v>121</v>
      </c>
      <c r="C110" s="7" t="s">
        <v>43</v>
      </c>
      <c r="D110" s="6"/>
      <c r="E110" s="8">
        <v>1148724</v>
      </c>
      <c r="F110" s="8"/>
      <c r="G110" s="8">
        <v>3092518</v>
      </c>
      <c r="H110" s="8"/>
      <c r="I110" s="8">
        <v>0</v>
      </c>
      <c r="J110" s="8"/>
      <c r="K110" s="8">
        <v>865</v>
      </c>
      <c r="L110" s="8"/>
      <c r="M110" s="8">
        <v>402593</v>
      </c>
      <c r="N110" s="8"/>
      <c r="O110" s="8">
        <v>0</v>
      </c>
      <c r="P110" s="8"/>
      <c r="Q110" s="8">
        <f>191202+213233</f>
        <v>404435</v>
      </c>
      <c r="R110" s="8"/>
      <c r="S110" s="7">
        <f t="shared" si="6"/>
        <v>276894</v>
      </c>
      <c r="T110" s="8"/>
      <c r="U110" s="8">
        <v>5326029</v>
      </c>
      <c r="V110" s="6"/>
      <c r="W110" s="8">
        <v>118036</v>
      </c>
    </row>
    <row r="111" spans="1:23" s="12" customFormat="1" ht="12.75" customHeight="1" x14ac:dyDescent="0.2">
      <c r="A111" s="7" t="s">
        <v>122</v>
      </c>
      <c r="C111" s="7" t="s">
        <v>123</v>
      </c>
      <c r="D111" s="6"/>
      <c r="E111" s="8">
        <v>5501706</v>
      </c>
      <c r="F111" s="8"/>
      <c r="G111" s="8">
        <v>0</v>
      </c>
      <c r="H111" s="8"/>
      <c r="I111" s="8">
        <v>0</v>
      </c>
      <c r="J111" s="8"/>
      <c r="K111" s="8">
        <v>461078</v>
      </c>
      <c r="L111" s="8"/>
      <c r="M111" s="8">
        <v>556463</v>
      </c>
      <c r="N111" s="8"/>
      <c r="O111" s="8">
        <v>0</v>
      </c>
      <c r="P111" s="8"/>
      <c r="Q111" s="8">
        <f>40331+17092</f>
        <v>57423</v>
      </c>
      <c r="R111" s="8"/>
      <c r="S111" s="7">
        <f t="shared" si="6"/>
        <v>207818</v>
      </c>
      <c r="T111" s="8"/>
      <c r="U111" s="8">
        <v>6784488</v>
      </c>
      <c r="V111" s="6"/>
      <c r="W111" s="8">
        <v>0</v>
      </c>
    </row>
    <row r="112" spans="1:23" s="12" customFormat="1" ht="12.75" customHeight="1" x14ac:dyDescent="0.2">
      <c r="A112" s="7" t="s">
        <v>124</v>
      </c>
      <c r="C112" s="7" t="s">
        <v>25</v>
      </c>
      <c r="D112" s="6"/>
      <c r="E112" s="8">
        <v>770391</v>
      </c>
      <c r="F112" s="8"/>
      <c r="G112" s="8">
        <v>10140988</v>
      </c>
      <c r="H112" s="8"/>
      <c r="I112" s="8">
        <v>5680</v>
      </c>
      <c r="J112" s="8"/>
      <c r="K112" s="8">
        <v>436561</v>
      </c>
      <c r="L112" s="8"/>
      <c r="M112" s="8">
        <v>1136009</v>
      </c>
      <c r="N112" s="8"/>
      <c r="O112" s="8">
        <v>39544</v>
      </c>
      <c r="P112" s="8"/>
      <c r="Q112" s="8">
        <v>369810</v>
      </c>
      <c r="R112" s="8"/>
      <c r="S112" s="7">
        <f t="shared" si="6"/>
        <v>235487</v>
      </c>
      <c r="T112" s="8"/>
      <c r="U112" s="8">
        <v>13134470</v>
      </c>
      <c r="V112" s="6"/>
      <c r="W112" s="8">
        <v>0</v>
      </c>
    </row>
    <row r="113" spans="1:23" s="12" customFormat="1" ht="12.75" hidden="1" customHeight="1" x14ac:dyDescent="0.2">
      <c r="A113" s="7" t="s">
        <v>125</v>
      </c>
      <c r="C113" s="7" t="s">
        <v>41</v>
      </c>
      <c r="D113" s="6"/>
      <c r="E113" s="8">
        <v>1981224</v>
      </c>
      <c r="F113" s="8"/>
      <c r="G113" s="8">
        <v>12203178</v>
      </c>
      <c r="H113" s="8"/>
      <c r="I113" s="8">
        <v>0</v>
      </c>
      <c r="J113" s="8"/>
      <c r="K113" s="8">
        <v>2932107</v>
      </c>
      <c r="L113" s="8"/>
      <c r="M113" s="8">
        <v>654106</v>
      </c>
      <c r="N113" s="8"/>
      <c r="O113" s="8">
        <v>0</v>
      </c>
      <c r="P113" s="8"/>
      <c r="Q113" s="8">
        <f>852418+302385</f>
        <v>1154803</v>
      </c>
      <c r="R113" s="8"/>
      <c r="S113" s="7">
        <f t="shared" si="6"/>
        <v>190142</v>
      </c>
      <c r="T113" s="8"/>
      <c r="U113" s="8">
        <v>19115560</v>
      </c>
      <c r="V113" s="6"/>
      <c r="W113" s="8">
        <v>28398</v>
      </c>
    </row>
    <row r="114" spans="1:23" s="12" customFormat="1" ht="12.75" customHeight="1" x14ac:dyDescent="0.2">
      <c r="A114" s="7" t="s">
        <v>126</v>
      </c>
      <c r="C114" s="7" t="s">
        <v>117</v>
      </c>
      <c r="D114" s="6"/>
      <c r="E114" s="8">
        <v>3518993</v>
      </c>
      <c r="F114" s="8"/>
      <c r="G114" s="8">
        <v>0</v>
      </c>
      <c r="H114" s="8"/>
      <c r="I114" s="8">
        <v>0</v>
      </c>
      <c r="J114" s="8"/>
      <c r="K114" s="8">
        <v>515886</v>
      </c>
      <c r="L114" s="8"/>
      <c r="M114" s="8">
        <v>406771</v>
      </c>
      <c r="N114" s="8"/>
      <c r="O114" s="8">
        <v>0</v>
      </c>
      <c r="P114" s="8"/>
      <c r="Q114" s="8">
        <f>14941+217415</f>
        <v>232356</v>
      </c>
      <c r="R114" s="8"/>
      <c r="S114" s="7">
        <f t="shared" si="6"/>
        <v>34981</v>
      </c>
      <c r="T114" s="8"/>
      <c r="U114" s="8">
        <v>4708987</v>
      </c>
      <c r="V114" s="6"/>
      <c r="W114" s="8">
        <v>46738</v>
      </c>
    </row>
    <row r="115" spans="1:23" s="12" customFormat="1" ht="12.75" customHeight="1" x14ac:dyDescent="0.2">
      <c r="A115" s="7" t="s">
        <v>127</v>
      </c>
      <c r="C115" s="7" t="s">
        <v>78</v>
      </c>
      <c r="D115" s="6"/>
      <c r="E115" s="8">
        <v>187507</v>
      </c>
      <c r="F115" s="8"/>
      <c r="G115" s="8">
        <v>1988782</v>
      </c>
      <c r="H115" s="8"/>
      <c r="I115" s="8">
        <v>0</v>
      </c>
      <c r="J115" s="8"/>
      <c r="K115" s="8">
        <v>640</v>
      </c>
      <c r="L115" s="8"/>
      <c r="M115" s="8">
        <v>287738</v>
      </c>
      <c r="N115" s="8"/>
      <c r="O115" s="8">
        <v>0</v>
      </c>
      <c r="P115" s="8"/>
      <c r="Q115" s="8">
        <f>122330+14198</f>
        <v>136528</v>
      </c>
      <c r="R115" s="8"/>
      <c r="S115" s="7">
        <f t="shared" si="6"/>
        <v>85631</v>
      </c>
      <c r="T115" s="8"/>
      <c r="U115" s="8">
        <v>2686826</v>
      </c>
      <c r="V115" s="6"/>
      <c r="W115" s="8">
        <v>0</v>
      </c>
    </row>
    <row r="116" spans="1:23" s="12" customFormat="1" ht="12.75" customHeight="1" x14ac:dyDescent="0.2">
      <c r="A116" s="7" t="s">
        <v>128</v>
      </c>
      <c r="C116" s="7" t="s">
        <v>64</v>
      </c>
      <c r="D116" s="6"/>
      <c r="E116" s="8">
        <v>1069823</v>
      </c>
      <c r="F116" s="8"/>
      <c r="G116" s="8">
        <v>5002765</v>
      </c>
      <c r="H116" s="8"/>
      <c r="I116" s="8">
        <v>0</v>
      </c>
      <c r="J116" s="8"/>
      <c r="K116" s="8">
        <v>1487367</v>
      </c>
      <c r="L116" s="8"/>
      <c r="M116" s="8">
        <v>1077724</v>
      </c>
      <c r="N116" s="8"/>
      <c r="O116" s="8">
        <v>0</v>
      </c>
      <c r="P116" s="8"/>
      <c r="Q116" s="8">
        <v>526644</v>
      </c>
      <c r="R116" s="8"/>
      <c r="S116" s="7">
        <f t="shared" si="6"/>
        <v>754100</v>
      </c>
      <c r="T116" s="8"/>
      <c r="U116" s="8">
        <v>9918423</v>
      </c>
      <c r="V116" s="6"/>
      <c r="W116" s="8">
        <v>0</v>
      </c>
    </row>
    <row r="117" spans="1:23" s="9" customFormat="1" ht="12.75" customHeight="1" x14ac:dyDescent="0.2">
      <c r="A117" s="7" t="s">
        <v>129</v>
      </c>
      <c r="B117" s="12"/>
      <c r="C117" s="7" t="s">
        <v>11</v>
      </c>
      <c r="D117" s="6"/>
      <c r="E117" s="8">
        <v>2276483</v>
      </c>
      <c r="F117" s="8"/>
      <c r="G117" s="8">
        <v>13273400</v>
      </c>
      <c r="H117" s="8"/>
      <c r="I117" s="8">
        <v>0</v>
      </c>
      <c r="J117" s="8"/>
      <c r="K117" s="8">
        <v>468588</v>
      </c>
      <c r="L117" s="8"/>
      <c r="M117" s="8">
        <v>4200159</v>
      </c>
      <c r="N117" s="8"/>
      <c r="O117" s="8">
        <v>55751</v>
      </c>
      <c r="P117" s="8"/>
      <c r="Q117" s="8">
        <v>55333</v>
      </c>
      <c r="R117" s="8"/>
      <c r="S117" s="7">
        <f t="shared" si="6"/>
        <v>344292</v>
      </c>
      <c r="T117" s="8"/>
      <c r="U117" s="8">
        <v>20674006</v>
      </c>
      <c r="V117" s="6"/>
      <c r="W117" s="8">
        <v>12927</v>
      </c>
    </row>
    <row r="118" spans="1:23" s="9" customFormat="1" ht="12.75" customHeight="1" x14ac:dyDescent="0.2">
      <c r="A118" s="7" t="s">
        <v>36</v>
      </c>
      <c r="B118" s="12"/>
      <c r="C118" s="7" t="s">
        <v>130</v>
      </c>
      <c r="D118" s="6"/>
      <c r="E118" s="8">
        <v>215381</v>
      </c>
      <c r="F118" s="8"/>
      <c r="G118" s="8">
        <v>1796561</v>
      </c>
      <c r="H118" s="8"/>
      <c r="I118" s="8">
        <v>0</v>
      </c>
      <c r="J118" s="8"/>
      <c r="K118" s="8">
        <v>642741</v>
      </c>
      <c r="L118" s="8"/>
      <c r="M118" s="8">
        <v>1245828</v>
      </c>
      <c r="N118" s="8"/>
      <c r="O118" s="8">
        <v>0</v>
      </c>
      <c r="P118" s="8"/>
      <c r="Q118" s="8">
        <f>113749+290960</f>
        <v>404709</v>
      </c>
      <c r="R118" s="8"/>
      <c r="S118" s="7">
        <f t="shared" si="6"/>
        <v>96493</v>
      </c>
      <c r="T118" s="8"/>
      <c r="U118" s="8">
        <v>4401713</v>
      </c>
      <c r="V118" s="6"/>
      <c r="W118" s="8">
        <v>0</v>
      </c>
    </row>
    <row r="119" spans="1:23" s="12" customFormat="1" ht="12.75" customHeight="1" x14ac:dyDescent="0.2">
      <c r="A119" s="7" t="s">
        <v>131</v>
      </c>
      <c r="C119" s="7" t="s">
        <v>25</v>
      </c>
      <c r="D119" s="6"/>
      <c r="E119" s="8">
        <v>850863</v>
      </c>
      <c r="F119" s="8"/>
      <c r="G119" s="8">
        <v>24700011</v>
      </c>
      <c r="H119" s="8"/>
      <c r="I119" s="8">
        <f>173733+1188902+11078</f>
        <v>1373713</v>
      </c>
      <c r="J119" s="8"/>
      <c r="K119" s="8">
        <v>287468</v>
      </c>
      <c r="L119" s="8"/>
      <c r="M119" s="8">
        <v>307182</v>
      </c>
      <c r="N119" s="8"/>
      <c r="O119" s="8">
        <v>0</v>
      </c>
      <c r="P119" s="8"/>
      <c r="Q119" s="8">
        <f>356539+165080</f>
        <v>521619</v>
      </c>
      <c r="R119" s="8"/>
      <c r="S119" s="7">
        <f t="shared" si="6"/>
        <v>609223</v>
      </c>
      <c r="T119" s="8"/>
      <c r="U119" s="8">
        <v>28650079</v>
      </c>
      <c r="V119" s="6"/>
      <c r="W119" s="8">
        <v>0</v>
      </c>
    </row>
    <row r="120" spans="1:23" s="12" customFormat="1" ht="12.75" hidden="1" customHeight="1" x14ac:dyDescent="0.2">
      <c r="A120" s="7" t="s">
        <v>476</v>
      </c>
      <c r="C120" s="7" t="s">
        <v>43</v>
      </c>
      <c r="D120" s="6"/>
      <c r="E120" s="8">
        <v>813785</v>
      </c>
      <c r="F120" s="8"/>
      <c r="G120" s="8">
        <v>5685073</v>
      </c>
      <c r="H120" s="8"/>
      <c r="I120" s="8">
        <v>0</v>
      </c>
      <c r="J120" s="8"/>
      <c r="K120" s="8">
        <v>461661</v>
      </c>
      <c r="L120" s="8"/>
      <c r="M120" s="8">
        <v>5829331</v>
      </c>
      <c r="N120" s="8"/>
      <c r="O120" s="8">
        <v>0</v>
      </c>
      <c r="P120" s="8"/>
      <c r="Q120" s="8">
        <f>400+31263</f>
        <v>31663</v>
      </c>
      <c r="R120" s="8"/>
      <c r="S120" s="7">
        <f t="shared" si="6"/>
        <v>193785</v>
      </c>
      <c r="T120" s="8"/>
      <c r="U120" s="8">
        <v>13015298</v>
      </c>
      <c r="V120" s="6"/>
      <c r="W120" s="8">
        <v>0</v>
      </c>
    </row>
    <row r="121" spans="1:23" s="12" customFormat="1" ht="12.75" customHeight="1" x14ac:dyDescent="0.2">
      <c r="A121" s="6" t="s">
        <v>132</v>
      </c>
      <c r="B121" s="18"/>
      <c r="C121" s="6" t="s">
        <v>133</v>
      </c>
      <c r="D121" s="6"/>
      <c r="E121" s="8">
        <v>2566909</v>
      </c>
      <c r="F121" s="8"/>
      <c r="G121" s="8">
        <v>0</v>
      </c>
      <c r="H121" s="8"/>
      <c r="I121" s="8">
        <v>0</v>
      </c>
      <c r="J121" s="8"/>
      <c r="K121" s="8">
        <v>1537986</v>
      </c>
      <c r="L121" s="8"/>
      <c r="M121" s="8">
        <v>546006</v>
      </c>
      <c r="N121" s="8"/>
      <c r="O121" s="8">
        <v>3345</v>
      </c>
      <c r="P121" s="8"/>
      <c r="Q121" s="8">
        <f>103648+302947</f>
        <v>406595</v>
      </c>
      <c r="R121" s="8"/>
      <c r="S121" s="7">
        <f t="shared" si="6"/>
        <v>213766</v>
      </c>
      <c r="T121" s="8"/>
      <c r="U121" s="8">
        <v>5274607</v>
      </c>
      <c r="V121" s="6"/>
      <c r="W121" s="8">
        <f>1000+38204</f>
        <v>39204</v>
      </c>
    </row>
    <row r="122" spans="1:23" s="12" customFormat="1" ht="12.75" customHeight="1" x14ac:dyDescent="0.2">
      <c r="A122" s="7" t="s">
        <v>134</v>
      </c>
      <c r="C122" s="7" t="s">
        <v>134</v>
      </c>
      <c r="D122" s="6"/>
      <c r="E122" s="8">
        <v>1063286</v>
      </c>
      <c r="F122" s="8"/>
      <c r="G122" s="8">
        <v>0</v>
      </c>
      <c r="H122" s="8"/>
      <c r="I122" s="8">
        <v>0</v>
      </c>
      <c r="J122" s="8"/>
      <c r="K122" s="8">
        <v>1878383</v>
      </c>
      <c r="L122" s="8"/>
      <c r="M122" s="8">
        <v>233857</v>
      </c>
      <c r="N122" s="8"/>
      <c r="O122" s="8">
        <v>0</v>
      </c>
      <c r="P122" s="8"/>
      <c r="Q122" s="8">
        <f>46518+102399</f>
        <v>148917</v>
      </c>
      <c r="R122" s="8"/>
      <c r="S122" s="7">
        <f t="shared" si="6"/>
        <v>140882</v>
      </c>
      <c r="T122" s="8"/>
      <c r="U122" s="8">
        <v>3465325</v>
      </c>
      <c r="V122" s="6"/>
      <c r="W122" s="8">
        <v>0</v>
      </c>
    </row>
    <row r="123" spans="1:23" s="12" customFormat="1" ht="12.75" customHeight="1" x14ac:dyDescent="0.2">
      <c r="A123" s="7" t="s">
        <v>135</v>
      </c>
      <c r="C123" s="7" t="s">
        <v>20</v>
      </c>
      <c r="D123" s="6"/>
      <c r="E123" s="8">
        <v>1362085</v>
      </c>
      <c r="F123" s="8"/>
      <c r="G123" s="8">
        <v>2266114</v>
      </c>
      <c r="H123" s="8"/>
      <c r="I123" s="8">
        <v>259713</v>
      </c>
      <c r="J123" s="8"/>
      <c r="K123" s="8">
        <v>1292896</v>
      </c>
      <c r="L123" s="8"/>
      <c r="M123" s="8">
        <v>1882349</v>
      </c>
      <c r="N123" s="8"/>
      <c r="O123" s="8">
        <v>0</v>
      </c>
      <c r="P123" s="8"/>
      <c r="Q123" s="8">
        <f>228663+204924</f>
        <v>433587</v>
      </c>
      <c r="R123" s="8"/>
      <c r="S123" s="7">
        <f t="shared" si="6"/>
        <v>145200</v>
      </c>
      <c r="T123" s="8"/>
      <c r="U123" s="8">
        <v>7641944</v>
      </c>
      <c r="V123" s="6"/>
      <c r="W123" s="8">
        <f>6227+1070784</f>
        <v>1077011</v>
      </c>
    </row>
    <row r="124" spans="1:23" s="12" customFormat="1" ht="12.75" hidden="1" customHeight="1" x14ac:dyDescent="0.2">
      <c r="A124" s="7" t="s">
        <v>136</v>
      </c>
      <c r="C124" s="7" t="s">
        <v>137</v>
      </c>
      <c r="D124" s="6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7">
        <f t="shared" si="6"/>
        <v>0</v>
      </c>
      <c r="T124" s="8"/>
      <c r="U124" s="8"/>
      <c r="V124" s="6"/>
      <c r="W124" s="8">
        <v>0</v>
      </c>
    </row>
    <row r="125" spans="1:23" s="12" customFormat="1" ht="12.75" customHeight="1" x14ac:dyDescent="0.2">
      <c r="A125" s="7" t="s">
        <v>138</v>
      </c>
      <c r="C125" s="7" t="s">
        <v>64</v>
      </c>
      <c r="D125" s="6"/>
      <c r="E125" s="8">
        <v>6467040</v>
      </c>
      <c r="F125" s="8"/>
      <c r="G125" s="8">
        <v>39891659</v>
      </c>
      <c r="H125" s="8"/>
      <c r="I125" s="8">
        <v>0</v>
      </c>
      <c r="J125" s="8"/>
      <c r="K125" s="8">
        <v>134337</v>
      </c>
      <c r="L125" s="8"/>
      <c r="M125" s="8">
        <v>1155986</v>
      </c>
      <c r="N125" s="8"/>
      <c r="O125" s="8">
        <v>401981</v>
      </c>
      <c r="P125" s="8"/>
      <c r="Q125" s="8">
        <f>511884+1362895</f>
        <v>1874779</v>
      </c>
      <c r="R125" s="8"/>
      <c r="S125" s="7">
        <f t="shared" si="6"/>
        <v>2425178</v>
      </c>
      <c r="T125" s="8"/>
      <c r="U125" s="8">
        <v>52350960</v>
      </c>
      <c r="V125" s="6"/>
      <c r="W125" s="8">
        <v>18747</v>
      </c>
    </row>
    <row r="126" spans="1:23" s="12" customFormat="1" ht="12.75" customHeight="1" x14ac:dyDescent="0.2">
      <c r="A126" s="7" t="s">
        <v>472</v>
      </c>
      <c r="C126" s="7" t="s">
        <v>90</v>
      </c>
      <c r="D126" s="6"/>
      <c r="E126" s="8">
        <v>593396</v>
      </c>
      <c r="F126" s="8"/>
      <c r="G126" s="8">
        <v>3180550</v>
      </c>
      <c r="H126" s="8"/>
      <c r="I126" s="8">
        <v>0</v>
      </c>
      <c r="J126" s="8"/>
      <c r="K126" s="8">
        <v>145409</v>
      </c>
      <c r="L126" s="8"/>
      <c r="M126" s="8">
        <v>432936</v>
      </c>
      <c r="N126" s="8"/>
      <c r="O126" s="8">
        <v>0</v>
      </c>
      <c r="P126" s="8"/>
      <c r="Q126" s="8">
        <f>18925+18158</f>
        <v>37083</v>
      </c>
      <c r="R126" s="8"/>
      <c r="S126" s="7">
        <f t="shared" si="6"/>
        <v>287596</v>
      </c>
      <c r="T126" s="8"/>
      <c r="U126" s="8">
        <v>4676970</v>
      </c>
      <c r="V126" s="6"/>
      <c r="W126" s="8">
        <f>6988+135000+155000+30000</f>
        <v>326988</v>
      </c>
    </row>
    <row r="127" spans="1:23" s="9" customFormat="1" ht="12.75" customHeight="1" x14ac:dyDescent="0.2">
      <c r="A127" s="7" t="s">
        <v>139</v>
      </c>
      <c r="B127" s="12"/>
      <c r="C127" s="7" t="s">
        <v>25</v>
      </c>
      <c r="D127" s="6"/>
      <c r="E127" s="8">
        <v>6746147</v>
      </c>
      <c r="F127" s="8"/>
      <c r="G127" s="8">
        <v>19542235</v>
      </c>
      <c r="H127" s="8"/>
      <c r="I127" s="8">
        <v>0</v>
      </c>
      <c r="J127" s="8"/>
      <c r="K127" s="8">
        <v>936905</v>
      </c>
      <c r="L127" s="8"/>
      <c r="M127" s="8">
        <v>4595294</v>
      </c>
      <c r="N127" s="8"/>
      <c r="O127" s="8">
        <v>0</v>
      </c>
      <c r="P127" s="8"/>
      <c r="Q127" s="8">
        <f>2351660+1565999</f>
        <v>3917659</v>
      </c>
      <c r="R127" s="8"/>
      <c r="S127" s="7">
        <f t="shared" si="6"/>
        <v>145356</v>
      </c>
      <c r="T127" s="8"/>
      <c r="U127" s="8">
        <v>35883596</v>
      </c>
      <c r="V127" s="6"/>
      <c r="W127" s="8">
        <f>550000+1377971</f>
        <v>1927971</v>
      </c>
    </row>
    <row r="128" spans="1:23" s="12" customFormat="1" ht="12.75" customHeight="1" x14ac:dyDescent="0.2">
      <c r="A128" s="7" t="s">
        <v>140</v>
      </c>
      <c r="C128" s="7" t="s">
        <v>100</v>
      </c>
      <c r="D128" s="6"/>
      <c r="E128" s="8">
        <v>17555943</v>
      </c>
      <c r="F128" s="8"/>
      <c r="G128" s="8">
        <v>0</v>
      </c>
      <c r="H128" s="8"/>
      <c r="I128" s="8">
        <v>0</v>
      </c>
      <c r="J128" s="8"/>
      <c r="K128" s="8">
        <v>2895955</v>
      </c>
      <c r="L128" s="8"/>
      <c r="M128" s="8">
        <v>2020903</v>
      </c>
      <c r="N128" s="8"/>
      <c r="O128" s="8">
        <v>0</v>
      </c>
      <c r="P128" s="8"/>
      <c r="Q128" s="8">
        <f>25770+812108</f>
        <v>837878</v>
      </c>
      <c r="R128" s="8"/>
      <c r="S128" s="7">
        <f t="shared" si="6"/>
        <v>473617</v>
      </c>
      <c r="T128" s="8"/>
      <c r="U128" s="8">
        <v>23784296</v>
      </c>
      <c r="V128" s="6"/>
      <c r="W128" s="8">
        <f>227000+28750+9806</f>
        <v>265556</v>
      </c>
    </row>
    <row r="129" spans="1:26" s="12" customFormat="1" ht="12.75" customHeight="1" x14ac:dyDescent="0.2">
      <c r="A129" s="7" t="s">
        <v>141</v>
      </c>
      <c r="C129" s="7" t="s">
        <v>109</v>
      </c>
      <c r="D129" s="6"/>
      <c r="E129" s="8">
        <v>1050056</v>
      </c>
      <c r="F129" s="8"/>
      <c r="G129" s="8">
        <v>3511591</v>
      </c>
      <c r="H129" s="8"/>
      <c r="I129" s="8">
        <v>1366321</v>
      </c>
      <c r="J129" s="8"/>
      <c r="K129" s="8">
        <v>2259611</v>
      </c>
      <c r="L129" s="8"/>
      <c r="M129" s="8">
        <v>660397</v>
      </c>
      <c r="N129" s="8"/>
      <c r="O129" s="8">
        <v>0</v>
      </c>
      <c r="P129" s="8"/>
      <c r="Q129" s="8">
        <v>588230</v>
      </c>
      <c r="R129" s="8"/>
      <c r="S129" s="7">
        <f t="shared" si="6"/>
        <v>345107</v>
      </c>
      <c r="T129" s="8"/>
      <c r="U129" s="8">
        <v>9781313</v>
      </c>
      <c r="V129" s="6"/>
      <c r="W129" s="8">
        <v>9597</v>
      </c>
    </row>
    <row r="130" spans="1:26" s="12" customFormat="1" ht="12.75" customHeight="1" x14ac:dyDescent="0.2">
      <c r="A130" s="7" t="s">
        <v>142</v>
      </c>
      <c r="C130" s="7" t="s">
        <v>86</v>
      </c>
      <c r="D130" s="6"/>
      <c r="E130" s="8">
        <v>1110806</v>
      </c>
      <c r="F130" s="8"/>
      <c r="G130" s="8">
        <v>15714825</v>
      </c>
      <c r="H130" s="8"/>
      <c r="I130" s="8">
        <v>0</v>
      </c>
      <c r="J130" s="8"/>
      <c r="K130" s="8">
        <v>6221733</v>
      </c>
      <c r="L130" s="8"/>
      <c r="M130" s="8">
        <v>1774684</v>
      </c>
      <c r="N130" s="8"/>
      <c r="O130" s="8">
        <v>0</v>
      </c>
      <c r="P130" s="8"/>
      <c r="Q130" s="8">
        <f>831922+1217493</f>
        <v>2049415</v>
      </c>
      <c r="R130" s="8"/>
      <c r="S130" s="7">
        <f t="shared" si="6"/>
        <v>297898</v>
      </c>
      <c r="T130" s="8"/>
      <c r="U130" s="8">
        <v>27169361</v>
      </c>
      <c r="V130" s="6"/>
      <c r="W130" s="8">
        <v>1357561</v>
      </c>
    </row>
    <row r="131" spans="1:26" s="12" customFormat="1" ht="12.75" customHeight="1" x14ac:dyDescent="0.2">
      <c r="A131" s="7" t="s">
        <v>34</v>
      </c>
      <c r="C131" s="7" t="s">
        <v>143</v>
      </c>
      <c r="D131" s="6"/>
      <c r="E131" s="8">
        <v>206892</v>
      </c>
      <c r="F131" s="8"/>
      <c r="G131" s="8">
        <v>2333932</v>
      </c>
      <c r="H131" s="8"/>
      <c r="I131" s="8">
        <v>0</v>
      </c>
      <c r="J131" s="8"/>
      <c r="K131" s="8">
        <v>190556</v>
      </c>
      <c r="L131" s="8"/>
      <c r="M131" s="8">
        <v>440487</v>
      </c>
      <c r="N131" s="8"/>
      <c r="O131" s="8">
        <v>0</v>
      </c>
      <c r="P131" s="8"/>
      <c r="Q131" s="8">
        <v>42815</v>
      </c>
      <c r="R131" s="8"/>
      <c r="S131" s="7">
        <f t="shared" si="6"/>
        <v>10196</v>
      </c>
      <c r="T131" s="8"/>
      <c r="U131" s="8">
        <v>3224878</v>
      </c>
      <c r="V131" s="6"/>
      <c r="W131" s="8">
        <v>0</v>
      </c>
    </row>
    <row r="132" spans="1:26" s="9" customFormat="1" ht="12.75" customHeight="1" x14ac:dyDescent="0.2">
      <c r="A132" s="7" t="s">
        <v>144</v>
      </c>
      <c r="B132" s="12"/>
      <c r="C132" s="7" t="s">
        <v>145</v>
      </c>
      <c r="D132" s="6"/>
      <c r="E132" s="8">
        <v>3853551</v>
      </c>
      <c r="F132" s="8"/>
      <c r="G132" s="8">
        <v>0</v>
      </c>
      <c r="H132" s="8"/>
      <c r="I132" s="8">
        <v>0</v>
      </c>
      <c r="J132" s="8"/>
      <c r="K132" s="8">
        <v>305023</v>
      </c>
      <c r="L132" s="8"/>
      <c r="M132" s="8">
        <v>214369</v>
      </c>
      <c r="N132" s="8"/>
      <c r="O132" s="8">
        <v>9816</v>
      </c>
      <c r="P132" s="8"/>
      <c r="Q132" s="8">
        <v>217442</v>
      </c>
      <c r="R132" s="8"/>
      <c r="S132" s="7">
        <f t="shared" si="6"/>
        <v>46355</v>
      </c>
      <c r="T132" s="8"/>
      <c r="U132" s="8">
        <v>4646556</v>
      </c>
      <c r="V132" s="6"/>
      <c r="W132" s="8">
        <v>20</v>
      </c>
    </row>
    <row r="133" spans="1:26" s="9" customFormat="1" ht="12.75" customHeight="1" x14ac:dyDescent="0.2">
      <c r="A133" s="7" t="s">
        <v>15</v>
      </c>
      <c r="B133" s="12"/>
      <c r="C133" s="7" t="s">
        <v>15</v>
      </c>
      <c r="D133" s="96"/>
      <c r="E133" s="8">
        <v>2101944</v>
      </c>
      <c r="F133" s="8"/>
      <c r="G133" s="8">
        <v>16064347</v>
      </c>
      <c r="H133" s="8"/>
      <c r="I133" s="8">
        <v>0</v>
      </c>
      <c r="J133" s="8"/>
      <c r="K133" s="8">
        <v>909250</v>
      </c>
      <c r="L133" s="8"/>
      <c r="M133" s="8">
        <v>5818918</v>
      </c>
      <c r="N133" s="8"/>
      <c r="O133" s="8">
        <v>0</v>
      </c>
      <c r="P133" s="8"/>
      <c r="Q133" s="8">
        <f>806094+1232261</f>
        <v>2038355</v>
      </c>
      <c r="R133" s="8"/>
      <c r="S133" s="7">
        <f t="shared" ref="S133:S166" si="7">U133-E133-G133-K133-M133-O133-Q133-I133</f>
        <v>1105903</v>
      </c>
      <c r="T133" s="8"/>
      <c r="U133" s="8">
        <v>28038717</v>
      </c>
      <c r="V133" s="6"/>
      <c r="W133" s="7">
        <f>959466+550700</f>
        <v>1510166</v>
      </c>
    </row>
    <row r="134" spans="1:26" s="12" customFormat="1" ht="12.75" customHeight="1" x14ac:dyDescent="0.2">
      <c r="A134" s="7" t="s">
        <v>146</v>
      </c>
      <c r="C134" s="7" t="s">
        <v>13</v>
      </c>
      <c r="D134" s="6"/>
      <c r="E134" s="8">
        <v>281171</v>
      </c>
      <c r="F134" s="8"/>
      <c r="G134" s="8">
        <v>2674757</v>
      </c>
      <c r="H134" s="8"/>
      <c r="I134" s="8">
        <v>0</v>
      </c>
      <c r="J134" s="8"/>
      <c r="K134" s="8">
        <v>227524</v>
      </c>
      <c r="L134" s="8"/>
      <c r="M134" s="8">
        <v>456896</v>
      </c>
      <c r="N134" s="8"/>
      <c r="O134" s="8">
        <v>0</v>
      </c>
      <c r="P134" s="8"/>
      <c r="Q134" s="8">
        <f>149538+13029</f>
        <v>162567</v>
      </c>
      <c r="R134" s="8"/>
      <c r="S134" s="7">
        <f t="shared" si="7"/>
        <v>49234</v>
      </c>
      <c r="T134" s="8"/>
      <c r="U134" s="8">
        <v>3852149</v>
      </c>
      <c r="V134" s="6"/>
      <c r="W134" s="8">
        <v>0</v>
      </c>
    </row>
    <row r="135" spans="1:26" s="12" customFormat="1" ht="12.75" customHeight="1" x14ac:dyDescent="0.2">
      <c r="A135" s="7" t="s">
        <v>147</v>
      </c>
      <c r="C135" s="7" t="s">
        <v>43</v>
      </c>
      <c r="D135" s="6"/>
      <c r="E135" s="8">
        <v>782061</v>
      </c>
      <c r="F135" s="8"/>
      <c r="G135" s="8">
        <v>3496995</v>
      </c>
      <c r="H135" s="8"/>
      <c r="I135" s="8">
        <v>0</v>
      </c>
      <c r="J135" s="8"/>
      <c r="K135" s="8">
        <v>15933</v>
      </c>
      <c r="L135" s="8"/>
      <c r="M135" s="8">
        <v>643271</v>
      </c>
      <c r="N135" s="8"/>
      <c r="O135" s="8">
        <v>16407</v>
      </c>
      <c r="P135" s="8"/>
      <c r="Q135" s="8">
        <f>287483+127220</f>
        <v>414703</v>
      </c>
      <c r="R135" s="8"/>
      <c r="S135" s="7">
        <f t="shared" si="7"/>
        <v>134394</v>
      </c>
      <c r="T135" s="8"/>
      <c r="U135" s="8">
        <v>5503764</v>
      </c>
      <c r="V135" s="6"/>
      <c r="W135" s="8">
        <v>9505</v>
      </c>
    </row>
    <row r="136" spans="1:26" s="12" customFormat="1" ht="12.75" customHeight="1" x14ac:dyDescent="0.2">
      <c r="A136" s="7" t="s">
        <v>148</v>
      </c>
      <c r="C136" s="7" t="s">
        <v>25</v>
      </c>
      <c r="D136" s="6"/>
      <c r="E136" s="8">
        <v>2788435</v>
      </c>
      <c r="F136" s="8"/>
      <c r="G136" s="8">
        <v>6828252</v>
      </c>
      <c r="H136" s="8"/>
      <c r="I136" s="8">
        <v>0</v>
      </c>
      <c r="J136" s="8"/>
      <c r="K136" s="8">
        <v>611088</v>
      </c>
      <c r="L136" s="8"/>
      <c r="M136" s="8">
        <v>3455857</v>
      </c>
      <c r="N136" s="8"/>
      <c r="O136" s="8">
        <v>0</v>
      </c>
      <c r="P136" s="8"/>
      <c r="Q136" s="8">
        <f>46877+1395985</f>
        <v>1442862</v>
      </c>
      <c r="R136" s="8"/>
      <c r="S136" s="7">
        <f t="shared" si="7"/>
        <v>238568</v>
      </c>
      <c r="T136" s="8"/>
      <c r="U136" s="8">
        <v>15365062</v>
      </c>
      <c r="V136" s="6"/>
      <c r="W136" s="8">
        <v>0</v>
      </c>
    </row>
    <row r="137" spans="1:26" s="12" customFormat="1" ht="12.75" customHeight="1" x14ac:dyDescent="0.2">
      <c r="A137" s="7" t="s">
        <v>149</v>
      </c>
      <c r="C137" s="7" t="s">
        <v>11</v>
      </c>
      <c r="D137" s="6"/>
      <c r="E137" s="8">
        <v>1740737</v>
      </c>
      <c r="F137" s="8"/>
      <c r="G137" s="8">
        <v>7354783</v>
      </c>
      <c r="H137" s="8"/>
      <c r="I137" s="8">
        <v>0</v>
      </c>
      <c r="J137" s="8"/>
      <c r="K137" s="8">
        <v>712646</v>
      </c>
      <c r="L137" s="8"/>
      <c r="M137" s="8">
        <v>772516</v>
      </c>
      <c r="N137" s="8"/>
      <c r="O137" s="8">
        <v>0</v>
      </c>
      <c r="P137" s="8"/>
      <c r="Q137" s="8">
        <f>287932+587841</f>
        <v>875773</v>
      </c>
      <c r="R137" s="8"/>
      <c r="S137" s="7">
        <f t="shared" si="7"/>
        <v>91335</v>
      </c>
      <c r="T137" s="8"/>
      <c r="U137" s="8">
        <v>11547790</v>
      </c>
      <c r="V137" s="6"/>
      <c r="W137" s="8">
        <v>0</v>
      </c>
    </row>
    <row r="138" spans="1:26" s="12" customFormat="1" ht="12.75" customHeight="1" x14ac:dyDescent="0.2">
      <c r="A138" s="7" t="s">
        <v>475</v>
      </c>
      <c r="C138" s="7" t="s">
        <v>43</v>
      </c>
      <c r="D138" s="6"/>
      <c r="E138" s="8">
        <v>4226885</v>
      </c>
      <c r="F138" s="8"/>
      <c r="G138" s="8">
        <v>0</v>
      </c>
      <c r="H138" s="8"/>
      <c r="I138" s="8">
        <v>0</v>
      </c>
      <c r="J138" s="8"/>
      <c r="K138" s="8">
        <v>122512</v>
      </c>
      <c r="L138" s="8"/>
      <c r="M138" s="8">
        <v>965960</v>
      </c>
      <c r="N138" s="8"/>
      <c r="O138" s="8">
        <v>0</v>
      </c>
      <c r="P138" s="8"/>
      <c r="Q138" s="8">
        <f>89063+99872</f>
        <v>188935</v>
      </c>
      <c r="R138" s="8"/>
      <c r="S138" s="7">
        <f t="shared" si="7"/>
        <v>300690</v>
      </c>
      <c r="T138" s="8"/>
      <c r="U138" s="8">
        <v>5804982</v>
      </c>
      <c r="V138" s="6"/>
      <c r="W138" s="8">
        <v>0</v>
      </c>
      <c r="X138" s="7"/>
    </row>
    <row r="139" spans="1:26" s="12" customFormat="1" ht="12.75" customHeight="1" x14ac:dyDescent="0.2">
      <c r="A139" s="7" t="s">
        <v>150</v>
      </c>
      <c r="C139" s="7" t="s">
        <v>151</v>
      </c>
      <c r="D139" s="6"/>
      <c r="E139" s="8">
        <v>1466640</v>
      </c>
      <c r="F139" s="8"/>
      <c r="G139" s="8">
        <v>13247026</v>
      </c>
      <c r="H139" s="8"/>
      <c r="I139" s="8">
        <v>0</v>
      </c>
      <c r="J139" s="8"/>
      <c r="K139" s="8">
        <v>2268007</v>
      </c>
      <c r="L139" s="8"/>
      <c r="M139" s="8">
        <v>3374427</v>
      </c>
      <c r="N139" s="8"/>
      <c r="O139" s="8">
        <v>22569</v>
      </c>
      <c r="P139" s="8"/>
      <c r="Q139" s="8">
        <f>912450+666154</f>
        <v>1578604</v>
      </c>
      <c r="R139" s="8"/>
      <c r="S139" s="7">
        <f t="shared" si="7"/>
        <v>317660</v>
      </c>
      <c r="T139" s="8"/>
      <c r="U139" s="8">
        <v>22274933</v>
      </c>
      <c r="V139" s="6"/>
      <c r="W139" s="8">
        <v>82557</v>
      </c>
    </row>
    <row r="140" spans="1:26" s="12" customFormat="1" ht="12" customHeight="1" x14ac:dyDescent="0.2">
      <c r="A140" s="9" t="s">
        <v>152</v>
      </c>
      <c r="B140" s="9"/>
      <c r="C140" s="9" t="s">
        <v>25</v>
      </c>
      <c r="D140" s="19"/>
      <c r="E140" s="8">
        <v>2427690</v>
      </c>
      <c r="F140" s="8"/>
      <c r="G140" s="8">
        <v>7293044</v>
      </c>
      <c r="H140" s="8"/>
      <c r="I140" s="8">
        <v>0</v>
      </c>
      <c r="J140" s="8"/>
      <c r="K140" s="8">
        <v>670621</v>
      </c>
      <c r="L140" s="8"/>
      <c r="M140" s="8">
        <v>1373945</v>
      </c>
      <c r="N140" s="8"/>
      <c r="O140" s="8">
        <v>293067</v>
      </c>
      <c r="P140" s="8"/>
      <c r="Q140" s="8">
        <v>1846991</v>
      </c>
      <c r="R140" s="8"/>
      <c r="S140" s="7">
        <f t="shared" si="7"/>
        <v>268086</v>
      </c>
      <c r="T140" s="8"/>
      <c r="U140" s="8">
        <v>14173444</v>
      </c>
      <c r="V140" s="6"/>
      <c r="W140" s="8">
        <f>26599+655044</f>
        <v>681643</v>
      </c>
    </row>
    <row r="141" spans="1:26" s="12" customFormat="1" ht="12.75" customHeight="1" x14ac:dyDescent="0.2">
      <c r="A141" s="7" t="s">
        <v>153</v>
      </c>
      <c r="C141" s="7" t="s">
        <v>38</v>
      </c>
      <c r="D141" s="6"/>
      <c r="E141" s="8">
        <v>499929</v>
      </c>
      <c r="F141" s="8"/>
      <c r="G141" s="8">
        <v>6192889</v>
      </c>
      <c r="H141" s="8"/>
      <c r="I141" s="8">
        <f>427948+134489+215018</f>
        <v>777455</v>
      </c>
      <c r="J141" s="8"/>
      <c r="K141" s="8">
        <v>1286277</v>
      </c>
      <c r="L141" s="8"/>
      <c r="M141" s="8">
        <v>800025</v>
      </c>
      <c r="N141" s="8"/>
      <c r="O141" s="8">
        <v>0</v>
      </c>
      <c r="P141" s="8"/>
      <c r="Q141" s="8">
        <v>549904</v>
      </c>
      <c r="R141" s="8"/>
      <c r="S141" s="7">
        <f t="shared" si="7"/>
        <v>155122</v>
      </c>
      <c r="T141" s="8"/>
      <c r="U141" s="8">
        <v>10261601</v>
      </c>
      <c r="V141" s="6"/>
      <c r="W141" s="8">
        <v>0</v>
      </c>
    </row>
    <row r="142" spans="1:26" s="12" customFormat="1" ht="12.75" customHeight="1" x14ac:dyDescent="0.2">
      <c r="A142" s="7" t="s">
        <v>154</v>
      </c>
      <c r="C142" s="7" t="s">
        <v>154</v>
      </c>
      <c r="D142" s="6"/>
      <c r="E142" s="8">
        <v>1025576</v>
      </c>
      <c r="F142" s="8"/>
      <c r="G142" s="8">
        <v>11957101</v>
      </c>
      <c r="H142" s="8"/>
      <c r="I142" s="8">
        <v>0</v>
      </c>
      <c r="J142" s="8"/>
      <c r="K142" s="8">
        <v>1128913</v>
      </c>
      <c r="L142" s="8"/>
      <c r="M142" s="8">
        <v>1417776</v>
      </c>
      <c r="N142" s="8"/>
      <c r="O142" s="8">
        <v>0</v>
      </c>
      <c r="P142" s="8"/>
      <c r="Q142" s="8">
        <f>349446+746304</f>
        <v>1095750</v>
      </c>
      <c r="R142" s="8"/>
      <c r="S142" s="7">
        <f t="shared" si="7"/>
        <v>259798</v>
      </c>
      <c r="T142" s="8"/>
      <c r="U142" s="8">
        <v>16884914</v>
      </c>
      <c r="V142" s="6"/>
      <c r="W142" s="8">
        <f>16050+119313</f>
        <v>135363</v>
      </c>
      <c r="X142" s="9"/>
      <c r="Y142" s="9"/>
      <c r="Z142" s="9"/>
    </row>
    <row r="143" spans="1:26" s="12" customFormat="1" ht="12.75" customHeight="1" x14ac:dyDescent="0.2">
      <c r="A143" s="7" t="s">
        <v>155</v>
      </c>
      <c r="C143" s="7" t="s">
        <v>31</v>
      </c>
      <c r="D143" s="6"/>
      <c r="E143" s="8">
        <v>153230</v>
      </c>
      <c r="F143" s="8"/>
      <c r="G143" s="8">
        <v>1123940</v>
      </c>
      <c r="H143" s="8"/>
      <c r="I143" s="8">
        <v>0</v>
      </c>
      <c r="J143" s="8"/>
      <c r="K143" s="8">
        <v>134325</v>
      </c>
      <c r="L143" s="8"/>
      <c r="M143" s="8">
        <v>289201</v>
      </c>
      <c r="N143" s="8"/>
      <c r="O143" s="8">
        <v>0</v>
      </c>
      <c r="P143" s="8"/>
      <c r="Q143" s="8">
        <f>69898+78369</f>
        <v>148267</v>
      </c>
      <c r="R143" s="8"/>
      <c r="S143" s="7">
        <f t="shared" si="7"/>
        <v>35151</v>
      </c>
      <c r="T143" s="8"/>
      <c r="U143" s="8">
        <v>1884114</v>
      </c>
      <c r="V143" s="6"/>
      <c r="W143" s="8">
        <v>729435</v>
      </c>
    </row>
    <row r="144" spans="1:26" s="12" customFormat="1" ht="12.75" customHeight="1" x14ac:dyDescent="0.2">
      <c r="A144" s="7" t="s">
        <v>156</v>
      </c>
      <c r="C144" s="7" t="s">
        <v>157</v>
      </c>
      <c r="D144" s="6"/>
      <c r="E144" s="8">
        <v>1357282</v>
      </c>
      <c r="F144" s="8"/>
      <c r="G144" s="8">
        <v>13156605</v>
      </c>
      <c r="H144" s="8"/>
      <c r="I144" s="8">
        <v>360564</v>
      </c>
      <c r="J144" s="8"/>
      <c r="K144" s="8">
        <v>1686215</v>
      </c>
      <c r="L144" s="8"/>
      <c r="M144" s="8">
        <v>585417</v>
      </c>
      <c r="N144" s="8"/>
      <c r="O144" s="8">
        <v>0</v>
      </c>
      <c r="P144" s="8"/>
      <c r="Q144" s="8">
        <f>138914+615691</f>
        <v>754605</v>
      </c>
      <c r="R144" s="8"/>
      <c r="S144" s="7">
        <f t="shared" si="7"/>
        <v>98847</v>
      </c>
      <c r="T144" s="8"/>
      <c r="U144" s="8">
        <v>17999535</v>
      </c>
      <c r="V144" s="6"/>
      <c r="W144" s="8">
        <v>92</v>
      </c>
    </row>
    <row r="145" spans="1:23" s="9" customFormat="1" ht="12.75" customHeight="1" x14ac:dyDescent="0.2">
      <c r="A145" s="9" t="s">
        <v>158</v>
      </c>
      <c r="C145" s="9" t="s">
        <v>109</v>
      </c>
      <c r="D145" s="19"/>
      <c r="E145" s="8">
        <v>23928796</v>
      </c>
      <c r="F145" s="8"/>
      <c r="G145" s="8">
        <v>0</v>
      </c>
      <c r="H145" s="8"/>
      <c r="I145" s="8">
        <v>0</v>
      </c>
      <c r="J145" s="8"/>
      <c r="K145" s="8">
        <v>1444410</v>
      </c>
      <c r="L145" s="8"/>
      <c r="M145" s="8">
        <v>1607414</v>
      </c>
      <c r="N145" s="8"/>
      <c r="O145" s="8">
        <v>0</v>
      </c>
      <c r="P145" s="8"/>
      <c r="Q145" s="8">
        <v>1568733</v>
      </c>
      <c r="R145" s="8"/>
      <c r="S145" s="7">
        <f t="shared" si="7"/>
        <v>1264556</v>
      </c>
      <c r="T145" s="8"/>
      <c r="U145" s="8">
        <v>29813909</v>
      </c>
      <c r="V145" s="6"/>
      <c r="W145" s="8">
        <v>0</v>
      </c>
    </row>
    <row r="146" spans="1:23" s="12" customFormat="1" ht="12.75" customHeight="1" x14ac:dyDescent="0.2">
      <c r="A146" s="7" t="s">
        <v>159</v>
      </c>
      <c r="C146" s="7" t="s">
        <v>13</v>
      </c>
      <c r="D146" s="6"/>
      <c r="E146" s="8">
        <v>1296397</v>
      </c>
      <c r="F146" s="8"/>
      <c r="G146" s="8">
        <v>12149306</v>
      </c>
      <c r="H146" s="8"/>
      <c r="I146" s="8">
        <v>0</v>
      </c>
      <c r="J146" s="8"/>
      <c r="K146" s="8">
        <v>1057915</v>
      </c>
      <c r="L146" s="8"/>
      <c r="M146" s="8">
        <v>1471257</v>
      </c>
      <c r="N146" s="8"/>
      <c r="O146" s="8">
        <v>0</v>
      </c>
      <c r="P146" s="8"/>
      <c r="Q146" s="8">
        <f>335151+1176865</f>
        <v>1512016</v>
      </c>
      <c r="R146" s="8"/>
      <c r="S146" s="7">
        <f t="shared" si="7"/>
        <v>272385</v>
      </c>
      <c r="T146" s="8"/>
      <c r="U146" s="8">
        <v>17759276</v>
      </c>
      <c r="V146" s="6"/>
      <c r="W146" s="8">
        <v>0</v>
      </c>
    </row>
    <row r="147" spans="1:23" s="12" customFormat="1" ht="12.75" customHeight="1" x14ac:dyDescent="0.2">
      <c r="A147" s="7" t="s">
        <v>160</v>
      </c>
      <c r="C147" s="7" t="s">
        <v>161</v>
      </c>
      <c r="D147" s="6"/>
      <c r="E147" s="8">
        <v>1355044</v>
      </c>
      <c r="F147" s="8"/>
      <c r="G147" s="8">
        <v>10044558</v>
      </c>
      <c r="H147" s="8"/>
      <c r="I147" s="8">
        <v>0</v>
      </c>
      <c r="J147" s="8"/>
      <c r="K147" s="8">
        <v>1341075</v>
      </c>
      <c r="L147" s="8"/>
      <c r="M147" s="8">
        <v>2236211</v>
      </c>
      <c r="N147" s="8"/>
      <c r="O147" s="8">
        <v>2249</v>
      </c>
      <c r="P147" s="8"/>
      <c r="Q147" s="8">
        <f>305770+773152</f>
        <v>1078922</v>
      </c>
      <c r="R147" s="8"/>
      <c r="S147" s="7">
        <f t="shared" si="7"/>
        <v>776751</v>
      </c>
      <c r="T147" s="8"/>
      <c r="U147" s="8">
        <v>16834810</v>
      </c>
      <c r="V147" s="6"/>
      <c r="W147" s="8">
        <v>6731</v>
      </c>
    </row>
    <row r="148" spans="1:23" s="12" customFormat="1" ht="12.75" customHeight="1" x14ac:dyDescent="0.2">
      <c r="A148" s="7" t="s">
        <v>162</v>
      </c>
      <c r="C148" s="7" t="s">
        <v>25</v>
      </c>
      <c r="D148" s="6"/>
      <c r="E148" s="8">
        <v>3904532</v>
      </c>
      <c r="F148" s="8"/>
      <c r="G148" s="8">
        <v>13000364</v>
      </c>
      <c r="H148" s="8"/>
      <c r="I148" s="8">
        <v>159137</v>
      </c>
      <c r="J148" s="8"/>
      <c r="K148" s="8">
        <v>1055864</v>
      </c>
      <c r="L148" s="8"/>
      <c r="M148" s="8">
        <v>1487986</v>
      </c>
      <c r="N148" s="8"/>
      <c r="O148" s="8">
        <v>1397</v>
      </c>
      <c r="P148" s="8"/>
      <c r="Q148" s="8">
        <v>646959</v>
      </c>
      <c r="R148" s="8"/>
      <c r="S148" s="7">
        <f t="shared" si="7"/>
        <v>226433</v>
      </c>
      <c r="T148" s="8"/>
      <c r="U148" s="8">
        <v>20482672</v>
      </c>
      <c r="V148" s="6"/>
      <c r="W148" s="8">
        <v>400</v>
      </c>
    </row>
    <row r="149" spans="1:23" s="12" customFormat="1" ht="12.75" customHeight="1" x14ac:dyDescent="0.2">
      <c r="A149" s="9" t="s">
        <v>51</v>
      </c>
      <c r="B149" s="9"/>
      <c r="C149" s="9" t="s">
        <v>51</v>
      </c>
      <c r="D149" s="19"/>
      <c r="E149" s="8">
        <v>1386778</v>
      </c>
      <c r="F149" s="8"/>
      <c r="G149" s="8">
        <v>2565577</v>
      </c>
      <c r="H149" s="8"/>
      <c r="I149" s="8">
        <f>811+3193</f>
        <v>4004</v>
      </c>
      <c r="J149" s="8"/>
      <c r="K149" s="8">
        <v>510931</v>
      </c>
      <c r="L149" s="8"/>
      <c r="M149" s="8">
        <v>1426444</v>
      </c>
      <c r="N149" s="8"/>
      <c r="O149" s="8">
        <v>0</v>
      </c>
      <c r="P149" s="8"/>
      <c r="Q149" s="8">
        <f>531539+925254</f>
        <v>1456793</v>
      </c>
      <c r="R149" s="8"/>
      <c r="S149" s="7">
        <f t="shared" si="7"/>
        <v>78013</v>
      </c>
      <c r="T149" s="8"/>
      <c r="U149" s="8">
        <v>7428540</v>
      </c>
      <c r="V149" s="6"/>
      <c r="W149" s="8">
        <v>0</v>
      </c>
    </row>
    <row r="150" spans="1:23" s="12" customFormat="1" ht="12.75" customHeight="1" x14ac:dyDescent="0.2">
      <c r="A150" s="7" t="s">
        <v>163</v>
      </c>
      <c r="C150" s="7" t="s">
        <v>90</v>
      </c>
      <c r="D150" s="6"/>
      <c r="E150" s="8">
        <v>1468847</v>
      </c>
      <c r="F150" s="8"/>
      <c r="G150" s="8">
        <v>36506741</v>
      </c>
      <c r="H150" s="8"/>
      <c r="I150" s="8">
        <v>0</v>
      </c>
      <c r="J150" s="8"/>
      <c r="K150" s="8">
        <v>5950934</v>
      </c>
      <c r="L150" s="8"/>
      <c r="M150" s="8">
        <v>3918622</v>
      </c>
      <c r="N150" s="8"/>
      <c r="O150" s="8">
        <v>0</v>
      </c>
      <c r="P150" s="8"/>
      <c r="Q150" s="8">
        <f>1136537+1560292</f>
        <v>2696829</v>
      </c>
      <c r="R150" s="8"/>
      <c r="S150" s="7">
        <f t="shared" si="7"/>
        <v>1417393</v>
      </c>
      <c r="T150" s="8"/>
      <c r="U150" s="8">
        <v>51959366</v>
      </c>
      <c r="V150" s="6"/>
      <c r="W150" s="8">
        <v>17333</v>
      </c>
    </row>
    <row r="151" spans="1:23" s="12" customFormat="1" ht="12.75" customHeight="1" x14ac:dyDescent="0.2">
      <c r="A151" s="7" t="s">
        <v>164</v>
      </c>
      <c r="C151" s="7" t="s">
        <v>90</v>
      </c>
      <c r="D151" s="6"/>
      <c r="E151" s="8">
        <v>323770</v>
      </c>
      <c r="F151" s="8"/>
      <c r="G151" s="8">
        <v>853816</v>
      </c>
      <c r="H151" s="8"/>
      <c r="I151" s="8">
        <v>0</v>
      </c>
      <c r="J151" s="8"/>
      <c r="K151" s="8">
        <v>654426</v>
      </c>
      <c r="L151" s="8"/>
      <c r="M151" s="8">
        <v>412508</v>
      </c>
      <c r="N151" s="8"/>
      <c r="O151" s="8">
        <v>0</v>
      </c>
      <c r="P151" s="8"/>
      <c r="Q151" s="8">
        <f>80964+18882</f>
        <v>99846</v>
      </c>
      <c r="R151" s="8"/>
      <c r="S151" s="7">
        <f t="shared" si="7"/>
        <v>34513</v>
      </c>
      <c r="T151" s="8"/>
      <c r="U151" s="8">
        <v>2378879</v>
      </c>
      <c r="V151" s="6"/>
      <c r="W151" s="8">
        <f>12500+32170</f>
        <v>44670</v>
      </c>
    </row>
    <row r="152" spans="1:23" s="12" customFormat="1" ht="12.75" customHeight="1" x14ac:dyDescent="0.2">
      <c r="A152" s="7" t="s">
        <v>165</v>
      </c>
      <c r="C152" s="7" t="s">
        <v>64</v>
      </c>
      <c r="D152" s="6"/>
      <c r="E152" s="8">
        <v>1182086</v>
      </c>
      <c r="F152" s="8"/>
      <c r="G152" s="8">
        <v>11302623</v>
      </c>
      <c r="H152" s="8"/>
      <c r="I152" s="8">
        <v>0</v>
      </c>
      <c r="J152" s="8"/>
      <c r="K152" s="8">
        <v>2528521</v>
      </c>
      <c r="L152" s="8"/>
      <c r="M152" s="8">
        <v>1426847</v>
      </c>
      <c r="N152" s="8"/>
      <c r="O152" s="8">
        <v>56093</v>
      </c>
      <c r="P152" s="8"/>
      <c r="Q152" s="8">
        <v>1084693</v>
      </c>
      <c r="R152" s="8"/>
      <c r="S152" s="7">
        <f t="shared" si="7"/>
        <v>1053180</v>
      </c>
      <c r="T152" s="8"/>
      <c r="U152" s="8">
        <v>18634043</v>
      </c>
      <c r="V152" s="6"/>
      <c r="W152" s="8">
        <v>2305000</v>
      </c>
    </row>
    <row r="153" spans="1:23" s="12" customFormat="1" ht="12.75" customHeight="1" x14ac:dyDescent="0.2">
      <c r="A153" s="7" t="s">
        <v>166</v>
      </c>
      <c r="C153" s="7" t="s">
        <v>25</v>
      </c>
      <c r="D153" s="6"/>
      <c r="E153" s="8">
        <v>1552973</v>
      </c>
      <c r="F153" s="8"/>
      <c r="G153" s="8">
        <v>13784003</v>
      </c>
      <c r="H153" s="8"/>
      <c r="I153" s="8">
        <v>588245</v>
      </c>
      <c r="J153" s="8"/>
      <c r="K153" s="8">
        <v>402428</v>
      </c>
      <c r="L153" s="8"/>
      <c r="M153" s="8">
        <v>842767</v>
      </c>
      <c r="N153" s="8"/>
      <c r="O153" s="8">
        <v>0</v>
      </c>
      <c r="P153" s="8"/>
      <c r="Q153" s="8">
        <v>1241068</v>
      </c>
      <c r="R153" s="8"/>
      <c r="S153" s="7">
        <f t="shared" si="7"/>
        <v>425307</v>
      </c>
      <c r="T153" s="8"/>
      <c r="U153" s="8">
        <v>18836791</v>
      </c>
      <c r="V153" s="6"/>
      <c r="W153" s="8">
        <v>0</v>
      </c>
    </row>
    <row r="154" spans="1:23" s="12" customFormat="1" ht="12.75" customHeight="1" x14ac:dyDescent="0.2">
      <c r="A154" s="7" t="s">
        <v>167</v>
      </c>
      <c r="C154" s="7" t="s">
        <v>101</v>
      </c>
      <c r="D154" s="6"/>
      <c r="E154" s="8">
        <v>2660424</v>
      </c>
      <c r="F154" s="8"/>
      <c r="G154" s="8">
        <v>14413426</v>
      </c>
      <c r="H154" s="8"/>
      <c r="I154" s="8">
        <v>0</v>
      </c>
      <c r="J154" s="8"/>
      <c r="K154" s="8">
        <v>4352078</v>
      </c>
      <c r="L154" s="8"/>
      <c r="M154" s="8">
        <v>2608753</v>
      </c>
      <c r="N154" s="8"/>
      <c r="O154" s="8">
        <v>0</v>
      </c>
      <c r="P154" s="8"/>
      <c r="Q154" s="8">
        <f>296850+220899</f>
        <v>517749</v>
      </c>
      <c r="R154" s="8"/>
      <c r="S154" s="7">
        <f t="shared" si="7"/>
        <v>1053962</v>
      </c>
      <c r="T154" s="8"/>
      <c r="U154" s="8">
        <v>25606392</v>
      </c>
      <c r="V154" s="6"/>
      <c r="W154" s="8">
        <v>0</v>
      </c>
    </row>
    <row r="155" spans="1:23" s="12" customFormat="1" ht="12.75" customHeight="1" x14ac:dyDescent="0.2">
      <c r="A155" s="7" t="s">
        <v>168</v>
      </c>
      <c r="C155" s="7" t="s">
        <v>169</v>
      </c>
      <c r="D155" s="6"/>
      <c r="E155" s="8">
        <v>689296</v>
      </c>
      <c r="F155" s="8"/>
      <c r="G155" s="8">
        <v>2533349</v>
      </c>
      <c r="H155" s="8"/>
      <c r="I155" s="8">
        <v>0</v>
      </c>
      <c r="J155" s="8"/>
      <c r="K155" s="8">
        <v>148170</v>
      </c>
      <c r="L155" s="8"/>
      <c r="M155" s="8">
        <v>922093</v>
      </c>
      <c r="N155" s="8"/>
      <c r="O155" s="8">
        <v>0</v>
      </c>
      <c r="P155" s="8"/>
      <c r="Q155" s="8">
        <f>37201+227807</f>
        <v>265008</v>
      </c>
      <c r="R155" s="8"/>
      <c r="S155" s="7">
        <f t="shared" si="7"/>
        <v>56119</v>
      </c>
      <c r="T155" s="8"/>
      <c r="U155" s="8">
        <v>4614035</v>
      </c>
      <c r="V155" s="6"/>
      <c r="W155" s="8">
        <v>0</v>
      </c>
    </row>
    <row r="156" spans="1:23" s="12" customFormat="1" ht="12.75" customHeight="1" x14ac:dyDescent="0.2">
      <c r="A156" s="7" t="s">
        <v>170</v>
      </c>
      <c r="C156" s="7" t="s">
        <v>101</v>
      </c>
      <c r="D156" s="6"/>
      <c r="E156" s="8">
        <v>765327</v>
      </c>
      <c r="F156" s="8"/>
      <c r="G156" s="8">
        <v>6287100</v>
      </c>
      <c r="H156" s="8"/>
      <c r="I156" s="8">
        <v>0</v>
      </c>
      <c r="J156" s="8"/>
      <c r="K156" s="8">
        <v>53853</v>
      </c>
      <c r="L156" s="8"/>
      <c r="M156" s="8">
        <v>568644</v>
      </c>
      <c r="N156" s="8"/>
      <c r="O156" s="8">
        <v>22123</v>
      </c>
      <c r="P156" s="8"/>
      <c r="Q156" s="8">
        <f>406179+161796</f>
        <v>567975</v>
      </c>
      <c r="R156" s="8"/>
      <c r="S156" s="7">
        <f t="shared" si="7"/>
        <v>1219472</v>
      </c>
      <c r="T156" s="8"/>
      <c r="U156" s="8">
        <v>9484494</v>
      </c>
      <c r="V156" s="6"/>
      <c r="W156" s="8">
        <v>0</v>
      </c>
    </row>
    <row r="157" spans="1:23" s="12" customFormat="1" ht="12.75" customHeight="1" x14ac:dyDescent="0.2">
      <c r="A157" s="9" t="s">
        <v>64</v>
      </c>
      <c r="B157" s="9"/>
      <c r="C157" s="9" t="s">
        <v>43</v>
      </c>
      <c r="D157" s="19"/>
      <c r="E157" s="8">
        <v>8511277</v>
      </c>
      <c r="F157" s="8"/>
      <c r="G157" s="8">
        <v>0</v>
      </c>
      <c r="H157" s="8"/>
      <c r="I157" s="8">
        <v>0</v>
      </c>
      <c r="J157" s="8"/>
      <c r="K157" s="8">
        <v>216459</v>
      </c>
      <c r="L157" s="8"/>
      <c r="M157" s="8">
        <v>445097</v>
      </c>
      <c r="N157" s="8"/>
      <c r="O157" s="8">
        <v>0</v>
      </c>
      <c r="P157" s="8"/>
      <c r="Q157" s="8">
        <f>283195+162907</f>
        <v>446102</v>
      </c>
      <c r="R157" s="8"/>
      <c r="S157" s="7">
        <f t="shared" si="7"/>
        <v>275832</v>
      </c>
      <c r="T157" s="8"/>
      <c r="U157" s="8">
        <v>9894767</v>
      </c>
      <c r="V157" s="6"/>
      <c r="W157" s="8">
        <f>31935+126875</f>
        <v>158810</v>
      </c>
    </row>
    <row r="158" spans="1:23" s="12" customFormat="1" ht="12.75" customHeight="1" x14ac:dyDescent="0.2">
      <c r="A158" s="7" t="s">
        <v>171</v>
      </c>
      <c r="C158" s="7" t="s">
        <v>64</v>
      </c>
      <c r="D158" s="6"/>
      <c r="E158" s="8">
        <v>341453</v>
      </c>
      <c r="F158" s="8"/>
      <c r="G158" s="8">
        <v>9074952</v>
      </c>
      <c r="H158" s="8"/>
      <c r="I158" s="8">
        <v>23822</v>
      </c>
      <c r="J158" s="8"/>
      <c r="K158" s="8">
        <v>530913</v>
      </c>
      <c r="L158" s="8"/>
      <c r="M158" s="8">
        <v>66998</v>
      </c>
      <c r="N158" s="8"/>
      <c r="O158" s="8">
        <v>0</v>
      </c>
      <c r="P158" s="8"/>
      <c r="Q158" s="8">
        <f>106120+241815</f>
        <v>347935</v>
      </c>
      <c r="R158" s="8"/>
      <c r="S158" s="7">
        <f t="shared" si="7"/>
        <v>486069</v>
      </c>
      <c r="T158" s="8"/>
      <c r="U158" s="8">
        <v>10872142</v>
      </c>
      <c r="V158" s="6"/>
      <c r="W158" s="8">
        <v>0</v>
      </c>
    </row>
    <row r="159" spans="1:23" s="12" customFormat="1" ht="12.75" customHeight="1" x14ac:dyDescent="0.2">
      <c r="A159" s="7" t="s">
        <v>172</v>
      </c>
      <c r="C159" s="7" t="s">
        <v>43</v>
      </c>
      <c r="D159" s="6"/>
      <c r="E159" s="8">
        <v>316824</v>
      </c>
      <c r="F159" s="8"/>
      <c r="G159" s="8">
        <v>1386785</v>
      </c>
      <c r="H159" s="8"/>
      <c r="I159" s="8">
        <v>0</v>
      </c>
      <c r="J159" s="8"/>
      <c r="K159" s="8">
        <v>687963</v>
      </c>
      <c r="L159" s="8"/>
      <c r="M159" s="8">
        <v>240954</v>
      </c>
      <c r="N159" s="8"/>
      <c r="O159" s="8">
        <v>0</v>
      </c>
      <c r="P159" s="8"/>
      <c r="Q159" s="8">
        <f>86654+202291</f>
        <v>288945</v>
      </c>
      <c r="R159" s="8"/>
      <c r="S159" s="7">
        <f t="shared" si="7"/>
        <v>34008</v>
      </c>
      <c r="T159" s="8"/>
      <c r="U159" s="8">
        <v>2955479</v>
      </c>
      <c r="V159" s="6"/>
      <c r="W159" s="8">
        <v>0</v>
      </c>
    </row>
    <row r="160" spans="1:23" s="12" customFormat="1" ht="12.75" customHeight="1" x14ac:dyDescent="0.2">
      <c r="A160" s="7" t="s">
        <v>173</v>
      </c>
      <c r="C160" s="7" t="s">
        <v>174</v>
      </c>
      <c r="D160" s="6"/>
      <c r="E160" s="8">
        <v>9601380</v>
      </c>
      <c r="F160" s="8"/>
      <c r="G160" s="8">
        <v>0</v>
      </c>
      <c r="H160" s="8"/>
      <c r="I160" s="8">
        <v>0</v>
      </c>
      <c r="J160" s="8"/>
      <c r="K160" s="8">
        <v>1531318</v>
      </c>
      <c r="L160" s="8"/>
      <c r="M160" s="8">
        <v>847524</v>
      </c>
      <c r="N160" s="8"/>
      <c r="O160" s="8">
        <v>0</v>
      </c>
      <c r="P160" s="8"/>
      <c r="Q160" s="8">
        <f>17057+645016</f>
        <v>662073</v>
      </c>
      <c r="R160" s="8"/>
      <c r="S160" s="7">
        <f t="shared" si="7"/>
        <v>207103</v>
      </c>
      <c r="T160" s="8"/>
      <c r="U160" s="8">
        <v>12849398</v>
      </c>
      <c r="V160" s="6"/>
      <c r="W160" s="8">
        <v>9833</v>
      </c>
    </row>
    <row r="161" spans="1:23" s="12" customFormat="1" ht="12.75" customHeight="1" x14ac:dyDescent="0.2">
      <c r="A161" s="9" t="s">
        <v>175</v>
      </c>
      <c r="B161" s="9"/>
      <c r="C161" s="9" t="s">
        <v>11</v>
      </c>
      <c r="D161" s="19"/>
      <c r="E161" s="8">
        <v>220722</v>
      </c>
      <c r="F161" s="8"/>
      <c r="G161" s="8">
        <v>906815</v>
      </c>
      <c r="H161" s="8"/>
      <c r="I161" s="8">
        <v>0</v>
      </c>
      <c r="J161" s="8"/>
      <c r="K161" s="8">
        <v>18025</v>
      </c>
      <c r="L161" s="8"/>
      <c r="M161" s="8">
        <v>259680</v>
      </c>
      <c r="N161" s="8"/>
      <c r="O161" s="8">
        <v>0</v>
      </c>
      <c r="P161" s="8"/>
      <c r="Q161" s="8">
        <v>150064</v>
      </c>
      <c r="R161" s="8"/>
      <c r="S161" s="7">
        <f t="shared" si="7"/>
        <v>96787</v>
      </c>
      <c r="T161" s="8"/>
      <c r="U161" s="8">
        <v>1652093</v>
      </c>
      <c r="V161" s="6"/>
      <c r="W161" s="8">
        <v>7320</v>
      </c>
    </row>
    <row r="162" spans="1:23" s="12" customFormat="1" ht="12.75" customHeight="1" x14ac:dyDescent="0.2">
      <c r="A162" s="7" t="s">
        <v>176</v>
      </c>
      <c r="C162" s="7" t="s">
        <v>177</v>
      </c>
      <c r="D162" s="6"/>
      <c r="E162" s="8">
        <v>252044</v>
      </c>
      <c r="F162" s="8"/>
      <c r="G162" s="8">
        <v>3279167</v>
      </c>
      <c r="H162" s="8"/>
      <c r="I162" s="8">
        <v>524942</v>
      </c>
      <c r="J162" s="8"/>
      <c r="K162" s="8">
        <v>248549</v>
      </c>
      <c r="L162" s="8"/>
      <c r="M162" s="8">
        <v>425772</v>
      </c>
      <c r="N162" s="8"/>
      <c r="O162" s="8">
        <v>471</v>
      </c>
      <c r="P162" s="8"/>
      <c r="Q162" s="8">
        <f>76513+217225</f>
        <v>293738</v>
      </c>
      <c r="R162" s="8"/>
      <c r="S162" s="7">
        <f t="shared" si="7"/>
        <v>418728</v>
      </c>
      <c r="T162" s="8"/>
      <c r="U162" s="8">
        <v>5443411</v>
      </c>
      <c r="V162" s="6"/>
      <c r="W162" s="8">
        <f>19300+60133+28818</f>
        <v>108251</v>
      </c>
    </row>
    <row r="163" spans="1:23" s="9" customFormat="1" ht="12.75" customHeight="1" x14ac:dyDescent="0.2">
      <c r="A163" s="7" t="s">
        <v>178</v>
      </c>
      <c r="B163" s="12"/>
      <c r="C163" s="7" t="s">
        <v>18</v>
      </c>
      <c r="D163" s="6"/>
      <c r="E163" s="8">
        <v>157526</v>
      </c>
      <c r="F163" s="8"/>
      <c r="G163" s="8">
        <v>1226864</v>
      </c>
      <c r="H163" s="8"/>
      <c r="I163" s="8">
        <v>0</v>
      </c>
      <c r="J163" s="8"/>
      <c r="K163" s="8">
        <v>14814</v>
      </c>
      <c r="L163" s="8"/>
      <c r="M163" s="8">
        <v>130172</v>
      </c>
      <c r="N163" s="8"/>
      <c r="O163" s="8">
        <v>0</v>
      </c>
      <c r="P163" s="8"/>
      <c r="Q163" s="8">
        <v>40272</v>
      </c>
      <c r="R163" s="8"/>
      <c r="S163" s="7">
        <f t="shared" si="7"/>
        <v>33721</v>
      </c>
      <c r="T163" s="8"/>
      <c r="U163" s="8">
        <v>1603369</v>
      </c>
      <c r="V163" s="6"/>
      <c r="W163" s="8">
        <f>28441+12478</f>
        <v>40919</v>
      </c>
    </row>
    <row r="164" spans="1:23" s="9" customFormat="1" ht="12.75" customHeight="1" x14ac:dyDescent="0.2">
      <c r="A164" s="7" t="s">
        <v>495</v>
      </c>
      <c r="B164" s="10"/>
      <c r="C164" s="7" t="s">
        <v>41</v>
      </c>
      <c r="D164" s="6"/>
      <c r="E164" s="8">
        <v>928082</v>
      </c>
      <c r="F164" s="8"/>
      <c r="G164" s="8">
        <v>10410113</v>
      </c>
      <c r="H164" s="8"/>
      <c r="I164" s="8">
        <v>0</v>
      </c>
      <c r="J164" s="8"/>
      <c r="K164" s="8">
        <v>281183</v>
      </c>
      <c r="L164" s="8"/>
      <c r="M164" s="8">
        <v>802015</v>
      </c>
      <c r="N164" s="8"/>
      <c r="O164" s="8">
        <v>0</v>
      </c>
      <c r="P164" s="8"/>
      <c r="Q164" s="8">
        <f>415121+107143</f>
        <v>522264</v>
      </c>
      <c r="R164" s="8"/>
      <c r="S164" s="7">
        <f t="shared" si="7"/>
        <v>219380</v>
      </c>
      <c r="T164" s="8"/>
      <c r="U164" s="8">
        <v>13163037</v>
      </c>
      <c r="V164" s="6"/>
      <c r="W164" s="8">
        <v>5457</v>
      </c>
    </row>
    <row r="165" spans="1:23" s="12" customFormat="1" ht="12.75" customHeight="1" x14ac:dyDescent="0.2">
      <c r="A165" s="7" t="s">
        <v>180</v>
      </c>
      <c r="C165" s="7" t="s">
        <v>181</v>
      </c>
      <c r="D165" s="6"/>
      <c r="E165" s="8">
        <v>164498</v>
      </c>
      <c r="F165" s="8"/>
      <c r="G165" s="8">
        <v>925530</v>
      </c>
      <c r="H165" s="8"/>
      <c r="I165" s="8">
        <v>60001</v>
      </c>
      <c r="J165" s="8"/>
      <c r="K165" s="8">
        <v>0</v>
      </c>
      <c r="L165" s="8"/>
      <c r="M165" s="8">
        <v>147072</v>
      </c>
      <c r="N165" s="8"/>
      <c r="O165" s="8">
        <v>10959</v>
      </c>
      <c r="P165" s="8"/>
      <c r="Q165" s="8">
        <f>25662+17337</f>
        <v>42999</v>
      </c>
      <c r="R165" s="8"/>
      <c r="S165" s="7">
        <f t="shared" si="7"/>
        <v>11752</v>
      </c>
      <c r="T165" s="8"/>
      <c r="U165" s="8">
        <v>1362811</v>
      </c>
      <c r="V165" s="6"/>
      <c r="W165" s="8">
        <v>0</v>
      </c>
    </row>
    <row r="166" spans="1:23" s="12" customFormat="1" ht="12.75" customHeight="1" x14ac:dyDescent="0.2">
      <c r="A166" s="7" t="s">
        <v>481</v>
      </c>
      <c r="C166" s="7" t="s">
        <v>11</v>
      </c>
      <c r="D166" s="6"/>
      <c r="E166" s="8">
        <v>1095941</v>
      </c>
      <c r="F166" s="8"/>
      <c r="G166" s="8">
        <v>0</v>
      </c>
      <c r="H166" s="8"/>
      <c r="I166" s="8">
        <v>0</v>
      </c>
      <c r="J166" s="8"/>
      <c r="K166" s="8">
        <v>260602</v>
      </c>
      <c r="L166" s="8"/>
      <c r="M166" s="8">
        <v>478606</v>
      </c>
      <c r="N166" s="8"/>
      <c r="O166" s="8">
        <v>0</v>
      </c>
      <c r="P166" s="8"/>
      <c r="Q166" s="8">
        <v>109096</v>
      </c>
      <c r="R166" s="8"/>
      <c r="S166" s="7">
        <f t="shared" si="7"/>
        <v>72443</v>
      </c>
      <c r="T166" s="8"/>
      <c r="U166" s="8">
        <v>2016688</v>
      </c>
      <c r="V166" s="6"/>
      <c r="W166" s="8">
        <v>0</v>
      </c>
    </row>
    <row r="167" spans="1:23" s="12" customFormat="1" ht="12.75" customHeight="1" x14ac:dyDescent="0.2">
      <c r="A167" s="7" t="s">
        <v>467</v>
      </c>
      <c r="C167" s="7"/>
      <c r="D167" s="6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7"/>
      <c r="T167" s="8"/>
      <c r="U167" s="8"/>
      <c r="V167" s="6"/>
      <c r="W167" s="11" t="s">
        <v>478</v>
      </c>
    </row>
    <row r="168" spans="1:23" s="12" customFormat="1" ht="12.75" customHeight="1" x14ac:dyDescent="0.2">
      <c r="A168" s="7" t="s">
        <v>182</v>
      </c>
      <c r="C168" s="7" t="s">
        <v>87</v>
      </c>
      <c r="D168" s="6"/>
      <c r="E168" s="40">
        <v>891844</v>
      </c>
      <c r="F168" s="40"/>
      <c r="G168" s="40">
        <v>2099473</v>
      </c>
      <c r="H168" s="40"/>
      <c r="I168" s="40">
        <v>0</v>
      </c>
      <c r="J168" s="40"/>
      <c r="K168" s="40">
        <v>217755</v>
      </c>
      <c r="L168" s="40"/>
      <c r="M168" s="40">
        <v>2748030</v>
      </c>
      <c r="N168" s="40"/>
      <c r="O168" s="40">
        <v>4579</v>
      </c>
      <c r="P168" s="40"/>
      <c r="Q168" s="40">
        <f>36777+342179</f>
        <v>378956</v>
      </c>
      <c r="R168" s="40"/>
      <c r="S168" s="9">
        <f t="shared" ref="S168:S184" si="8">U168-E168-G168-K168-M168-O168-Q168-I168</f>
        <v>127051</v>
      </c>
      <c r="T168" s="40"/>
      <c r="U168" s="40">
        <v>6467688</v>
      </c>
      <c r="V168" s="19"/>
      <c r="W168" s="40">
        <v>600</v>
      </c>
    </row>
    <row r="169" spans="1:23" s="12" customFormat="1" ht="12.75" customHeight="1" x14ac:dyDescent="0.2">
      <c r="A169" s="9" t="s">
        <v>179</v>
      </c>
      <c r="B169" s="9"/>
      <c r="C169" s="9" t="s">
        <v>123</v>
      </c>
      <c r="D169" s="19"/>
      <c r="E169" s="8">
        <v>22457472</v>
      </c>
      <c r="F169" s="8"/>
      <c r="G169" s="8">
        <v>0</v>
      </c>
      <c r="H169" s="8"/>
      <c r="I169" s="8">
        <v>0</v>
      </c>
      <c r="J169" s="8"/>
      <c r="K169" s="8">
        <v>1990444</v>
      </c>
      <c r="L169" s="8"/>
      <c r="M169" s="8">
        <v>2559774</v>
      </c>
      <c r="N169" s="8"/>
      <c r="O169" s="8">
        <v>0</v>
      </c>
      <c r="P169" s="8"/>
      <c r="Q169" s="8">
        <f>65196+1584545</f>
        <v>1649741</v>
      </c>
      <c r="R169" s="8"/>
      <c r="S169" s="7">
        <f t="shared" si="8"/>
        <v>457988</v>
      </c>
      <c r="T169" s="8"/>
      <c r="U169" s="8">
        <v>29115419</v>
      </c>
      <c r="V169" s="6"/>
      <c r="W169" s="8">
        <v>42975</v>
      </c>
    </row>
    <row r="170" spans="1:23" s="12" customFormat="1" ht="12.75" customHeight="1" x14ac:dyDescent="0.2">
      <c r="A170" s="7" t="s">
        <v>183</v>
      </c>
      <c r="C170" s="7" t="s">
        <v>78</v>
      </c>
      <c r="D170" s="6"/>
      <c r="E170" s="8">
        <v>567230</v>
      </c>
      <c r="F170" s="8"/>
      <c r="G170" s="8">
        <v>3818461</v>
      </c>
      <c r="H170" s="8"/>
      <c r="I170" s="8">
        <v>0</v>
      </c>
      <c r="J170" s="8"/>
      <c r="K170" s="8">
        <v>1154655</v>
      </c>
      <c r="L170" s="8"/>
      <c r="M170" s="8">
        <v>723793</v>
      </c>
      <c r="N170" s="8"/>
      <c r="O170" s="8">
        <v>14563</v>
      </c>
      <c r="P170" s="8"/>
      <c r="Q170" s="8">
        <f>475678+376901</f>
        <v>852579</v>
      </c>
      <c r="R170" s="8"/>
      <c r="S170" s="7">
        <f t="shared" si="8"/>
        <v>468511</v>
      </c>
      <c r="T170" s="8"/>
      <c r="U170" s="8">
        <v>7599792</v>
      </c>
      <c r="V170" s="6"/>
      <c r="W170" s="8">
        <v>0</v>
      </c>
    </row>
    <row r="171" spans="1:23" s="12" customFormat="1" ht="12.75" customHeight="1" x14ac:dyDescent="0.2">
      <c r="A171" s="7" t="s">
        <v>184</v>
      </c>
      <c r="C171" s="7" t="s">
        <v>13</v>
      </c>
      <c r="D171" s="6"/>
      <c r="E171" s="8">
        <v>762296</v>
      </c>
      <c r="F171" s="8"/>
      <c r="G171" s="8">
        <v>5103341</v>
      </c>
      <c r="H171" s="8"/>
      <c r="I171" s="8">
        <v>0</v>
      </c>
      <c r="J171" s="8"/>
      <c r="K171" s="8">
        <v>290394</v>
      </c>
      <c r="L171" s="8"/>
      <c r="M171" s="8">
        <v>1713477</v>
      </c>
      <c r="N171" s="8"/>
      <c r="O171" s="8">
        <v>0</v>
      </c>
      <c r="P171" s="8"/>
      <c r="Q171" s="8">
        <f>261986+107502</f>
        <v>369488</v>
      </c>
      <c r="R171" s="8"/>
      <c r="S171" s="7">
        <f t="shared" si="8"/>
        <v>229362</v>
      </c>
      <c r="T171" s="8"/>
      <c r="U171" s="8">
        <v>8468358</v>
      </c>
      <c r="V171" s="6"/>
      <c r="W171" s="8">
        <v>108000</v>
      </c>
    </row>
    <row r="172" spans="1:23" s="7" customFormat="1" ht="12.75" customHeight="1" x14ac:dyDescent="0.2">
      <c r="A172" s="7" t="s">
        <v>185</v>
      </c>
      <c r="C172" s="7" t="s">
        <v>25</v>
      </c>
      <c r="D172" s="6"/>
      <c r="E172" s="8">
        <v>4794190</v>
      </c>
      <c r="F172" s="8"/>
      <c r="G172" s="8">
        <v>8859004</v>
      </c>
      <c r="H172" s="8"/>
      <c r="I172" s="8">
        <v>0</v>
      </c>
      <c r="J172" s="8"/>
      <c r="K172" s="8">
        <v>1157439</v>
      </c>
      <c r="L172" s="8"/>
      <c r="M172" s="8">
        <v>2398235</v>
      </c>
      <c r="N172" s="8"/>
      <c r="O172" s="8">
        <v>0</v>
      </c>
      <c r="P172" s="8"/>
      <c r="Q172" s="8">
        <v>1303094</v>
      </c>
      <c r="R172" s="8"/>
      <c r="S172" s="7">
        <f t="shared" si="8"/>
        <v>63530</v>
      </c>
      <c r="T172" s="8"/>
      <c r="U172" s="8">
        <v>18575492</v>
      </c>
      <c r="V172" s="6"/>
      <c r="W172" s="8">
        <f>12300+101665</f>
        <v>113965</v>
      </c>
    </row>
    <row r="173" spans="1:23" s="12" customFormat="1" ht="12.75" customHeight="1" x14ac:dyDescent="0.2">
      <c r="A173" s="7" t="s">
        <v>187</v>
      </c>
      <c r="C173" s="7" t="s">
        <v>15</v>
      </c>
      <c r="D173" s="6"/>
      <c r="E173" s="8">
        <v>1098591</v>
      </c>
      <c r="F173" s="8"/>
      <c r="G173" s="8">
        <v>8413555</v>
      </c>
      <c r="H173" s="8"/>
      <c r="I173" s="8">
        <v>0</v>
      </c>
      <c r="J173" s="8"/>
      <c r="K173" s="8">
        <v>0</v>
      </c>
      <c r="L173" s="8"/>
      <c r="M173" s="8">
        <v>896075</v>
      </c>
      <c r="N173" s="8"/>
      <c r="O173" s="8">
        <v>0</v>
      </c>
      <c r="P173" s="8"/>
      <c r="Q173" s="8">
        <v>1210097</v>
      </c>
      <c r="R173" s="8"/>
      <c r="S173" s="7">
        <f t="shared" si="8"/>
        <v>658389</v>
      </c>
      <c r="T173" s="8"/>
      <c r="U173" s="8">
        <v>12276707</v>
      </c>
      <c r="V173" s="6"/>
      <c r="W173" s="8">
        <v>0</v>
      </c>
    </row>
    <row r="174" spans="1:23" s="12" customFormat="1" ht="12.75" customHeight="1" x14ac:dyDescent="0.2">
      <c r="A174" s="7" t="s">
        <v>186</v>
      </c>
      <c r="C174" s="7" t="s">
        <v>25</v>
      </c>
      <c r="D174" s="6"/>
      <c r="E174" s="8">
        <v>736343</v>
      </c>
      <c r="F174" s="8"/>
      <c r="G174" s="8">
        <v>10727142</v>
      </c>
      <c r="H174" s="8"/>
      <c r="I174" s="8">
        <v>0</v>
      </c>
      <c r="J174" s="8"/>
      <c r="K174" s="8">
        <v>165246</v>
      </c>
      <c r="L174" s="8"/>
      <c r="M174" s="8">
        <v>830830</v>
      </c>
      <c r="N174" s="8"/>
      <c r="O174" s="8">
        <v>0</v>
      </c>
      <c r="P174" s="8"/>
      <c r="Q174" s="8">
        <f>294296+334871</f>
        <v>629167</v>
      </c>
      <c r="R174" s="8"/>
      <c r="S174" s="7">
        <f t="shared" si="8"/>
        <v>324131</v>
      </c>
      <c r="T174" s="8"/>
      <c r="U174" s="8">
        <v>13412859</v>
      </c>
      <c r="V174" s="6"/>
      <c r="W174" s="8">
        <v>214216</v>
      </c>
    </row>
    <row r="175" spans="1:23" s="12" customFormat="1" ht="12.75" customHeight="1" x14ac:dyDescent="0.2">
      <c r="A175" s="7" t="s">
        <v>188</v>
      </c>
      <c r="C175" s="7" t="s">
        <v>45</v>
      </c>
      <c r="D175" s="6"/>
      <c r="E175" s="8">
        <v>212914</v>
      </c>
      <c r="F175" s="8"/>
      <c r="G175" s="8">
        <v>3380536</v>
      </c>
      <c r="H175" s="8"/>
      <c r="I175" s="8">
        <v>21171</v>
      </c>
      <c r="J175" s="8"/>
      <c r="K175" s="8">
        <v>64674</v>
      </c>
      <c r="L175" s="8"/>
      <c r="M175" s="8">
        <v>348183</v>
      </c>
      <c r="N175" s="8"/>
      <c r="O175" s="8">
        <v>85338</v>
      </c>
      <c r="P175" s="8"/>
      <c r="Q175" s="8">
        <f>120377+107424</f>
        <v>227801</v>
      </c>
      <c r="R175" s="8"/>
      <c r="S175" s="7">
        <f t="shared" si="8"/>
        <v>92601</v>
      </c>
      <c r="T175" s="8"/>
      <c r="U175" s="8">
        <v>4433218</v>
      </c>
      <c r="V175" s="6"/>
      <c r="W175" s="8">
        <v>0</v>
      </c>
    </row>
    <row r="176" spans="1:23" s="12" customFormat="1" ht="12.75" customHeight="1" x14ac:dyDescent="0.2">
      <c r="A176" s="7" t="s">
        <v>189</v>
      </c>
      <c r="C176" s="7" t="s">
        <v>11</v>
      </c>
      <c r="D176" s="6"/>
      <c r="E176" s="8">
        <v>390405</v>
      </c>
      <c r="F176" s="8"/>
      <c r="G176" s="8">
        <v>4294938</v>
      </c>
      <c r="H176" s="8"/>
      <c r="I176" s="8">
        <v>0</v>
      </c>
      <c r="J176" s="8"/>
      <c r="K176" s="8">
        <v>152183</v>
      </c>
      <c r="L176" s="8"/>
      <c r="M176" s="8">
        <v>625983</v>
      </c>
      <c r="N176" s="8"/>
      <c r="O176" s="8">
        <v>0</v>
      </c>
      <c r="P176" s="8"/>
      <c r="Q176" s="8">
        <f>47727+68758</f>
        <v>116485</v>
      </c>
      <c r="R176" s="8"/>
      <c r="S176" s="7">
        <f t="shared" si="8"/>
        <v>146938</v>
      </c>
      <c r="T176" s="8"/>
      <c r="U176" s="8">
        <v>5726932</v>
      </c>
      <c r="V176" s="6"/>
      <c r="W176" s="8">
        <v>510000</v>
      </c>
    </row>
    <row r="177" spans="1:24" s="12" customFormat="1" ht="12.75" customHeight="1" x14ac:dyDescent="0.2">
      <c r="A177" s="7" t="s">
        <v>190</v>
      </c>
      <c r="C177" s="7" t="s">
        <v>36</v>
      </c>
      <c r="D177" s="6"/>
      <c r="E177" s="8">
        <v>615802</v>
      </c>
      <c r="F177" s="8"/>
      <c r="G177" s="8">
        <v>4212782</v>
      </c>
      <c r="H177" s="8"/>
      <c r="I177" s="8">
        <v>0</v>
      </c>
      <c r="J177" s="8"/>
      <c r="K177" s="8">
        <v>134983</v>
      </c>
      <c r="L177" s="8"/>
      <c r="M177" s="8">
        <v>751947</v>
      </c>
      <c r="N177" s="8"/>
      <c r="O177" s="8">
        <v>32528</v>
      </c>
      <c r="P177" s="8"/>
      <c r="Q177" s="8">
        <f>242749+774228</f>
        <v>1016977</v>
      </c>
      <c r="R177" s="8"/>
      <c r="S177" s="7">
        <f t="shared" si="8"/>
        <v>371791</v>
      </c>
      <c r="T177" s="8"/>
      <c r="U177" s="8">
        <v>7136810</v>
      </c>
      <c r="V177" s="6"/>
      <c r="W177" s="8">
        <v>0</v>
      </c>
    </row>
    <row r="178" spans="1:24" s="9" customFormat="1" ht="12.75" customHeight="1" x14ac:dyDescent="0.2">
      <c r="A178" s="7" t="s">
        <v>191</v>
      </c>
      <c r="B178" s="12"/>
      <c r="C178" s="7" t="s">
        <v>43</v>
      </c>
      <c r="D178" s="6"/>
      <c r="E178" s="8">
        <v>2603759</v>
      </c>
      <c r="F178" s="8"/>
      <c r="G178" s="8">
        <v>13306234</v>
      </c>
      <c r="H178" s="8"/>
      <c r="I178" s="8">
        <v>8045</v>
      </c>
      <c r="J178" s="8"/>
      <c r="K178" s="8">
        <v>765179</v>
      </c>
      <c r="L178" s="8"/>
      <c r="M178" s="8">
        <v>722627</v>
      </c>
      <c r="N178" s="8"/>
      <c r="O178" s="8">
        <v>0</v>
      </c>
      <c r="P178" s="8"/>
      <c r="Q178" s="8">
        <v>796503</v>
      </c>
      <c r="R178" s="8"/>
      <c r="S178" s="7">
        <f t="shared" si="8"/>
        <v>71443</v>
      </c>
      <c r="T178" s="8"/>
      <c r="U178" s="8">
        <v>18273790</v>
      </c>
      <c r="V178" s="6"/>
      <c r="W178" s="8">
        <v>634564</v>
      </c>
      <c r="X178" s="54"/>
    </row>
    <row r="179" spans="1:24" s="12" customFormat="1" ht="12.75" customHeight="1" x14ac:dyDescent="0.2">
      <c r="A179" s="7" t="s">
        <v>192</v>
      </c>
      <c r="C179" s="7" t="s">
        <v>64</v>
      </c>
      <c r="D179" s="6"/>
      <c r="E179" s="8">
        <v>1325180</v>
      </c>
      <c r="F179" s="8"/>
      <c r="G179" s="8">
        <v>6279632</v>
      </c>
      <c r="H179" s="8"/>
      <c r="I179" s="8">
        <v>0</v>
      </c>
      <c r="J179" s="8"/>
      <c r="K179" s="8">
        <v>1232975</v>
      </c>
      <c r="L179" s="8"/>
      <c r="M179" s="8">
        <v>713523</v>
      </c>
      <c r="N179" s="8"/>
      <c r="O179" s="8">
        <v>12935</v>
      </c>
      <c r="P179" s="8"/>
      <c r="Q179" s="8">
        <v>141488</v>
      </c>
      <c r="R179" s="8"/>
      <c r="S179" s="7">
        <f t="shared" si="8"/>
        <v>197750</v>
      </c>
      <c r="T179" s="8"/>
      <c r="U179" s="8">
        <v>9903483</v>
      </c>
      <c r="V179" s="6"/>
      <c r="W179" s="8">
        <v>0</v>
      </c>
    </row>
    <row r="180" spans="1:24" s="12" customFormat="1" ht="12.75" customHeight="1" x14ac:dyDescent="0.2">
      <c r="A180" s="7" t="s">
        <v>193</v>
      </c>
      <c r="C180" s="7" t="s">
        <v>15</v>
      </c>
      <c r="D180" s="6"/>
      <c r="E180" s="8">
        <v>497114</v>
      </c>
      <c r="F180" s="8"/>
      <c r="G180" s="8">
        <v>3853978</v>
      </c>
      <c r="H180" s="8"/>
      <c r="I180" s="8">
        <v>0</v>
      </c>
      <c r="J180" s="8"/>
      <c r="K180" s="8">
        <v>129560</v>
      </c>
      <c r="L180" s="8"/>
      <c r="M180" s="8">
        <v>1248809</v>
      </c>
      <c r="N180" s="8"/>
      <c r="O180" s="8">
        <v>2135</v>
      </c>
      <c r="P180" s="8"/>
      <c r="Q180" s="8">
        <f>269373+803466</f>
        <v>1072839</v>
      </c>
      <c r="R180" s="8"/>
      <c r="S180" s="7">
        <f t="shared" si="8"/>
        <v>1042707</v>
      </c>
      <c r="T180" s="8"/>
      <c r="U180" s="8">
        <v>7847142</v>
      </c>
      <c r="V180" s="6"/>
      <c r="W180" s="8">
        <f>1283+500</f>
        <v>1783</v>
      </c>
    </row>
    <row r="181" spans="1:24" s="12" customFormat="1" ht="12.75" hidden="1" customHeight="1" x14ac:dyDescent="0.2">
      <c r="A181" s="7" t="s">
        <v>194</v>
      </c>
      <c r="C181" s="7" t="s">
        <v>25</v>
      </c>
      <c r="D181" s="6"/>
      <c r="E181" s="8">
        <v>638119</v>
      </c>
      <c r="F181" s="8"/>
      <c r="G181" s="8">
        <v>2626526</v>
      </c>
      <c r="H181" s="8"/>
      <c r="I181" s="8">
        <v>0</v>
      </c>
      <c r="J181" s="8"/>
      <c r="K181" s="8">
        <v>347983</v>
      </c>
      <c r="L181" s="8"/>
      <c r="M181" s="8">
        <v>550992</v>
      </c>
      <c r="N181" s="8"/>
      <c r="O181" s="8">
        <v>0</v>
      </c>
      <c r="P181" s="8"/>
      <c r="Q181" s="8">
        <f>199573+146028</f>
        <v>345601</v>
      </c>
      <c r="R181" s="8"/>
      <c r="S181" s="7">
        <f t="shared" si="8"/>
        <v>32857</v>
      </c>
      <c r="T181" s="8"/>
      <c r="U181" s="8">
        <v>4542078</v>
      </c>
      <c r="V181" s="6"/>
      <c r="W181" s="8">
        <v>832</v>
      </c>
    </row>
    <row r="182" spans="1:24" s="12" customFormat="1" ht="12.75" customHeight="1" x14ac:dyDescent="0.2">
      <c r="A182" s="7" t="s">
        <v>400</v>
      </c>
      <c r="C182" s="7" t="s">
        <v>151</v>
      </c>
      <c r="D182" s="6"/>
      <c r="E182" s="8">
        <v>307031</v>
      </c>
      <c r="F182" s="8"/>
      <c r="G182" s="8">
        <v>3289466</v>
      </c>
      <c r="H182" s="8"/>
      <c r="I182" s="8">
        <v>0</v>
      </c>
      <c r="J182" s="8"/>
      <c r="K182" s="8">
        <v>51469</v>
      </c>
      <c r="L182" s="8"/>
      <c r="M182" s="8">
        <v>225046</v>
      </c>
      <c r="N182" s="8"/>
      <c r="O182" s="8">
        <v>0</v>
      </c>
      <c r="P182" s="8"/>
      <c r="Q182" s="8">
        <v>267397</v>
      </c>
      <c r="R182" s="8"/>
      <c r="S182" s="7">
        <f t="shared" si="8"/>
        <v>111784</v>
      </c>
      <c r="T182" s="8"/>
      <c r="U182" s="8">
        <v>4252193</v>
      </c>
      <c r="V182" s="6"/>
      <c r="W182" s="8">
        <v>0</v>
      </c>
    </row>
    <row r="183" spans="1:24" s="12" customFormat="1" ht="12.75" customHeight="1" x14ac:dyDescent="0.2">
      <c r="A183" s="9" t="s">
        <v>195</v>
      </c>
      <c r="B183" s="9"/>
      <c r="C183" s="9" t="s">
        <v>161</v>
      </c>
      <c r="D183" s="19"/>
      <c r="E183" s="8">
        <v>732180</v>
      </c>
      <c r="F183" s="8"/>
      <c r="G183" s="8">
        <v>27732887</v>
      </c>
      <c r="H183" s="8"/>
      <c r="I183" s="8">
        <v>0</v>
      </c>
      <c r="J183" s="8"/>
      <c r="K183" s="8">
        <v>1989431</v>
      </c>
      <c r="L183" s="8"/>
      <c r="M183" s="8">
        <v>887867</v>
      </c>
      <c r="N183" s="8"/>
      <c r="O183" s="8">
        <v>7382</v>
      </c>
      <c r="P183" s="8"/>
      <c r="Q183" s="8">
        <f>171291+389214</f>
        <v>560505</v>
      </c>
      <c r="R183" s="8"/>
      <c r="S183" s="7">
        <f t="shared" si="8"/>
        <v>949410</v>
      </c>
      <c r="T183" s="8"/>
      <c r="U183" s="8">
        <v>32859662</v>
      </c>
      <c r="V183" s="6"/>
      <c r="W183" s="8">
        <f>16912+149975+6000</f>
        <v>172887</v>
      </c>
    </row>
    <row r="184" spans="1:24" s="12" customFormat="1" ht="12.75" customHeight="1" x14ac:dyDescent="0.2">
      <c r="A184" s="7" t="s">
        <v>196</v>
      </c>
      <c r="C184" s="7" t="s">
        <v>197</v>
      </c>
      <c r="D184" s="6"/>
      <c r="E184" s="8">
        <v>408163</v>
      </c>
      <c r="F184" s="8"/>
      <c r="G184" s="8">
        <v>3843204</v>
      </c>
      <c r="H184" s="8"/>
      <c r="I184" s="8">
        <v>916240</v>
      </c>
      <c r="J184" s="8"/>
      <c r="K184" s="8">
        <v>380081</v>
      </c>
      <c r="L184" s="8"/>
      <c r="M184" s="8">
        <v>494306</v>
      </c>
      <c r="N184" s="8"/>
      <c r="O184" s="8">
        <v>0</v>
      </c>
      <c r="P184" s="8"/>
      <c r="Q184" s="8">
        <v>37845</v>
      </c>
      <c r="R184" s="8"/>
      <c r="S184" s="7">
        <f t="shared" si="8"/>
        <v>464899</v>
      </c>
      <c r="T184" s="8"/>
      <c r="U184" s="8">
        <v>6544738</v>
      </c>
      <c r="V184" s="6"/>
      <c r="W184" s="8">
        <v>0</v>
      </c>
    </row>
    <row r="185" spans="1:24" s="9" customFormat="1" ht="12.75" customHeight="1" x14ac:dyDescent="0.2">
      <c r="A185" s="7" t="s">
        <v>198</v>
      </c>
      <c r="B185" s="12"/>
      <c r="C185" s="7" t="s">
        <v>101</v>
      </c>
      <c r="D185" s="6"/>
      <c r="E185" s="8">
        <v>1251301</v>
      </c>
      <c r="F185" s="8"/>
      <c r="G185" s="8">
        <v>6898008</v>
      </c>
      <c r="H185" s="8"/>
      <c r="I185" s="8">
        <v>0</v>
      </c>
      <c r="J185" s="8"/>
      <c r="K185" s="8">
        <v>503182</v>
      </c>
      <c r="L185" s="8"/>
      <c r="M185" s="8">
        <v>980218</v>
      </c>
      <c r="N185" s="8"/>
      <c r="O185" s="8">
        <v>0</v>
      </c>
      <c r="P185" s="8"/>
      <c r="Q185" s="8">
        <f>196430+400611</f>
        <v>597041</v>
      </c>
      <c r="R185" s="8"/>
      <c r="S185" s="7">
        <f t="shared" ref="S185:S225" si="9">U185-E185-G185-K185-M185-O185-Q185-I185</f>
        <v>221997</v>
      </c>
      <c r="T185" s="8"/>
      <c r="U185" s="8">
        <v>10451747</v>
      </c>
      <c r="V185" s="6"/>
      <c r="W185" s="7">
        <v>0</v>
      </c>
    </row>
    <row r="186" spans="1:24" s="9" customFormat="1" ht="12.75" customHeight="1" x14ac:dyDescent="0.2">
      <c r="A186" s="7" t="s">
        <v>199</v>
      </c>
      <c r="B186" s="12"/>
      <c r="C186" s="7" t="s">
        <v>90</v>
      </c>
      <c r="D186" s="6"/>
      <c r="E186" s="8">
        <v>415923</v>
      </c>
      <c r="F186" s="8"/>
      <c r="G186" s="8">
        <v>7519822</v>
      </c>
      <c r="H186" s="8"/>
      <c r="I186" s="8">
        <v>6400</v>
      </c>
      <c r="J186" s="8"/>
      <c r="K186" s="8">
        <v>48360</v>
      </c>
      <c r="L186" s="8"/>
      <c r="M186" s="8">
        <v>1243297</v>
      </c>
      <c r="N186" s="8"/>
      <c r="O186" s="8">
        <v>0</v>
      </c>
      <c r="P186" s="8"/>
      <c r="Q186" s="8">
        <f>450655+993193</f>
        <v>1443848</v>
      </c>
      <c r="R186" s="8"/>
      <c r="S186" s="7">
        <f t="shared" si="9"/>
        <v>486361</v>
      </c>
      <c r="T186" s="8"/>
      <c r="U186" s="8">
        <v>11164011</v>
      </c>
      <c r="V186" s="6"/>
      <c r="W186" s="8">
        <f>758+216000+1013624</f>
        <v>1230382</v>
      </c>
    </row>
    <row r="187" spans="1:24" s="12" customFormat="1" ht="12.75" customHeight="1" x14ac:dyDescent="0.2">
      <c r="A187" s="9" t="s">
        <v>200</v>
      </c>
      <c r="B187" s="9"/>
      <c r="C187" s="9" t="s">
        <v>25</v>
      </c>
      <c r="D187" s="19"/>
      <c r="E187" s="8">
        <v>5491614</v>
      </c>
      <c r="F187" s="8"/>
      <c r="G187" s="8">
        <v>27232889</v>
      </c>
      <c r="H187" s="8"/>
      <c r="I187" s="8">
        <v>0</v>
      </c>
      <c r="J187" s="8"/>
      <c r="K187" s="8">
        <v>647039</v>
      </c>
      <c r="L187" s="8"/>
      <c r="M187" s="8">
        <v>4360602</v>
      </c>
      <c r="N187" s="8"/>
      <c r="O187" s="8">
        <v>0</v>
      </c>
      <c r="P187" s="8"/>
      <c r="Q187" s="8">
        <f>2592334+4078347</f>
        <v>6670681</v>
      </c>
      <c r="R187" s="8"/>
      <c r="S187" s="7">
        <f t="shared" si="9"/>
        <v>129518</v>
      </c>
      <c r="T187" s="8"/>
      <c r="U187" s="8">
        <v>44532343</v>
      </c>
      <c r="V187" s="6"/>
      <c r="W187" s="8">
        <v>132214</v>
      </c>
    </row>
    <row r="188" spans="1:24" s="12" customFormat="1" ht="12.75" customHeight="1" x14ac:dyDescent="0.2">
      <c r="A188" s="7" t="s">
        <v>201</v>
      </c>
      <c r="C188" s="7" t="s">
        <v>25</v>
      </c>
      <c r="E188" s="8">
        <v>2680454</v>
      </c>
      <c r="F188" s="8"/>
      <c r="G188" s="8">
        <v>8288210</v>
      </c>
      <c r="H188" s="8"/>
      <c r="I188" s="8">
        <v>0</v>
      </c>
      <c r="J188" s="8"/>
      <c r="K188" s="8">
        <v>2121510</v>
      </c>
      <c r="L188" s="8"/>
      <c r="M188" s="8">
        <v>1221591</v>
      </c>
      <c r="N188" s="8"/>
      <c r="O188" s="8">
        <v>0</v>
      </c>
      <c r="P188" s="8"/>
      <c r="Q188" s="8">
        <v>1073578</v>
      </c>
      <c r="R188" s="8"/>
      <c r="S188" s="7">
        <f t="shared" si="9"/>
        <v>645735</v>
      </c>
      <c r="T188" s="8"/>
      <c r="U188" s="8">
        <v>16031078</v>
      </c>
      <c r="V188" s="6"/>
      <c r="W188" s="8">
        <f>4000+208543</f>
        <v>212543</v>
      </c>
    </row>
    <row r="189" spans="1:24" s="12" customFormat="1" ht="12.75" customHeight="1" x14ac:dyDescent="0.2">
      <c r="A189" s="7" t="s">
        <v>202</v>
      </c>
      <c r="C189" s="7" t="s">
        <v>123</v>
      </c>
      <c r="D189" s="6"/>
      <c r="E189" s="8">
        <v>802525</v>
      </c>
      <c r="F189" s="8"/>
      <c r="G189" s="8">
        <v>0</v>
      </c>
      <c r="H189" s="8"/>
      <c r="I189" s="8">
        <v>0</v>
      </c>
      <c r="J189" s="8"/>
      <c r="K189" s="8">
        <v>0</v>
      </c>
      <c r="L189" s="8"/>
      <c r="M189" s="8">
        <v>208263</v>
      </c>
      <c r="N189" s="8"/>
      <c r="O189" s="8">
        <v>4369</v>
      </c>
      <c r="P189" s="8"/>
      <c r="Q189" s="8">
        <f>206922+193737</f>
        <v>400659</v>
      </c>
      <c r="R189" s="8"/>
      <c r="S189" s="7">
        <f t="shared" si="9"/>
        <v>147042</v>
      </c>
      <c r="T189" s="8"/>
      <c r="U189" s="8">
        <v>1562858</v>
      </c>
      <c r="V189" s="6"/>
      <c r="W189" s="8">
        <v>0</v>
      </c>
    </row>
    <row r="190" spans="1:24" s="12" customFormat="1" ht="12.75" customHeight="1" x14ac:dyDescent="0.2">
      <c r="A190" s="7" t="s">
        <v>203</v>
      </c>
      <c r="C190" s="7" t="s">
        <v>25</v>
      </c>
      <c r="D190" s="6"/>
      <c r="E190" s="8">
        <v>1485130</v>
      </c>
      <c r="F190" s="8"/>
      <c r="G190" s="8">
        <v>4580388</v>
      </c>
      <c r="H190" s="8"/>
      <c r="I190" s="8">
        <f>3538074+254697</f>
        <v>3792771</v>
      </c>
      <c r="J190" s="8"/>
      <c r="K190" s="8">
        <v>2363</v>
      </c>
      <c r="L190" s="8"/>
      <c r="M190" s="8">
        <v>309090</v>
      </c>
      <c r="N190" s="8"/>
      <c r="O190" s="8">
        <v>0</v>
      </c>
      <c r="P190" s="8"/>
      <c r="Q190" s="8">
        <f>321123+37300</f>
        <v>358423</v>
      </c>
      <c r="R190" s="8"/>
      <c r="S190" s="7">
        <f t="shared" si="9"/>
        <v>397367</v>
      </c>
      <c r="T190" s="8"/>
      <c r="U190" s="8">
        <v>10925532</v>
      </c>
      <c r="V190" s="6"/>
      <c r="W190" s="8">
        <v>0</v>
      </c>
    </row>
    <row r="191" spans="1:24" s="12" customFormat="1" ht="12.75" customHeight="1" x14ac:dyDescent="0.2">
      <c r="A191" s="7" t="s">
        <v>204</v>
      </c>
      <c r="C191" s="7" t="s">
        <v>45</v>
      </c>
      <c r="D191" s="6"/>
      <c r="E191" s="8">
        <v>1051617</v>
      </c>
      <c r="F191" s="8"/>
      <c r="G191" s="8">
        <v>14593657</v>
      </c>
      <c r="H191" s="8"/>
      <c r="I191" s="8">
        <v>0</v>
      </c>
      <c r="J191" s="8"/>
      <c r="K191" s="8">
        <v>850434</v>
      </c>
      <c r="L191" s="8"/>
      <c r="M191" s="8">
        <v>1153189</v>
      </c>
      <c r="N191" s="8"/>
      <c r="O191" s="8">
        <v>184090</v>
      </c>
      <c r="P191" s="8"/>
      <c r="Q191" s="8">
        <f>235477+761344</f>
        <v>996821</v>
      </c>
      <c r="R191" s="8"/>
      <c r="S191" s="7">
        <f t="shared" si="9"/>
        <v>188470</v>
      </c>
      <c r="T191" s="8"/>
      <c r="U191" s="8">
        <v>19018278</v>
      </c>
      <c r="V191" s="6"/>
      <c r="W191" s="8">
        <v>164583</v>
      </c>
    </row>
    <row r="192" spans="1:24" s="12" customFormat="1" ht="12.75" customHeight="1" x14ac:dyDescent="0.2">
      <c r="A192" s="7" t="s">
        <v>205</v>
      </c>
      <c r="C192" s="7" t="s">
        <v>100</v>
      </c>
      <c r="D192" s="6"/>
      <c r="E192" s="8">
        <v>854363</v>
      </c>
      <c r="F192" s="8"/>
      <c r="G192" s="8">
        <v>5058025</v>
      </c>
      <c r="H192" s="8"/>
      <c r="I192" s="8">
        <v>108149</v>
      </c>
      <c r="J192" s="8"/>
      <c r="K192" s="8">
        <v>344657</v>
      </c>
      <c r="L192" s="8"/>
      <c r="M192" s="8">
        <v>424770</v>
      </c>
      <c r="N192" s="8"/>
      <c r="O192" s="8">
        <v>0</v>
      </c>
      <c r="P192" s="8"/>
      <c r="Q192" s="8">
        <v>463690</v>
      </c>
      <c r="R192" s="8"/>
      <c r="S192" s="7">
        <f t="shared" si="9"/>
        <v>545687</v>
      </c>
      <c r="T192" s="8"/>
      <c r="U192" s="8">
        <v>7799341</v>
      </c>
      <c r="V192" s="6"/>
      <c r="W192" s="8">
        <v>0</v>
      </c>
    </row>
    <row r="193" spans="1:24" s="12" customFormat="1" ht="12.75" customHeight="1" x14ac:dyDescent="0.2">
      <c r="A193" s="7" t="s">
        <v>206</v>
      </c>
      <c r="C193" s="7" t="s">
        <v>207</v>
      </c>
      <c r="D193" s="6"/>
      <c r="E193" s="8">
        <v>1161918</v>
      </c>
      <c r="F193" s="8"/>
      <c r="G193" s="8">
        <v>5401347</v>
      </c>
      <c r="H193" s="8"/>
      <c r="I193" s="8">
        <f>1088648+1185433</f>
        <v>2274081</v>
      </c>
      <c r="J193" s="8"/>
      <c r="K193" s="8">
        <v>0</v>
      </c>
      <c r="L193" s="8"/>
      <c r="M193" s="8">
        <v>0</v>
      </c>
      <c r="N193" s="8"/>
      <c r="O193" s="8">
        <v>0</v>
      </c>
      <c r="P193" s="8"/>
      <c r="Q193" s="8">
        <v>1327975</v>
      </c>
      <c r="R193" s="8"/>
      <c r="S193" s="7">
        <f t="shared" si="9"/>
        <v>654861</v>
      </c>
      <c r="T193" s="8"/>
      <c r="U193" s="8">
        <v>10820182</v>
      </c>
      <c r="V193" s="6"/>
      <c r="W193" s="8">
        <v>18808</v>
      </c>
    </row>
    <row r="194" spans="1:24" s="12" customFormat="1" ht="12.75" customHeight="1" x14ac:dyDescent="0.2">
      <c r="A194" s="7" t="s">
        <v>208</v>
      </c>
      <c r="C194" s="7" t="s">
        <v>209</v>
      </c>
      <c r="D194" s="6"/>
      <c r="E194" s="8">
        <v>545617</v>
      </c>
      <c r="F194" s="8"/>
      <c r="G194" s="8">
        <v>2296965</v>
      </c>
      <c r="H194" s="8"/>
      <c r="I194" s="8">
        <v>179259</v>
      </c>
      <c r="J194" s="8"/>
      <c r="K194" s="8">
        <v>230703</v>
      </c>
      <c r="L194" s="8"/>
      <c r="M194" s="8">
        <v>444612</v>
      </c>
      <c r="N194" s="8"/>
      <c r="O194" s="8">
        <v>0</v>
      </c>
      <c r="P194" s="8"/>
      <c r="Q194" s="8">
        <f>3950+3335</f>
        <v>7285</v>
      </c>
      <c r="R194" s="8"/>
      <c r="S194" s="7">
        <f t="shared" si="9"/>
        <v>57352</v>
      </c>
      <c r="T194" s="8"/>
      <c r="U194" s="8">
        <v>3761793</v>
      </c>
      <c r="V194" s="6"/>
      <c r="W194" s="8">
        <v>0</v>
      </c>
    </row>
    <row r="195" spans="1:24" s="12" customFormat="1" ht="12.75" customHeight="1" x14ac:dyDescent="0.2">
      <c r="A195" s="7" t="s">
        <v>210</v>
      </c>
      <c r="C195" s="7" t="s">
        <v>211</v>
      </c>
      <c r="D195" s="6"/>
      <c r="E195" s="8">
        <v>9715590</v>
      </c>
      <c r="F195" s="8"/>
      <c r="G195" s="8">
        <v>0</v>
      </c>
      <c r="H195" s="8"/>
      <c r="I195" s="8">
        <v>0</v>
      </c>
      <c r="J195" s="8"/>
      <c r="K195" s="8">
        <v>308880</v>
      </c>
      <c r="L195" s="8"/>
      <c r="M195" s="8">
        <v>1391170</v>
      </c>
      <c r="N195" s="8"/>
      <c r="O195" s="8">
        <v>0</v>
      </c>
      <c r="P195" s="8"/>
      <c r="Q195" s="8">
        <f>183180+620040</f>
        <v>803220</v>
      </c>
      <c r="R195" s="8"/>
      <c r="S195" s="7">
        <f t="shared" si="9"/>
        <v>147336</v>
      </c>
      <c r="T195" s="8"/>
      <c r="U195" s="8">
        <v>12366196</v>
      </c>
      <c r="V195" s="6"/>
      <c r="W195" s="8">
        <v>27030</v>
      </c>
    </row>
    <row r="196" spans="1:24" s="12" customFormat="1" ht="12.75" customHeight="1" x14ac:dyDescent="0.2">
      <c r="A196" s="7" t="s">
        <v>212</v>
      </c>
      <c r="C196" s="7" t="s">
        <v>84</v>
      </c>
      <c r="D196" s="6"/>
      <c r="E196" s="8">
        <v>495682</v>
      </c>
      <c r="F196" s="8"/>
      <c r="G196" s="8">
        <v>4392127</v>
      </c>
      <c r="H196" s="8"/>
      <c r="I196" s="8">
        <v>0</v>
      </c>
      <c r="J196" s="8"/>
      <c r="K196" s="8">
        <v>550488</v>
      </c>
      <c r="L196" s="8"/>
      <c r="M196" s="8">
        <v>88848</v>
      </c>
      <c r="N196" s="8"/>
      <c r="O196" s="8">
        <v>0</v>
      </c>
      <c r="P196" s="8"/>
      <c r="Q196" s="8">
        <f>280566+45464</f>
        <v>326030</v>
      </c>
      <c r="R196" s="8"/>
      <c r="S196" s="7">
        <f t="shared" si="9"/>
        <v>245201</v>
      </c>
      <c r="T196" s="8"/>
      <c r="U196" s="8">
        <v>6098376</v>
      </c>
      <c r="V196" s="6"/>
      <c r="W196" s="8">
        <v>11276</v>
      </c>
    </row>
    <row r="197" spans="1:24" s="12" customFormat="1" ht="12.75" customHeight="1" x14ac:dyDescent="0.2">
      <c r="A197" s="9" t="s">
        <v>213</v>
      </c>
      <c r="B197" s="9"/>
      <c r="C197" s="9" t="s">
        <v>20</v>
      </c>
      <c r="D197" s="19"/>
      <c r="E197" s="8">
        <v>588841</v>
      </c>
      <c r="F197" s="8"/>
      <c r="G197" s="8">
        <v>4111997</v>
      </c>
      <c r="H197" s="8"/>
      <c r="I197" s="8">
        <v>0</v>
      </c>
      <c r="J197" s="8"/>
      <c r="K197" s="8">
        <v>0</v>
      </c>
      <c r="L197" s="8"/>
      <c r="M197" s="8">
        <v>836925</v>
      </c>
      <c r="N197" s="8"/>
      <c r="O197" s="8">
        <v>0</v>
      </c>
      <c r="P197" s="8"/>
      <c r="Q197" s="8">
        <f>415861+45303</f>
        <v>461164</v>
      </c>
      <c r="R197" s="8"/>
      <c r="S197" s="7">
        <f t="shared" si="9"/>
        <v>135308</v>
      </c>
      <c r="T197" s="8"/>
      <c r="U197" s="8">
        <v>6134235</v>
      </c>
      <c r="V197" s="6"/>
      <c r="W197" s="8">
        <v>0</v>
      </c>
    </row>
    <row r="198" spans="1:24" s="12" customFormat="1" ht="12.75" customHeight="1" x14ac:dyDescent="0.2">
      <c r="A198" s="7" t="s">
        <v>214</v>
      </c>
      <c r="C198" s="7" t="s">
        <v>43</v>
      </c>
      <c r="D198" s="6"/>
      <c r="E198" s="8">
        <v>6570253</v>
      </c>
      <c r="F198" s="8"/>
      <c r="G198" s="8">
        <v>0</v>
      </c>
      <c r="H198" s="8"/>
      <c r="I198" s="8">
        <v>0</v>
      </c>
      <c r="J198" s="8"/>
      <c r="K198" s="8">
        <v>813337</v>
      </c>
      <c r="L198" s="8"/>
      <c r="M198" s="8">
        <v>652142</v>
      </c>
      <c r="N198" s="8"/>
      <c r="O198" s="8">
        <v>0</v>
      </c>
      <c r="P198" s="8"/>
      <c r="Q198" s="8">
        <v>270113</v>
      </c>
      <c r="R198" s="8"/>
      <c r="S198" s="7">
        <f t="shared" si="9"/>
        <v>28377</v>
      </c>
      <c r="T198" s="8"/>
      <c r="U198" s="8">
        <v>8334222</v>
      </c>
      <c r="V198" s="6"/>
      <c r="W198" s="8">
        <f>2021+115000</f>
        <v>117021</v>
      </c>
    </row>
    <row r="199" spans="1:24" s="12" customFormat="1" ht="12.75" customHeight="1" x14ac:dyDescent="0.2">
      <c r="A199" s="7" t="s">
        <v>215</v>
      </c>
      <c r="C199" s="7" t="s">
        <v>41</v>
      </c>
      <c r="D199" s="6"/>
      <c r="E199" s="8">
        <v>11105997</v>
      </c>
      <c r="F199" s="8"/>
      <c r="G199" s="8">
        <v>0</v>
      </c>
      <c r="H199" s="8"/>
      <c r="I199" s="8">
        <v>0</v>
      </c>
      <c r="J199" s="8"/>
      <c r="K199" s="8">
        <v>212062</v>
      </c>
      <c r="L199" s="8"/>
      <c r="M199" s="8">
        <v>1375705</v>
      </c>
      <c r="N199" s="8"/>
      <c r="O199" s="8">
        <v>0</v>
      </c>
      <c r="P199" s="8"/>
      <c r="Q199" s="8">
        <f>227620+472918</f>
        <v>700538</v>
      </c>
      <c r="R199" s="8"/>
      <c r="S199" s="7">
        <f t="shared" si="9"/>
        <v>520165</v>
      </c>
      <c r="T199" s="8"/>
      <c r="U199" s="8">
        <v>13914467</v>
      </c>
      <c r="V199" s="6"/>
      <c r="W199" s="8">
        <v>0</v>
      </c>
    </row>
    <row r="200" spans="1:24" s="12" customFormat="1" ht="12.75" customHeight="1" x14ac:dyDescent="0.2">
      <c r="A200" s="7" t="s">
        <v>216</v>
      </c>
      <c r="C200" s="7" t="s">
        <v>25</v>
      </c>
      <c r="D200" s="6"/>
      <c r="E200" s="8">
        <v>1152530</v>
      </c>
      <c r="F200" s="8"/>
      <c r="G200" s="8">
        <v>4778695</v>
      </c>
      <c r="H200" s="8"/>
      <c r="I200" s="8">
        <v>69388</v>
      </c>
      <c r="J200" s="8"/>
      <c r="K200" s="8">
        <v>67792</v>
      </c>
      <c r="L200" s="8"/>
      <c r="M200" s="8">
        <v>597829</v>
      </c>
      <c r="N200" s="8"/>
      <c r="O200" s="8">
        <v>62933</v>
      </c>
      <c r="P200" s="8"/>
      <c r="Q200" s="8">
        <f>580710+0</f>
        <v>580710</v>
      </c>
      <c r="R200" s="8"/>
      <c r="S200" s="7">
        <f t="shared" si="9"/>
        <v>144231</v>
      </c>
      <c r="T200" s="8"/>
      <c r="U200" s="8">
        <v>7454108</v>
      </c>
      <c r="V200" s="6"/>
      <c r="W200" s="8">
        <v>122830</v>
      </c>
    </row>
    <row r="201" spans="1:24" s="12" customFormat="1" ht="12.75" customHeight="1" x14ac:dyDescent="0.2">
      <c r="A201" s="7" t="s">
        <v>217</v>
      </c>
      <c r="C201" s="7" t="s">
        <v>197</v>
      </c>
      <c r="D201" s="6"/>
      <c r="E201" s="8">
        <v>359277</v>
      </c>
      <c r="F201" s="8"/>
      <c r="G201" s="8">
        <v>729725</v>
      </c>
      <c r="H201" s="8"/>
      <c r="I201" s="8">
        <v>0</v>
      </c>
      <c r="J201" s="8"/>
      <c r="K201" s="8">
        <v>759287</v>
      </c>
      <c r="L201" s="8"/>
      <c r="M201" s="8">
        <v>407096</v>
      </c>
      <c r="N201" s="8"/>
      <c r="O201" s="8">
        <v>0</v>
      </c>
      <c r="P201" s="8"/>
      <c r="Q201" s="8">
        <v>35285</v>
      </c>
      <c r="R201" s="8"/>
      <c r="S201" s="7">
        <f t="shared" si="9"/>
        <v>44337</v>
      </c>
      <c r="T201" s="8"/>
      <c r="U201" s="8">
        <v>2335007</v>
      </c>
      <c r="V201" s="6"/>
      <c r="W201" s="8">
        <v>0</v>
      </c>
    </row>
    <row r="202" spans="1:24" s="12" customFormat="1" ht="12.75" customHeight="1" x14ac:dyDescent="0.2">
      <c r="A202" s="7" t="s">
        <v>218</v>
      </c>
      <c r="C202" s="7" t="s">
        <v>64</v>
      </c>
      <c r="D202" s="6"/>
      <c r="E202" s="8">
        <v>372958</v>
      </c>
      <c r="F202" s="8"/>
      <c r="G202" s="8">
        <v>2865360</v>
      </c>
      <c r="H202" s="8"/>
      <c r="I202" s="8">
        <v>354376</v>
      </c>
      <c r="J202" s="8"/>
      <c r="K202" s="8">
        <v>25650</v>
      </c>
      <c r="L202" s="8"/>
      <c r="M202" s="8">
        <v>724132</v>
      </c>
      <c r="N202" s="8"/>
      <c r="O202" s="8">
        <v>0</v>
      </c>
      <c r="P202" s="8"/>
      <c r="Q202" s="8">
        <v>35080</v>
      </c>
      <c r="R202" s="8"/>
      <c r="S202" s="7">
        <f t="shared" si="9"/>
        <v>18263</v>
      </c>
      <c r="T202" s="8"/>
      <c r="U202" s="8">
        <v>4395819</v>
      </c>
      <c r="V202" s="6"/>
      <c r="W202" s="8">
        <v>56175</v>
      </c>
    </row>
    <row r="203" spans="1:24" s="12" customFormat="1" ht="12.75" customHeight="1" x14ac:dyDescent="0.2">
      <c r="A203" s="7" t="s">
        <v>219</v>
      </c>
      <c r="C203" s="7" t="s">
        <v>25</v>
      </c>
      <c r="D203" s="6"/>
      <c r="E203" s="8">
        <v>3743094</v>
      </c>
      <c r="F203" s="8"/>
      <c r="G203" s="8">
        <v>8697295</v>
      </c>
      <c r="H203" s="8"/>
      <c r="I203" s="8">
        <v>35522</v>
      </c>
      <c r="J203" s="8"/>
      <c r="K203" s="8">
        <v>141307</v>
      </c>
      <c r="L203" s="8"/>
      <c r="M203" s="8">
        <v>2838815</v>
      </c>
      <c r="N203" s="8"/>
      <c r="O203" s="8">
        <v>0</v>
      </c>
      <c r="P203" s="8"/>
      <c r="Q203" s="8">
        <v>3299960</v>
      </c>
      <c r="R203" s="8"/>
      <c r="S203" s="7">
        <f t="shared" si="9"/>
        <v>185647</v>
      </c>
      <c r="T203" s="8"/>
      <c r="U203" s="8">
        <v>18941640</v>
      </c>
      <c r="V203" s="6"/>
      <c r="W203" s="8">
        <v>14615</v>
      </c>
    </row>
    <row r="204" spans="1:24" s="12" customFormat="1" ht="12.75" customHeight="1" x14ac:dyDescent="0.2">
      <c r="A204" s="7" t="s">
        <v>220</v>
      </c>
      <c r="C204" s="7" t="s">
        <v>45</v>
      </c>
      <c r="D204" s="6"/>
      <c r="E204" s="8">
        <v>999315</v>
      </c>
      <c r="F204" s="8"/>
      <c r="G204" s="8">
        <v>3353573</v>
      </c>
      <c r="H204" s="8"/>
      <c r="I204" s="8">
        <v>0</v>
      </c>
      <c r="J204" s="8"/>
      <c r="K204" s="8">
        <v>127542</v>
      </c>
      <c r="L204" s="8"/>
      <c r="M204" s="8">
        <v>730350</v>
      </c>
      <c r="N204" s="8"/>
      <c r="O204" s="8">
        <v>0</v>
      </c>
      <c r="P204" s="8"/>
      <c r="Q204" s="8">
        <v>33442</v>
      </c>
      <c r="R204" s="8"/>
      <c r="S204" s="7">
        <f t="shared" si="9"/>
        <v>275503</v>
      </c>
      <c r="T204" s="8"/>
      <c r="U204" s="8">
        <v>5519725</v>
      </c>
      <c r="V204" s="6"/>
      <c r="W204" s="8">
        <v>3123</v>
      </c>
    </row>
    <row r="205" spans="1:24" s="12" customFormat="1" ht="12.75" customHeight="1" x14ac:dyDescent="0.2">
      <c r="A205" s="7" t="s">
        <v>221</v>
      </c>
      <c r="C205" s="7" t="s">
        <v>92</v>
      </c>
      <c r="D205" s="6"/>
      <c r="E205" s="8">
        <v>517618</v>
      </c>
      <c r="F205" s="8"/>
      <c r="G205" s="8">
        <v>3718930</v>
      </c>
      <c r="H205" s="8"/>
      <c r="I205" s="8">
        <v>0</v>
      </c>
      <c r="J205" s="8"/>
      <c r="K205" s="8">
        <v>66770</v>
      </c>
      <c r="L205" s="8"/>
      <c r="M205" s="8">
        <v>512934</v>
      </c>
      <c r="N205" s="8"/>
      <c r="O205" s="8">
        <v>7545</v>
      </c>
      <c r="P205" s="8"/>
      <c r="Q205" s="8">
        <f>186144+12078</f>
        <v>198222</v>
      </c>
      <c r="R205" s="8"/>
      <c r="S205" s="7">
        <f t="shared" si="9"/>
        <v>360824</v>
      </c>
      <c r="T205" s="8"/>
      <c r="U205" s="8">
        <v>5382843</v>
      </c>
      <c r="V205" s="6"/>
      <c r="W205" s="8">
        <v>0</v>
      </c>
    </row>
    <row r="206" spans="1:24" s="12" customFormat="1" ht="12.75" customHeight="1" x14ac:dyDescent="0.2">
      <c r="A206" s="7" t="s">
        <v>74</v>
      </c>
      <c r="C206" s="7" t="s">
        <v>130</v>
      </c>
      <c r="D206" s="6"/>
      <c r="E206" s="8">
        <v>1575787</v>
      </c>
      <c r="F206" s="8"/>
      <c r="G206" s="8">
        <v>6862236</v>
      </c>
      <c r="H206" s="8"/>
      <c r="I206" s="8">
        <f>4763+3737006</f>
        <v>3741769</v>
      </c>
      <c r="J206" s="8"/>
      <c r="K206" s="8">
        <v>788299</v>
      </c>
      <c r="L206" s="8"/>
      <c r="M206" s="8">
        <v>1306090</v>
      </c>
      <c r="N206" s="8"/>
      <c r="O206" s="8">
        <v>0</v>
      </c>
      <c r="P206" s="8"/>
      <c r="Q206" s="8">
        <f>591228+1040206</f>
        <v>1631434</v>
      </c>
      <c r="R206" s="8"/>
      <c r="S206" s="7">
        <f t="shared" si="9"/>
        <v>633573</v>
      </c>
      <c r="T206" s="8"/>
      <c r="U206" s="8">
        <v>16539188</v>
      </c>
      <c r="V206" s="6"/>
      <c r="W206" s="8">
        <v>1161</v>
      </c>
    </row>
    <row r="207" spans="1:24" s="12" customFormat="1" ht="12.75" customHeight="1" x14ac:dyDescent="0.2">
      <c r="A207" s="7" t="s">
        <v>222</v>
      </c>
      <c r="C207" s="7" t="s">
        <v>25</v>
      </c>
      <c r="D207" s="6"/>
      <c r="E207" s="8">
        <v>5857934</v>
      </c>
      <c r="F207" s="8"/>
      <c r="G207" s="8">
        <v>0</v>
      </c>
      <c r="H207" s="8"/>
      <c r="I207" s="8">
        <v>0</v>
      </c>
      <c r="J207" s="8"/>
      <c r="K207" s="8">
        <v>990158</v>
      </c>
      <c r="L207" s="8"/>
      <c r="M207" s="8">
        <v>808388</v>
      </c>
      <c r="N207" s="8"/>
      <c r="O207" s="8">
        <v>0</v>
      </c>
      <c r="P207" s="8"/>
      <c r="Q207" s="8">
        <v>579977</v>
      </c>
      <c r="R207" s="8"/>
      <c r="S207" s="7">
        <f t="shared" si="9"/>
        <v>53416</v>
      </c>
      <c r="T207" s="8"/>
      <c r="U207" s="8">
        <v>8289873</v>
      </c>
      <c r="V207" s="6"/>
      <c r="W207" s="8">
        <f>3769+44</f>
        <v>3813</v>
      </c>
    </row>
    <row r="208" spans="1:24" s="12" customFormat="1" ht="12.75" customHeight="1" x14ac:dyDescent="0.2">
      <c r="A208" s="7" t="s">
        <v>223</v>
      </c>
      <c r="C208" s="7" t="s">
        <v>25</v>
      </c>
      <c r="D208" s="6"/>
      <c r="E208" s="8">
        <v>6345352</v>
      </c>
      <c r="F208" s="8"/>
      <c r="G208" s="8">
        <v>22230968</v>
      </c>
      <c r="H208" s="8"/>
      <c r="I208" s="8">
        <v>48432</v>
      </c>
      <c r="J208" s="8"/>
      <c r="K208" s="8">
        <v>5883731</v>
      </c>
      <c r="L208" s="8"/>
      <c r="M208" s="8">
        <v>4755039</v>
      </c>
      <c r="N208" s="8"/>
      <c r="O208" s="8">
        <v>110410</v>
      </c>
      <c r="P208" s="8"/>
      <c r="Q208" s="8">
        <f>684178+501018</f>
        <v>1185196</v>
      </c>
      <c r="R208" s="8"/>
      <c r="S208" s="7">
        <f t="shared" si="9"/>
        <v>268336</v>
      </c>
      <c r="T208" s="8"/>
      <c r="U208" s="8">
        <v>40827464</v>
      </c>
      <c r="V208" s="6"/>
      <c r="W208" s="8">
        <v>48791</v>
      </c>
      <c r="X208" s="9"/>
    </row>
    <row r="209" spans="1:24" s="12" customFormat="1" ht="12.75" customHeight="1" x14ac:dyDescent="0.2">
      <c r="A209" s="7" t="s">
        <v>224</v>
      </c>
      <c r="C209" s="7" t="s">
        <v>43</v>
      </c>
      <c r="D209" s="6"/>
      <c r="E209" s="8">
        <v>14059366</v>
      </c>
      <c r="F209" s="8"/>
      <c r="G209" s="8">
        <v>0</v>
      </c>
      <c r="H209" s="8"/>
      <c r="I209" s="8">
        <v>0</v>
      </c>
      <c r="J209" s="8"/>
      <c r="K209" s="8">
        <v>390547</v>
      </c>
      <c r="L209" s="8"/>
      <c r="M209" s="8">
        <v>1020684</v>
      </c>
      <c r="N209" s="8"/>
      <c r="O209" s="8">
        <v>0</v>
      </c>
      <c r="P209" s="8"/>
      <c r="Q209" s="8">
        <f>533099+384302</f>
        <v>917401</v>
      </c>
      <c r="R209" s="8"/>
      <c r="S209" s="7">
        <f t="shared" si="9"/>
        <v>292016</v>
      </c>
      <c r="T209" s="8"/>
      <c r="U209" s="8">
        <v>16680014</v>
      </c>
      <c r="V209" s="6"/>
      <c r="W209" s="8">
        <v>0</v>
      </c>
    </row>
    <row r="210" spans="1:24" s="9" customFormat="1" ht="12.75" customHeight="1" x14ac:dyDescent="0.2">
      <c r="A210" s="9" t="s">
        <v>225</v>
      </c>
      <c r="C210" s="9" t="s">
        <v>15</v>
      </c>
      <c r="D210" s="19"/>
      <c r="E210" s="8">
        <v>332747</v>
      </c>
      <c r="F210" s="8"/>
      <c r="G210" s="8">
        <v>1696029</v>
      </c>
      <c r="H210" s="8"/>
      <c r="I210" s="8">
        <v>0</v>
      </c>
      <c r="J210" s="8"/>
      <c r="K210" s="8">
        <v>1018784</v>
      </c>
      <c r="L210" s="8"/>
      <c r="M210" s="8">
        <v>447667</v>
      </c>
      <c r="N210" s="8"/>
      <c r="O210" s="8">
        <v>0</v>
      </c>
      <c r="P210" s="8"/>
      <c r="Q210" s="8">
        <v>186816</v>
      </c>
      <c r="R210" s="8"/>
      <c r="S210" s="7">
        <f t="shared" si="9"/>
        <v>445754</v>
      </c>
      <c r="T210" s="8"/>
      <c r="U210" s="8">
        <v>4127797</v>
      </c>
      <c r="V210" s="6"/>
      <c r="W210" s="8">
        <v>54705</v>
      </c>
    </row>
    <row r="211" spans="1:24" s="12" customFormat="1" ht="12.75" customHeight="1" x14ac:dyDescent="0.2">
      <c r="A211" s="7" t="s">
        <v>226</v>
      </c>
      <c r="C211" s="7" t="s">
        <v>151</v>
      </c>
      <c r="D211" s="6"/>
      <c r="E211" s="8">
        <v>2773675</v>
      </c>
      <c r="F211" s="8"/>
      <c r="G211" s="8">
        <v>0</v>
      </c>
      <c r="H211" s="8"/>
      <c r="I211" s="8">
        <v>0</v>
      </c>
      <c r="J211" s="8"/>
      <c r="K211" s="8">
        <v>418500</v>
      </c>
      <c r="L211" s="8"/>
      <c r="M211" s="8">
        <v>427113</v>
      </c>
      <c r="N211" s="8"/>
      <c r="O211" s="8">
        <v>0</v>
      </c>
      <c r="P211" s="8"/>
      <c r="Q211" s="8">
        <v>247412</v>
      </c>
      <c r="R211" s="8"/>
      <c r="S211" s="7">
        <f t="shared" si="9"/>
        <v>38988</v>
      </c>
      <c r="T211" s="8"/>
      <c r="U211" s="8">
        <v>3905688</v>
      </c>
      <c r="V211" s="6"/>
      <c r="W211" s="8">
        <v>0</v>
      </c>
    </row>
    <row r="212" spans="1:24" s="12" customFormat="1" ht="12.75" customHeight="1" x14ac:dyDescent="0.2">
      <c r="A212" s="7" t="s">
        <v>227</v>
      </c>
      <c r="C212" s="7" t="s">
        <v>226</v>
      </c>
      <c r="D212" s="6"/>
      <c r="E212" s="8">
        <v>11617736</v>
      </c>
      <c r="F212" s="8"/>
      <c r="G212" s="8">
        <v>0</v>
      </c>
      <c r="H212" s="8"/>
      <c r="I212" s="8">
        <v>0</v>
      </c>
      <c r="J212" s="8"/>
      <c r="K212" s="8">
        <v>1384898</v>
      </c>
      <c r="L212" s="8"/>
      <c r="M212" s="8">
        <v>921977</v>
      </c>
      <c r="N212" s="8"/>
      <c r="O212" s="8">
        <v>236034</v>
      </c>
      <c r="P212" s="8"/>
      <c r="Q212" s="8">
        <v>130720</v>
      </c>
      <c r="R212" s="8"/>
      <c r="S212" s="7">
        <f t="shared" si="9"/>
        <v>400022</v>
      </c>
      <c r="T212" s="8"/>
      <c r="U212" s="8">
        <v>14691387</v>
      </c>
      <c r="V212" s="6"/>
      <c r="W212" s="8">
        <v>0</v>
      </c>
    </row>
    <row r="213" spans="1:24" s="9" customFormat="1" ht="12.75" hidden="1" customHeight="1" x14ac:dyDescent="0.2">
      <c r="A213" s="7" t="s">
        <v>228</v>
      </c>
      <c r="B213" s="12"/>
      <c r="C213" s="7" t="s">
        <v>43</v>
      </c>
      <c r="D213" s="6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7">
        <f t="shared" si="9"/>
        <v>0</v>
      </c>
      <c r="T213" s="8"/>
      <c r="U213" s="8"/>
      <c r="V213" s="6"/>
      <c r="W213" s="8">
        <v>0</v>
      </c>
      <c r="X213" s="7"/>
    </row>
    <row r="214" spans="1:24" s="12" customFormat="1" ht="12.75" customHeight="1" x14ac:dyDescent="0.2">
      <c r="A214" s="7" t="s">
        <v>229</v>
      </c>
      <c r="C214" s="7" t="s">
        <v>25</v>
      </c>
      <c r="D214" s="6"/>
      <c r="E214" s="8">
        <v>1344023</v>
      </c>
      <c r="F214" s="8"/>
      <c r="G214" s="8">
        <v>30459010</v>
      </c>
      <c r="H214" s="8"/>
      <c r="I214" s="8">
        <v>0</v>
      </c>
      <c r="J214" s="8"/>
      <c r="K214" s="8">
        <v>1032527</v>
      </c>
      <c r="L214" s="8"/>
      <c r="M214" s="8">
        <v>1686940</v>
      </c>
      <c r="N214" s="8"/>
      <c r="O214" s="8">
        <v>0</v>
      </c>
      <c r="P214" s="8"/>
      <c r="Q214" s="8">
        <f>703582+336749</f>
        <v>1040331</v>
      </c>
      <c r="R214" s="8"/>
      <c r="S214" s="7">
        <f t="shared" si="9"/>
        <v>542546</v>
      </c>
      <c r="T214" s="8"/>
      <c r="U214" s="8">
        <v>36105377</v>
      </c>
      <c r="V214" s="6"/>
      <c r="W214" s="8">
        <v>78100</v>
      </c>
    </row>
    <row r="215" spans="1:24" s="12" customFormat="1" ht="12.75" customHeight="1" x14ac:dyDescent="0.2">
      <c r="A215" s="7" t="s">
        <v>230</v>
      </c>
      <c r="C215" s="7" t="s">
        <v>25</v>
      </c>
      <c r="D215" s="6"/>
      <c r="E215" s="8">
        <v>3737471</v>
      </c>
      <c r="F215" s="8"/>
      <c r="G215" s="8">
        <v>8662240</v>
      </c>
      <c r="H215" s="8"/>
      <c r="I215" s="8">
        <v>0</v>
      </c>
      <c r="J215" s="8"/>
      <c r="K215" s="8">
        <v>639067</v>
      </c>
      <c r="L215" s="8"/>
      <c r="M215" s="8">
        <v>1717985</v>
      </c>
      <c r="N215" s="8"/>
      <c r="O215" s="8">
        <v>47530</v>
      </c>
      <c r="P215" s="8"/>
      <c r="Q215" s="8">
        <f>726128+608966</f>
        <v>1335094</v>
      </c>
      <c r="R215" s="8"/>
      <c r="S215" s="7">
        <f t="shared" si="9"/>
        <v>184195</v>
      </c>
      <c r="T215" s="8"/>
      <c r="U215" s="8">
        <v>16323582</v>
      </c>
      <c r="V215" s="6"/>
      <c r="W215" s="8">
        <v>8278</v>
      </c>
    </row>
    <row r="216" spans="1:24" s="12" customFormat="1" ht="12.75" customHeight="1" x14ac:dyDescent="0.2">
      <c r="A216" s="7" t="s">
        <v>231</v>
      </c>
      <c r="C216" s="7" t="s">
        <v>109</v>
      </c>
      <c r="D216" s="6"/>
      <c r="E216" s="8">
        <v>611985</v>
      </c>
      <c r="F216" s="8"/>
      <c r="G216" s="8">
        <v>7353465</v>
      </c>
      <c r="H216" s="8"/>
      <c r="I216" s="8">
        <v>0</v>
      </c>
      <c r="J216" s="8"/>
      <c r="K216" s="8">
        <v>0</v>
      </c>
      <c r="L216" s="8"/>
      <c r="M216" s="8">
        <v>482388</v>
      </c>
      <c r="N216" s="8"/>
      <c r="O216" s="8">
        <v>21686</v>
      </c>
      <c r="P216" s="8"/>
      <c r="Q216" s="8">
        <v>454212</v>
      </c>
      <c r="R216" s="8"/>
      <c r="S216" s="7">
        <f t="shared" si="9"/>
        <v>280249</v>
      </c>
      <c r="T216" s="8"/>
      <c r="U216" s="8">
        <v>9203985</v>
      </c>
      <c r="V216" s="6"/>
      <c r="W216" s="8">
        <v>22923</v>
      </c>
    </row>
    <row r="217" spans="1:24" s="12" customFormat="1" ht="12.75" customHeight="1" x14ac:dyDescent="0.2">
      <c r="A217" s="7" t="s">
        <v>232</v>
      </c>
      <c r="C217" s="7" t="s">
        <v>43</v>
      </c>
      <c r="D217" s="6"/>
      <c r="E217" s="8">
        <v>1291654</v>
      </c>
      <c r="F217" s="8"/>
      <c r="G217" s="8">
        <v>12671825</v>
      </c>
      <c r="H217" s="8"/>
      <c r="I217" s="8">
        <v>0</v>
      </c>
      <c r="J217" s="8"/>
      <c r="K217" s="8">
        <v>545153</v>
      </c>
      <c r="L217" s="8"/>
      <c r="M217" s="8">
        <v>1180569</v>
      </c>
      <c r="N217" s="8"/>
      <c r="O217" s="8">
        <v>2980</v>
      </c>
      <c r="P217" s="8"/>
      <c r="Q217" s="8">
        <v>361324</v>
      </c>
      <c r="R217" s="8"/>
      <c r="S217" s="7">
        <f t="shared" si="9"/>
        <v>476987</v>
      </c>
      <c r="T217" s="8"/>
      <c r="U217" s="8">
        <v>16530492</v>
      </c>
      <c r="V217" s="6"/>
      <c r="W217" s="8">
        <v>0</v>
      </c>
    </row>
    <row r="218" spans="1:24" s="12" customFormat="1" ht="12.75" customHeight="1" x14ac:dyDescent="0.2">
      <c r="A218" s="7" t="s">
        <v>233</v>
      </c>
      <c r="C218" s="7" t="s">
        <v>181</v>
      </c>
      <c r="D218" s="6"/>
      <c r="E218" s="8">
        <v>0</v>
      </c>
      <c r="F218" s="8"/>
      <c r="G218" s="8">
        <v>25536866</v>
      </c>
      <c r="H218" s="8"/>
      <c r="I218" s="8">
        <f>349471+2759277</f>
        <v>3108748</v>
      </c>
      <c r="J218" s="8"/>
      <c r="K218" s="8">
        <v>1113357</v>
      </c>
      <c r="L218" s="8"/>
      <c r="M218" s="8">
        <v>404356</v>
      </c>
      <c r="N218" s="8"/>
      <c r="O218" s="8">
        <v>0</v>
      </c>
      <c r="P218" s="8"/>
      <c r="Q218" s="8">
        <f>600619+1935397</f>
        <v>2536016</v>
      </c>
      <c r="R218" s="8"/>
      <c r="S218" s="7">
        <f t="shared" si="9"/>
        <v>880933</v>
      </c>
      <c r="T218" s="8"/>
      <c r="U218" s="8">
        <v>33580276</v>
      </c>
      <c r="V218" s="6"/>
      <c r="W218" s="8">
        <v>73231</v>
      </c>
    </row>
    <row r="219" spans="1:24" s="12" customFormat="1" ht="12.75" hidden="1" customHeight="1" x14ac:dyDescent="0.2">
      <c r="A219" s="7" t="s">
        <v>234</v>
      </c>
      <c r="C219" s="7" t="s">
        <v>43</v>
      </c>
      <c r="D219" s="6"/>
      <c r="E219" s="40">
        <v>11529564</v>
      </c>
      <c r="F219" s="40"/>
      <c r="G219" s="40">
        <v>0</v>
      </c>
      <c r="H219" s="40"/>
      <c r="I219" s="40">
        <v>0</v>
      </c>
      <c r="J219" s="40"/>
      <c r="K219" s="40">
        <v>161923</v>
      </c>
      <c r="L219" s="40"/>
      <c r="M219" s="40">
        <v>616545</v>
      </c>
      <c r="N219" s="40"/>
      <c r="O219" s="40">
        <v>0</v>
      </c>
      <c r="P219" s="40"/>
      <c r="Q219" s="40">
        <f>49072+48430</f>
        <v>97502</v>
      </c>
      <c r="R219" s="40"/>
      <c r="S219" s="9">
        <f t="shared" si="9"/>
        <v>382012</v>
      </c>
      <c r="T219" s="40"/>
      <c r="U219" s="40">
        <v>12787546</v>
      </c>
      <c r="V219" s="19"/>
      <c r="W219" s="40">
        <v>19439</v>
      </c>
    </row>
    <row r="220" spans="1:24" s="12" customFormat="1" ht="12.75" hidden="1" customHeight="1" x14ac:dyDescent="0.2">
      <c r="A220" s="7" t="s">
        <v>235</v>
      </c>
      <c r="C220" s="7" t="s">
        <v>31</v>
      </c>
      <c r="D220" s="6"/>
      <c r="E220" s="8">
        <v>446684</v>
      </c>
      <c r="F220" s="8"/>
      <c r="G220" s="8">
        <v>248669</v>
      </c>
      <c r="H220" s="8"/>
      <c r="I220" s="8">
        <v>0</v>
      </c>
      <c r="J220" s="8"/>
      <c r="K220" s="8">
        <v>0</v>
      </c>
      <c r="L220" s="8"/>
      <c r="M220" s="8">
        <v>321487</v>
      </c>
      <c r="N220" s="8"/>
      <c r="O220" s="8">
        <v>0</v>
      </c>
      <c r="P220" s="8"/>
      <c r="Q220" s="8">
        <f>119146+10626</f>
        <v>129772</v>
      </c>
      <c r="R220" s="8"/>
      <c r="S220" s="7">
        <f t="shared" si="9"/>
        <v>67885</v>
      </c>
      <c r="T220" s="8"/>
      <c r="U220" s="8">
        <v>1214497</v>
      </c>
      <c r="V220" s="6"/>
      <c r="W220" s="8">
        <v>0</v>
      </c>
    </row>
    <row r="221" spans="1:24" s="12" customFormat="1" ht="12.75" customHeight="1" x14ac:dyDescent="0.2">
      <c r="A221" s="7" t="s">
        <v>236</v>
      </c>
      <c r="C221" s="7" t="s">
        <v>237</v>
      </c>
      <c r="D221" s="6"/>
      <c r="E221" s="8">
        <v>1222719</v>
      </c>
      <c r="F221" s="8"/>
      <c r="G221" s="8">
        <v>2036237</v>
      </c>
      <c r="H221" s="8"/>
      <c r="I221" s="8">
        <v>0</v>
      </c>
      <c r="J221" s="8"/>
      <c r="K221" s="8">
        <v>489920</v>
      </c>
      <c r="L221" s="8"/>
      <c r="M221" s="8">
        <v>449605</v>
      </c>
      <c r="N221" s="8"/>
      <c r="O221" s="8">
        <v>0</v>
      </c>
      <c r="P221" s="8"/>
      <c r="Q221" s="8">
        <f>13464+107067</f>
        <v>120531</v>
      </c>
      <c r="R221" s="8"/>
      <c r="S221" s="7">
        <f t="shared" si="9"/>
        <v>144419</v>
      </c>
      <c r="T221" s="8"/>
      <c r="U221" s="8">
        <v>4463431</v>
      </c>
      <c r="V221" s="6"/>
      <c r="W221" s="8">
        <v>9682</v>
      </c>
    </row>
    <row r="222" spans="1:24" s="12" customFormat="1" ht="12.75" customHeight="1" x14ac:dyDescent="0.2">
      <c r="A222" s="7" t="s">
        <v>480</v>
      </c>
      <c r="C222" s="7" t="s">
        <v>247</v>
      </c>
      <c r="D222" s="6"/>
      <c r="E222" s="8">
        <v>1221333</v>
      </c>
      <c r="F222" s="8"/>
      <c r="G222" s="8">
        <v>8071018</v>
      </c>
      <c r="H222" s="8"/>
      <c r="I222" s="8">
        <v>0</v>
      </c>
      <c r="J222" s="8"/>
      <c r="K222" s="8">
        <v>76308</v>
      </c>
      <c r="L222" s="8"/>
      <c r="M222" s="8">
        <v>1471508</v>
      </c>
      <c r="N222" s="8"/>
      <c r="O222" s="8">
        <v>0</v>
      </c>
      <c r="P222" s="8"/>
      <c r="Q222" s="8">
        <f>775096+322927</f>
        <v>1098023</v>
      </c>
      <c r="R222" s="8"/>
      <c r="S222" s="7">
        <f t="shared" si="9"/>
        <v>231593</v>
      </c>
      <c r="T222" s="8"/>
      <c r="U222" s="8">
        <v>12169783</v>
      </c>
      <c r="V222" s="6"/>
      <c r="W222" s="8">
        <f>1363+24995</f>
        <v>26358</v>
      </c>
    </row>
    <row r="223" spans="1:24" s="12" customFormat="1" ht="12.75" customHeight="1" x14ac:dyDescent="0.2">
      <c r="A223" s="7" t="s">
        <v>238</v>
      </c>
      <c r="C223" s="7" t="s">
        <v>11</v>
      </c>
      <c r="D223" s="6"/>
      <c r="E223" s="8">
        <v>4579344</v>
      </c>
      <c r="F223" s="8"/>
      <c r="G223" s="8">
        <v>9270721</v>
      </c>
      <c r="H223" s="8"/>
      <c r="I223" s="8">
        <v>0</v>
      </c>
      <c r="J223" s="8"/>
      <c r="K223" s="8">
        <v>424318</v>
      </c>
      <c r="L223" s="8"/>
      <c r="M223" s="8">
        <v>2808356</v>
      </c>
      <c r="N223" s="8"/>
      <c r="O223" s="8">
        <v>9678</v>
      </c>
      <c r="P223" s="8"/>
      <c r="Q223" s="8">
        <f>832976+2445762</f>
        <v>3278738</v>
      </c>
      <c r="R223" s="8"/>
      <c r="S223" s="7">
        <f t="shared" si="9"/>
        <v>492059</v>
      </c>
      <c r="T223" s="8"/>
      <c r="U223" s="8">
        <v>20863214</v>
      </c>
      <c r="V223" s="6"/>
      <c r="W223" s="8">
        <v>173000</v>
      </c>
    </row>
    <row r="224" spans="1:24" s="12" customFormat="1" ht="12.75" customHeight="1" x14ac:dyDescent="0.2">
      <c r="A224" s="7" t="s">
        <v>239</v>
      </c>
      <c r="C224" s="7" t="s">
        <v>20</v>
      </c>
      <c r="D224" s="6"/>
      <c r="E224" s="8">
        <v>1192999</v>
      </c>
      <c r="F224" s="8"/>
      <c r="G224" s="8">
        <v>8414224</v>
      </c>
      <c r="H224" s="8"/>
      <c r="I224" s="8">
        <v>0</v>
      </c>
      <c r="J224" s="8"/>
      <c r="K224" s="8">
        <v>211756</v>
      </c>
      <c r="L224" s="8"/>
      <c r="M224" s="8">
        <v>342946</v>
      </c>
      <c r="N224" s="8"/>
      <c r="O224" s="8">
        <v>0</v>
      </c>
      <c r="P224" s="8"/>
      <c r="Q224" s="8">
        <f>539174+95198</f>
        <v>634372</v>
      </c>
      <c r="R224" s="8"/>
      <c r="S224" s="7">
        <f t="shared" si="9"/>
        <v>419415</v>
      </c>
      <c r="T224" s="8"/>
      <c r="U224" s="8">
        <v>11215712</v>
      </c>
      <c r="V224" s="6"/>
      <c r="W224" s="8">
        <v>750000</v>
      </c>
    </row>
    <row r="225" spans="1:25" s="12" customFormat="1" ht="12.75" customHeight="1" x14ac:dyDescent="0.2">
      <c r="A225" s="7" t="s">
        <v>240</v>
      </c>
      <c r="C225" s="7" t="s">
        <v>25</v>
      </c>
      <c r="D225" s="6"/>
      <c r="E225" s="8">
        <v>422891</v>
      </c>
      <c r="F225" s="8"/>
      <c r="G225" s="8">
        <v>26358439</v>
      </c>
      <c r="H225" s="8"/>
      <c r="I225" s="8">
        <v>181064</v>
      </c>
      <c r="J225" s="8"/>
      <c r="K225" s="8">
        <v>325424</v>
      </c>
      <c r="L225" s="8"/>
      <c r="M225" s="8">
        <v>2160676</v>
      </c>
      <c r="N225" s="8"/>
      <c r="O225" s="8">
        <v>0</v>
      </c>
      <c r="P225" s="8"/>
      <c r="Q225" s="8">
        <f>740049+635010</f>
        <v>1375059</v>
      </c>
      <c r="R225" s="8"/>
      <c r="S225" s="7">
        <f t="shared" si="9"/>
        <v>282191</v>
      </c>
      <c r="T225" s="8"/>
      <c r="U225" s="8">
        <v>31105744</v>
      </c>
      <c r="V225" s="6"/>
      <c r="W225" s="8">
        <v>46262</v>
      </c>
    </row>
    <row r="226" spans="1:25" s="12" customFormat="1" ht="12.75" customHeight="1" x14ac:dyDescent="0.2">
      <c r="A226" s="7" t="s">
        <v>510</v>
      </c>
      <c r="C226" s="7" t="s">
        <v>59</v>
      </c>
      <c r="D226" s="6"/>
      <c r="E226" s="8">
        <v>3060116</v>
      </c>
      <c r="F226" s="8"/>
      <c r="G226" s="8">
        <v>0</v>
      </c>
      <c r="H226" s="8"/>
      <c r="I226" s="8">
        <v>0</v>
      </c>
      <c r="J226" s="8"/>
      <c r="K226" s="8">
        <v>5427</v>
      </c>
      <c r="L226" s="8"/>
      <c r="M226" s="8">
        <v>259537</v>
      </c>
      <c r="N226" s="8"/>
      <c r="O226" s="8">
        <v>0</v>
      </c>
      <c r="P226" s="8"/>
      <c r="Q226" s="8">
        <v>430921</v>
      </c>
      <c r="R226" s="8"/>
      <c r="S226" s="7">
        <f t="shared" ref="S226" si="10">U226-E226-G226-K226-M226-O226-Q226-I226</f>
        <v>175425</v>
      </c>
      <c r="T226" s="8"/>
      <c r="U226" s="8">
        <v>3931426</v>
      </c>
      <c r="V226" s="6"/>
      <c r="W226" s="8">
        <f>3700+10000</f>
        <v>13700</v>
      </c>
    </row>
    <row r="227" spans="1:25" s="12" customFormat="1" ht="12.75" customHeight="1" x14ac:dyDescent="0.2">
      <c r="A227" s="7" t="s">
        <v>241</v>
      </c>
      <c r="C227" s="7" t="s">
        <v>161</v>
      </c>
      <c r="D227" s="6"/>
      <c r="E227" s="8">
        <v>931601</v>
      </c>
      <c r="F227" s="8"/>
      <c r="G227" s="8">
        <v>7316027</v>
      </c>
      <c r="H227" s="8"/>
      <c r="I227" s="8">
        <v>0</v>
      </c>
      <c r="J227" s="8"/>
      <c r="K227" s="8">
        <v>509189</v>
      </c>
      <c r="L227" s="8"/>
      <c r="M227" s="8">
        <v>1684118</v>
      </c>
      <c r="N227" s="8"/>
      <c r="O227" s="8">
        <v>0</v>
      </c>
      <c r="P227" s="8"/>
      <c r="Q227" s="8">
        <f>338589+840396</f>
        <v>1178985</v>
      </c>
      <c r="R227" s="8"/>
      <c r="S227" s="7">
        <f t="shared" ref="S227:S240" si="11">U227-E227-G227-K227-M227-O227-Q227-I227</f>
        <v>335112</v>
      </c>
      <c r="T227" s="8"/>
      <c r="U227" s="8">
        <v>11955032</v>
      </c>
      <c r="V227" s="6"/>
      <c r="W227" s="8">
        <v>5080000</v>
      </c>
    </row>
    <row r="228" spans="1:25" s="12" customFormat="1" ht="12.75" customHeight="1" x14ac:dyDescent="0.2">
      <c r="A228" s="7" t="s">
        <v>242</v>
      </c>
      <c r="C228" s="7" t="s">
        <v>11</v>
      </c>
      <c r="D228" s="6"/>
      <c r="E228" s="8">
        <v>679328</v>
      </c>
      <c r="F228" s="8"/>
      <c r="G228" s="8">
        <v>8359821</v>
      </c>
      <c r="H228" s="8"/>
      <c r="I228" s="8">
        <v>0</v>
      </c>
      <c r="J228" s="8"/>
      <c r="K228" s="8">
        <v>1750240</v>
      </c>
      <c r="L228" s="8"/>
      <c r="M228" s="8">
        <v>1918447</v>
      </c>
      <c r="N228" s="8"/>
      <c r="O228" s="8">
        <v>13727</v>
      </c>
      <c r="P228" s="8"/>
      <c r="Q228" s="8">
        <v>403752</v>
      </c>
      <c r="R228" s="8"/>
      <c r="S228" s="7">
        <f t="shared" si="11"/>
        <v>114813</v>
      </c>
      <c r="T228" s="8"/>
      <c r="U228" s="8">
        <v>13240128</v>
      </c>
      <c r="V228" s="6"/>
      <c r="W228" s="8">
        <v>0</v>
      </c>
    </row>
    <row r="229" spans="1:25" s="9" customFormat="1" ht="12.75" customHeight="1" x14ac:dyDescent="0.2">
      <c r="A229" s="7" t="s">
        <v>243</v>
      </c>
      <c r="B229" s="12"/>
      <c r="C229" s="7" t="s">
        <v>108</v>
      </c>
      <c r="D229" s="6"/>
      <c r="E229" s="8">
        <v>782723</v>
      </c>
      <c r="F229" s="8"/>
      <c r="G229" s="8">
        <v>7277841</v>
      </c>
      <c r="H229" s="8"/>
      <c r="I229" s="8">
        <v>0</v>
      </c>
      <c r="J229" s="8"/>
      <c r="K229" s="8">
        <v>569178</v>
      </c>
      <c r="L229" s="8"/>
      <c r="M229" s="8">
        <v>876144</v>
      </c>
      <c r="N229" s="8"/>
      <c r="O229" s="8">
        <v>0</v>
      </c>
      <c r="P229" s="8"/>
      <c r="Q229" s="8">
        <f>41151+280334</f>
        <v>321485</v>
      </c>
      <c r="R229" s="8"/>
      <c r="S229" s="7">
        <f t="shared" si="11"/>
        <v>295089</v>
      </c>
      <c r="T229" s="8"/>
      <c r="U229" s="8">
        <v>10122460</v>
      </c>
      <c r="V229" s="6"/>
      <c r="W229" s="8">
        <v>0</v>
      </c>
    </row>
    <row r="230" spans="1:25" s="12" customFormat="1" ht="12.75" customHeight="1" x14ac:dyDescent="0.2">
      <c r="A230" s="7" t="s">
        <v>244</v>
      </c>
      <c r="C230" s="7" t="s">
        <v>207</v>
      </c>
      <c r="D230" s="6"/>
      <c r="E230" s="8">
        <v>2931362</v>
      </c>
      <c r="F230" s="8"/>
      <c r="G230" s="8">
        <v>0</v>
      </c>
      <c r="H230" s="8"/>
      <c r="I230" s="8">
        <v>0</v>
      </c>
      <c r="J230" s="8"/>
      <c r="K230" s="8">
        <v>1459768</v>
      </c>
      <c r="L230" s="8"/>
      <c r="M230" s="8">
        <v>1099054</v>
      </c>
      <c r="N230" s="8"/>
      <c r="O230" s="8">
        <v>360</v>
      </c>
      <c r="P230" s="8"/>
      <c r="Q230" s="8">
        <f>63444+14627</f>
        <v>78071</v>
      </c>
      <c r="R230" s="8"/>
      <c r="S230" s="7">
        <f t="shared" si="11"/>
        <v>360847</v>
      </c>
      <c r="T230" s="8"/>
      <c r="U230" s="8">
        <v>5929462</v>
      </c>
      <c r="V230" s="6"/>
      <c r="W230" s="8">
        <v>0</v>
      </c>
    </row>
    <row r="231" spans="1:25" s="12" customFormat="1" ht="12.75" hidden="1" customHeight="1" x14ac:dyDescent="0.2">
      <c r="A231" s="7" t="s">
        <v>245</v>
      </c>
      <c r="C231" s="7" t="s">
        <v>161</v>
      </c>
      <c r="D231" s="6"/>
      <c r="E231" s="8">
        <v>11381000</v>
      </c>
      <c r="F231" s="8"/>
      <c r="G231" s="8">
        <v>158523000</v>
      </c>
      <c r="H231" s="8"/>
      <c r="I231" s="8">
        <v>0</v>
      </c>
      <c r="J231" s="8"/>
      <c r="K231" s="8">
        <v>26132000</v>
      </c>
      <c r="L231" s="8"/>
      <c r="M231" s="8">
        <v>20828000</v>
      </c>
      <c r="N231" s="8"/>
      <c r="O231" s="8">
        <v>0</v>
      </c>
      <c r="P231" s="8"/>
      <c r="Q231" s="8">
        <f>6715000+2264000</f>
        <v>8979000</v>
      </c>
      <c r="R231" s="8"/>
      <c r="S231" s="7">
        <f t="shared" si="11"/>
        <v>685000</v>
      </c>
      <c r="T231" s="8"/>
      <c r="U231" s="8">
        <v>226528000</v>
      </c>
      <c r="V231" s="6"/>
      <c r="W231" s="8">
        <f>10456000+25000</f>
        <v>10481000</v>
      </c>
      <c r="X231" s="10"/>
      <c r="Y231" s="10"/>
    </row>
    <row r="232" spans="1:25" s="12" customFormat="1" ht="12.75" customHeight="1" x14ac:dyDescent="0.2">
      <c r="A232" s="7" t="s">
        <v>246</v>
      </c>
      <c r="C232" s="7" t="s">
        <v>247</v>
      </c>
      <c r="D232" s="6"/>
      <c r="E232" s="8">
        <v>112301</v>
      </c>
      <c r="F232" s="8"/>
      <c r="G232" s="8">
        <v>2526998</v>
      </c>
      <c r="H232" s="8"/>
      <c r="I232" s="8">
        <v>0</v>
      </c>
      <c r="J232" s="8"/>
      <c r="K232" s="8">
        <v>0</v>
      </c>
      <c r="L232" s="8"/>
      <c r="M232" s="8">
        <v>169959</v>
      </c>
      <c r="N232" s="8"/>
      <c r="O232" s="8">
        <v>0</v>
      </c>
      <c r="P232" s="8"/>
      <c r="Q232" s="8">
        <f>36492+59170</f>
        <v>95662</v>
      </c>
      <c r="R232" s="8"/>
      <c r="S232" s="7">
        <f t="shared" si="11"/>
        <v>18381</v>
      </c>
      <c r="T232" s="8"/>
      <c r="U232" s="8">
        <v>2923301</v>
      </c>
      <c r="V232" s="6"/>
      <c r="W232" s="8">
        <v>0</v>
      </c>
    </row>
    <row r="233" spans="1:25" s="12" customFormat="1" ht="12.75" customHeight="1" x14ac:dyDescent="0.2">
      <c r="A233" s="7" t="s">
        <v>248</v>
      </c>
      <c r="C233" s="7" t="s">
        <v>101</v>
      </c>
      <c r="D233" s="6"/>
      <c r="E233" s="8">
        <v>479927</v>
      </c>
      <c r="F233" s="8"/>
      <c r="G233" s="8">
        <v>1499191</v>
      </c>
      <c r="H233" s="8"/>
      <c r="I233" s="8">
        <v>0</v>
      </c>
      <c r="J233" s="8"/>
      <c r="K233" s="8">
        <v>151297</v>
      </c>
      <c r="L233" s="8"/>
      <c r="M233" s="8">
        <v>440339</v>
      </c>
      <c r="N233" s="8"/>
      <c r="O233" s="8">
        <v>82755</v>
      </c>
      <c r="P233" s="8"/>
      <c r="Q233" s="8">
        <f>110963+146678</f>
        <v>257641</v>
      </c>
      <c r="R233" s="8"/>
      <c r="S233" s="7">
        <f t="shared" si="11"/>
        <v>192428</v>
      </c>
      <c r="T233" s="8"/>
      <c r="U233" s="8">
        <v>3103578</v>
      </c>
      <c r="V233" s="6"/>
      <c r="W233" s="8">
        <v>0</v>
      </c>
    </row>
    <row r="234" spans="1:25" s="12" customFormat="1" ht="12.75" customHeight="1" x14ac:dyDescent="0.2">
      <c r="A234" s="7" t="s">
        <v>249</v>
      </c>
      <c r="C234" s="7" t="s">
        <v>64</v>
      </c>
      <c r="D234" s="6"/>
      <c r="E234" s="8">
        <v>6390071</v>
      </c>
      <c r="F234" s="8"/>
      <c r="G234" s="8">
        <v>0</v>
      </c>
      <c r="H234" s="8"/>
      <c r="I234" s="8">
        <v>0</v>
      </c>
      <c r="J234" s="8"/>
      <c r="K234" s="8">
        <v>316144</v>
      </c>
      <c r="L234" s="8"/>
      <c r="M234" s="8">
        <v>1245821</v>
      </c>
      <c r="N234" s="8"/>
      <c r="O234" s="8">
        <v>74905</v>
      </c>
      <c r="P234" s="8"/>
      <c r="Q234" s="8">
        <v>459703</v>
      </c>
      <c r="R234" s="8"/>
      <c r="S234" s="7">
        <f t="shared" si="11"/>
        <v>383738</v>
      </c>
      <c r="T234" s="8"/>
      <c r="U234" s="8">
        <v>8870382</v>
      </c>
      <c r="V234" s="6"/>
      <c r="W234" s="8">
        <f>232257+1831724+25000</f>
        <v>2088981</v>
      </c>
    </row>
    <row r="235" spans="1:25" s="12" customFormat="1" ht="12.75" customHeight="1" x14ac:dyDescent="0.2">
      <c r="A235" s="7" t="s">
        <v>250</v>
      </c>
      <c r="C235" s="7" t="s">
        <v>207</v>
      </c>
      <c r="D235" s="6"/>
      <c r="E235" s="8">
        <v>17775100</v>
      </c>
      <c r="F235" s="8"/>
      <c r="G235" s="8">
        <v>0</v>
      </c>
      <c r="H235" s="8"/>
      <c r="I235" s="8">
        <v>0</v>
      </c>
      <c r="J235" s="8"/>
      <c r="K235" s="8">
        <v>3446056</v>
      </c>
      <c r="L235" s="8"/>
      <c r="M235" s="8">
        <v>1289005</v>
      </c>
      <c r="N235" s="8"/>
      <c r="O235" s="8">
        <v>1866</v>
      </c>
      <c r="P235" s="8"/>
      <c r="Q235" s="8">
        <v>65453</v>
      </c>
      <c r="R235" s="8"/>
      <c r="S235" s="7">
        <f t="shared" si="11"/>
        <v>1024006</v>
      </c>
      <c r="T235" s="8"/>
      <c r="U235" s="8">
        <v>23601486</v>
      </c>
      <c r="V235" s="6"/>
      <c r="W235" s="8">
        <v>64803</v>
      </c>
    </row>
    <row r="236" spans="1:25" s="12" customFormat="1" ht="12.75" hidden="1" customHeight="1" x14ac:dyDescent="0.2">
      <c r="A236" s="7" t="s">
        <v>251</v>
      </c>
      <c r="C236" s="7" t="s">
        <v>11</v>
      </c>
      <c r="D236" s="6"/>
      <c r="E236" s="8">
        <v>0</v>
      </c>
      <c r="F236" s="8"/>
      <c r="G236" s="8">
        <v>19945248</v>
      </c>
      <c r="H236" s="8"/>
      <c r="I236" s="8">
        <v>119445</v>
      </c>
      <c r="J236" s="8"/>
      <c r="K236" s="8">
        <v>1360371</v>
      </c>
      <c r="L236" s="8"/>
      <c r="M236" s="8">
        <v>1008483</v>
      </c>
      <c r="N236" s="8"/>
      <c r="O236" s="8">
        <v>0</v>
      </c>
      <c r="P236" s="8"/>
      <c r="Q236" s="8">
        <f>313924+108670</f>
        <v>422594</v>
      </c>
      <c r="R236" s="8"/>
      <c r="S236" s="7">
        <f t="shared" si="11"/>
        <v>678330</v>
      </c>
      <c r="T236" s="8"/>
      <c r="U236" s="8">
        <v>23534471</v>
      </c>
      <c r="V236" s="6"/>
      <c r="W236" s="8">
        <v>0</v>
      </c>
    </row>
    <row r="237" spans="1:25" s="12" customFormat="1" ht="12.75" customHeight="1" x14ac:dyDescent="0.2">
      <c r="A237" s="7" t="s">
        <v>252</v>
      </c>
      <c r="C237" s="7" t="s">
        <v>87</v>
      </c>
      <c r="D237" s="6"/>
      <c r="E237" s="8">
        <v>249987</v>
      </c>
      <c r="F237" s="8"/>
      <c r="G237" s="8">
        <v>977127</v>
      </c>
      <c r="H237" s="8"/>
      <c r="I237" s="8">
        <v>0</v>
      </c>
      <c r="J237" s="8"/>
      <c r="K237" s="8">
        <v>21635</v>
      </c>
      <c r="L237" s="8"/>
      <c r="M237" s="8">
        <v>223175</v>
      </c>
      <c r="N237" s="8"/>
      <c r="O237" s="8">
        <v>0</v>
      </c>
      <c r="P237" s="8"/>
      <c r="Q237" s="8">
        <f>20225+64598</f>
        <v>84823</v>
      </c>
      <c r="R237" s="8"/>
      <c r="S237" s="7">
        <f t="shared" si="11"/>
        <v>8978</v>
      </c>
      <c r="T237" s="8"/>
      <c r="U237" s="8">
        <v>1565725</v>
      </c>
      <c r="V237" s="6"/>
      <c r="W237" s="8">
        <v>0</v>
      </c>
    </row>
    <row r="238" spans="1:25" s="12" customFormat="1" ht="12.75" customHeight="1" x14ac:dyDescent="0.2">
      <c r="A238" s="7" t="s">
        <v>157</v>
      </c>
      <c r="C238" s="7" t="s">
        <v>64</v>
      </c>
      <c r="D238" s="6"/>
      <c r="E238" s="8">
        <v>154652</v>
      </c>
      <c r="F238" s="8"/>
      <c r="G238" s="8">
        <v>473308</v>
      </c>
      <c r="H238" s="8"/>
      <c r="I238" s="8">
        <v>0</v>
      </c>
      <c r="J238" s="8"/>
      <c r="K238" s="8">
        <v>90946</v>
      </c>
      <c r="L238" s="8"/>
      <c r="M238" s="8">
        <v>193096</v>
      </c>
      <c r="N238" s="8"/>
      <c r="O238" s="8">
        <v>0</v>
      </c>
      <c r="P238" s="8"/>
      <c r="Q238" s="8">
        <v>26063</v>
      </c>
      <c r="R238" s="8"/>
      <c r="S238" s="7">
        <f t="shared" si="11"/>
        <v>76326</v>
      </c>
      <c r="T238" s="8"/>
      <c r="U238" s="8">
        <v>1014391</v>
      </c>
      <c r="V238" s="6"/>
      <c r="W238" s="8">
        <v>342</v>
      </c>
    </row>
    <row r="239" spans="1:25" s="12" customFormat="1" ht="12.75" customHeight="1" x14ac:dyDescent="0.2">
      <c r="A239" s="7" t="s">
        <v>253</v>
      </c>
      <c r="C239" s="7" t="s">
        <v>25</v>
      </c>
      <c r="D239" s="6"/>
      <c r="E239" s="8">
        <v>2193289</v>
      </c>
      <c r="F239" s="8"/>
      <c r="G239" s="8">
        <v>8532988</v>
      </c>
      <c r="H239" s="8"/>
      <c r="I239" s="8">
        <v>145968</v>
      </c>
      <c r="J239" s="8"/>
      <c r="K239" s="8">
        <v>526393</v>
      </c>
      <c r="L239" s="8"/>
      <c r="M239" s="8">
        <v>1304473</v>
      </c>
      <c r="N239" s="8"/>
      <c r="O239" s="8">
        <v>38536</v>
      </c>
      <c r="P239" s="8"/>
      <c r="Q239" s="8">
        <v>596128</v>
      </c>
      <c r="R239" s="8"/>
      <c r="S239" s="7">
        <f t="shared" si="11"/>
        <v>68243</v>
      </c>
      <c r="T239" s="8"/>
      <c r="U239" s="8">
        <v>13406018</v>
      </c>
      <c r="V239" s="6"/>
      <c r="W239" s="8">
        <v>19281</v>
      </c>
    </row>
    <row r="240" spans="1:25" s="9" customFormat="1" ht="12.75" customHeight="1" x14ac:dyDescent="0.2">
      <c r="A240" s="7" t="s">
        <v>254</v>
      </c>
      <c r="B240" s="12"/>
      <c r="C240" s="7" t="s">
        <v>41</v>
      </c>
      <c r="D240" s="6"/>
      <c r="E240" s="8">
        <v>8061863</v>
      </c>
      <c r="F240" s="8"/>
      <c r="G240" s="8">
        <v>15317626</v>
      </c>
      <c r="H240" s="8"/>
      <c r="I240" s="8">
        <v>8511996</v>
      </c>
      <c r="J240" s="8"/>
      <c r="K240" s="8">
        <v>1719597</v>
      </c>
      <c r="L240" s="8"/>
      <c r="M240" s="8">
        <v>2623741</v>
      </c>
      <c r="N240" s="8"/>
      <c r="O240" s="8">
        <v>0</v>
      </c>
      <c r="P240" s="8"/>
      <c r="Q240" s="8">
        <f>876732+338863</f>
        <v>1215595</v>
      </c>
      <c r="R240" s="8"/>
      <c r="S240" s="7">
        <f t="shared" si="11"/>
        <v>2177725</v>
      </c>
      <c r="T240" s="8"/>
      <c r="U240" s="8">
        <v>39628143</v>
      </c>
      <c r="V240" s="6"/>
      <c r="W240" s="7">
        <v>65411</v>
      </c>
    </row>
    <row r="241" spans="1:23" s="12" customFormat="1" ht="12.75" customHeight="1" x14ac:dyDescent="0.2">
      <c r="A241" s="7" t="s">
        <v>467</v>
      </c>
      <c r="C241" s="7"/>
      <c r="D241" s="6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7"/>
      <c r="T241" s="8"/>
      <c r="U241" s="8"/>
      <c r="V241" s="6"/>
      <c r="W241" s="11" t="s">
        <v>478</v>
      </c>
    </row>
    <row r="242" spans="1:23" s="12" customFormat="1" ht="12.75" customHeight="1" x14ac:dyDescent="0.2">
      <c r="A242" s="7" t="s">
        <v>255</v>
      </c>
      <c r="B242" s="7"/>
      <c r="C242" s="7" t="s">
        <v>256</v>
      </c>
      <c r="D242" s="7"/>
      <c r="E242" s="40">
        <v>275872</v>
      </c>
      <c r="F242" s="40"/>
      <c r="G242" s="40">
        <v>2573975</v>
      </c>
      <c r="H242" s="40"/>
      <c r="I242" s="40">
        <v>0</v>
      </c>
      <c r="J242" s="40"/>
      <c r="K242" s="40">
        <v>84681</v>
      </c>
      <c r="L242" s="40"/>
      <c r="M242" s="40">
        <v>435179</v>
      </c>
      <c r="N242" s="40"/>
      <c r="O242" s="40">
        <v>0</v>
      </c>
      <c r="P242" s="40"/>
      <c r="Q242" s="40">
        <f>67481+621674</f>
        <v>689155</v>
      </c>
      <c r="R242" s="40"/>
      <c r="S242" s="9">
        <f t="shared" ref="S242:S256" si="12">U242-E242-G242-K242-M242-O242-Q242-I242</f>
        <v>40189</v>
      </c>
      <c r="T242" s="40"/>
      <c r="U242" s="40">
        <v>4099051</v>
      </c>
      <c r="V242" s="19"/>
      <c r="W242" s="40">
        <v>25000</v>
      </c>
    </row>
    <row r="243" spans="1:23" s="12" customFormat="1" ht="12.75" customHeight="1" x14ac:dyDescent="0.2">
      <c r="A243" s="7" t="s">
        <v>257</v>
      </c>
      <c r="C243" s="7" t="s">
        <v>258</v>
      </c>
      <c r="D243" s="6"/>
      <c r="E243" s="8">
        <v>433877</v>
      </c>
      <c r="F243" s="8"/>
      <c r="G243" s="8">
        <v>3098844</v>
      </c>
      <c r="H243" s="8"/>
      <c r="I243" s="8">
        <v>0</v>
      </c>
      <c r="J243" s="8"/>
      <c r="K243" s="8">
        <v>774938</v>
      </c>
      <c r="L243" s="8"/>
      <c r="M243" s="8">
        <v>611762</v>
      </c>
      <c r="N243" s="8"/>
      <c r="O243" s="8">
        <v>0</v>
      </c>
      <c r="P243" s="8"/>
      <c r="Q243" s="8">
        <v>725295</v>
      </c>
      <c r="R243" s="8"/>
      <c r="S243" s="7">
        <f t="shared" si="12"/>
        <v>143106</v>
      </c>
      <c r="T243" s="8"/>
      <c r="U243" s="8">
        <v>5787822</v>
      </c>
      <c r="V243" s="6"/>
      <c r="W243" s="8">
        <v>0</v>
      </c>
    </row>
    <row r="244" spans="1:23" s="12" customFormat="1" ht="12.75" customHeight="1" x14ac:dyDescent="0.2">
      <c r="A244" s="7" t="s">
        <v>259</v>
      </c>
      <c r="C244" s="7" t="s">
        <v>64</v>
      </c>
      <c r="D244" s="6"/>
      <c r="E244" s="8">
        <v>1533779</v>
      </c>
      <c r="F244" s="8"/>
      <c r="G244" s="8">
        <v>12554400</v>
      </c>
      <c r="H244" s="8"/>
      <c r="I244" s="8">
        <v>0</v>
      </c>
      <c r="J244" s="8"/>
      <c r="K244" s="8">
        <v>3040636</v>
      </c>
      <c r="L244" s="8"/>
      <c r="M244" s="8">
        <v>1610101</v>
      </c>
      <c r="N244" s="8"/>
      <c r="O244" s="8">
        <v>0</v>
      </c>
      <c r="P244" s="8"/>
      <c r="Q244" s="8">
        <f>136018+1230258</f>
        <v>1366276</v>
      </c>
      <c r="R244" s="8"/>
      <c r="S244" s="7">
        <f t="shared" si="12"/>
        <v>271137</v>
      </c>
      <c r="T244" s="8"/>
      <c r="U244" s="8">
        <v>20376329</v>
      </c>
      <c r="V244" s="6"/>
      <c r="W244" s="8">
        <v>0</v>
      </c>
    </row>
    <row r="245" spans="1:23" s="12" customFormat="1" ht="12.75" customHeight="1" x14ac:dyDescent="0.2">
      <c r="A245" s="7" t="s">
        <v>260</v>
      </c>
      <c r="C245" s="7" t="s">
        <v>130</v>
      </c>
      <c r="D245" s="6"/>
      <c r="E245" s="8">
        <v>1906623</v>
      </c>
      <c r="F245" s="8"/>
      <c r="G245" s="8">
        <v>1455330</v>
      </c>
      <c r="H245" s="8"/>
      <c r="I245" s="8">
        <v>2452</v>
      </c>
      <c r="J245" s="8"/>
      <c r="K245" s="8">
        <v>118230</v>
      </c>
      <c r="L245" s="8"/>
      <c r="M245" s="8">
        <v>887222</v>
      </c>
      <c r="N245" s="8"/>
      <c r="O245" s="8">
        <v>0</v>
      </c>
      <c r="P245" s="8"/>
      <c r="Q245" s="8">
        <f>311955+364766</f>
        <v>676721</v>
      </c>
      <c r="R245" s="8"/>
      <c r="S245" s="7">
        <f t="shared" si="12"/>
        <v>524590</v>
      </c>
      <c r="T245" s="8"/>
      <c r="U245" s="8">
        <v>5571168</v>
      </c>
      <c r="V245" s="6"/>
      <c r="W245" s="8">
        <v>0</v>
      </c>
    </row>
    <row r="246" spans="1:23" s="12" customFormat="1" ht="12.75" customHeight="1" x14ac:dyDescent="0.2">
      <c r="A246" s="7" t="s">
        <v>497</v>
      </c>
      <c r="B246" s="10"/>
      <c r="C246" s="7" t="s">
        <v>43</v>
      </c>
      <c r="D246" s="6"/>
      <c r="E246" s="8">
        <v>709502</v>
      </c>
      <c r="F246" s="8"/>
      <c r="G246" s="8">
        <v>6153772</v>
      </c>
      <c r="H246" s="8"/>
      <c r="I246" s="8">
        <v>0</v>
      </c>
      <c r="J246" s="8"/>
      <c r="K246" s="8">
        <v>464954</v>
      </c>
      <c r="L246" s="8"/>
      <c r="M246" s="8">
        <v>2030333</v>
      </c>
      <c r="N246" s="8"/>
      <c r="O246" s="8">
        <v>0</v>
      </c>
      <c r="P246" s="8"/>
      <c r="Q246" s="8">
        <f>3300+21038</f>
        <v>24338</v>
      </c>
      <c r="R246" s="8"/>
      <c r="S246" s="7">
        <f t="shared" si="12"/>
        <v>144250</v>
      </c>
      <c r="T246" s="8"/>
      <c r="U246" s="8">
        <v>9527149</v>
      </c>
      <c r="V246" s="6"/>
      <c r="W246" s="8">
        <v>0</v>
      </c>
    </row>
    <row r="247" spans="1:23" s="12" customFormat="1" ht="12.75" customHeight="1" x14ac:dyDescent="0.2">
      <c r="A247" s="7" t="s">
        <v>261</v>
      </c>
      <c r="C247" s="7" t="s">
        <v>51</v>
      </c>
      <c r="D247" s="6"/>
      <c r="E247" s="8">
        <v>982977</v>
      </c>
      <c r="F247" s="8"/>
      <c r="G247" s="8">
        <v>4600000</v>
      </c>
      <c r="H247" s="8"/>
      <c r="I247" s="8">
        <v>115400</v>
      </c>
      <c r="J247" s="8"/>
      <c r="K247" s="8">
        <v>319394</v>
      </c>
      <c r="L247" s="8"/>
      <c r="M247" s="8">
        <v>2395368</v>
      </c>
      <c r="N247" s="8"/>
      <c r="O247" s="8">
        <v>10613</v>
      </c>
      <c r="P247" s="8"/>
      <c r="Q247" s="8">
        <f>401863+504036</f>
        <v>905899</v>
      </c>
      <c r="R247" s="8"/>
      <c r="S247" s="7">
        <f t="shared" si="12"/>
        <v>159493</v>
      </c>
      <c r="T247" s="8"/>
      <c r="U247" s="8">
        <v>9489144</v>
      </c>
      <c r="V247" s="6"/>
      <c r="W247" s="8">
        <f>787193+500</f>
        <v>787693</v>
      </c>
    </row>
    <row r="248" spans="1:23" s="12" customFormat="1" ht="12.75" customHeight="1" x14ac:dyDescent="0.2">
      <c r="A248" s="7" t="s">
        <v>262</v>
      </c>
      <c r="C248" s="7" t="s">
        <v>237</v>
      </c>
      <c r="D248" s="6"/>
      <c r="E248" s="8">
        <v>371688</v>
      </c>
      <c r="F248" s="8"/>
      <c r="G248" s="8">
        <v>2262379</v>
      </c>
      <c r="H248" s="8"/>
      <c r="I248" s="8">
        <v>651985</v>
      </c>
      <c r="J248" s="8"/>
      <c r="K248" s="8">
        <v>748184</v>
      </c>
      <c r="L248" s="8"/>
      <c r="M248" s="8">
        <v>425302</v>
      </c>
      <c r="N248" s="8"/>
      <c r="O248" s="8">
        <v>0</v>
      </c>
      <c r="P248" s="8"/>
      <c r="Q248" s="8">
        <f>87538+11922</f>
        <v>99460</v>
      </c>
      <c r="R248" s="8"/>
      <c r="S248" s="7">
        <f t="shared" si="12"/>
        <v>96922</v>
      </c>
      <c r="T248" s="8"/>
      <c r="U248" s="8">
        <v>4655920</v>
      </c>
      <c r="V248" s="6"/>
      <c r="W248" s="8">
        <v>0</v>
      </c>
    </row>
    <row r="249" spans="1:23" s="12" customFormat="1" ht="12.75" customHeight="1" x14ac:dyDescent="0.2">
      <c r="A249" s="7" t="s">
        <v>109</v>
      </c>
      <c r="C249" s="7" t="s">
        <v>78</v>
      </c>
      <c r="D249" s="6"/>
      <c r="E249" s="8">
        <v>0</v>
      </c>
      <c r="F249" s="8"/>
      <c r="G249" s="8">
        <v>17080705</v>
      </c>
      <c r="H249" s="8"/>
      <c r="I249" s="8">
        <v>0</v>
      </c>
      <c r="J249" s="8"/>
      <c r="K249" s="8">
        <v>2056824</v>
      </c>
      <c r="L249" s="8"/>
      <c r="M249" s="8">
        <v>3955753</v>
      </c>
      <c r="N249" s="8"/>
      <c r="O249" s="8">
        <v>0</v>
      </c>
      <c r="P249" s="8"/>
      <c r="Q249" s="8">
        <f>2154131+1189724</f>
        <v>3343855</v>
      </c>
      <c r="R249" s="8"/>
      <c r="S249" s="7">
        <f t="shared" si="12"/>
        <v>660660</v>
      </c>
      <c r="T249" s="8"/>
      <c r="U249" s="8">
        <v>27097797</v>
      </c>
      <c r="V249" s="6"/>
      <c r="W249" s="8">
        <f>580000+14159</f>
        <v>594159</v>
      </c>
    </row>
    <row r="250" spans="1:23" s="12" customFormat="1" ht="12.75" hidden="1" customHeight="1" x14ac:dyDescent="0.2">
      <c r="A250" s="7" t="s">
        <v>263</v>
      </c>
      <c r="C250" s="7" t="s">
        <v>25</v>
      </c>
      <c r="D250" s="6"/>
      <c r="E250" s="8">
        <v>435001</v>
      </c>
      <c r="F250" s="8"/>
      <c r="G250" s="8">
        <v>13326443</v>
      </c>
      <c r="H250" s="8"/>
      <c r="I250" s="8">
        <v>263982</v>
      </c>
      <c r="J250" s="8"/>
      <c r="K250" s="8">
        <v>414744</v>
      </c>
      <c r="L250" s="8"/>
      <c r="M250" s="8">
        <v>1039910</v>
      </c>
      <c r="N250" s="8"/>
      <c r="O250" s="8">
        <v>0</v>
      </c>
      <c r="P250" s="8"/>
      <c r="Q250" s="8">
        <f>348133+597017</f>
        <v>945150</v>
      </c>
      <c r="R250" s="8"/>
      <c r="S250" s="7">
        <f t="shared" si="12"/>
        <v>78353</v>
      </c>
      <c r="T250" s="8"/>
      <c r="U250" s="8">
        <v>16503583</v>
      </c>
      <c r="V250" s="6"/>
      <c r="W250" s="8">
        <f>705826+474500+14235</f>
        <v>1194561</v>
      </c>
    </row>
    <row r="251" spans="1:23" s="12" customFormat="1" ht="12.75" customHeight="1" x14ac:dyDescent="0.2">
      <c r="A251" s="7" t="s">
        <v>500</v>
      </c>
      <c r="C251" s="10" t="s">
        <v>448</v>
      </c>
      <c r="D251" s="6"/>
      <c r="E251" s="8">
        <v>334641</v>
      </c>
      <c r="F251" s="8"/>
      <c r="G251" s="8">
        <v>3546810</v>
      </c>
      <c r="H251" s="8"/>
      <c r="I251" s="8">
        <v>0</v>
      </c>
      <c r="J251" s="8"/>
      <c r="K251" s="8">
        <v>951857</v>
      </c>
      <c r="L251" s="8"/>
      <c r="M251" s="8">
        <v>1035978</v>
      </c>
      <c r="N251" s="8"/>
      <c r="O251" s="8">
        <v>0</v>
      </c>
      <c r="P251" s="8"/>
      <c r="Q251" s="8">
        <v>501527</v>
      </c>
      <c r="R251" s="8"/>
      <c r="S251" s="7">
        <f t="shared" si="12"/>
        <v>319596</v>
      </c>
      <c r="T251" s="8"/>
      <c r="U251" s="8">
        <v>6690409</v>
      </c>
      <c r="V251" s="6"/>
      <c r="W251" s="8">
        <v>0</v>
      </c>
    </row>
    <row r="252" spans="1:23" s="12" customFormat="1" ht="12.75" customHeight="1" x14ac:dyDescent="0.2">
      <c r="A252" s="7" t="s">
        <v>499</v>
      </c>
      <c r="B252" s="10"/>
      <c r="C252" s="7" t="s">
        <v>161</v>
      </c>
      <c r="D252" s="6"/>
      <c r="E252" s="8">
        <v>356201</v>
      </c>
      <c r="F252" s="8"/>
      <c r="G252" s="8">
        <v>1872651</v>
      </c>
      <c r="H252" s="8"/>
      <c r="I252" s="8">
        <v>0</v>
      </c>
      <c r="J252" s="8"/>
      <c r="K252" s="8">
        <v>314494</v>
      </c>
      <c r="L252" s="8"/>
      <c r="M252" s="8">
        <v>411186</v>
      </c>
      <c r="N252" s="8"/>
      <c r="O252" s="8">
        <v>0</v>
      </c>
      <c r="P252" s="8"/>
      <c r="Q252" s="8">
        <f>49493+12594</f>
        <v>62087</v>
      </c>
      <c r="R252" s="8"/>
      <c r="S252" s="7">
        <f t="shared" si="12"/>
        <v>152007</v>
      </c>
      <c r="T252" s="8"/>
      <c r="U252" s="8">
        <v>3168626</v>
      </c>
      <c r="V252" s="6"/>
      <c r="W252" s="8">
        <v>0</v>
      </c>
    </row>
    <row r="253" spans="1:23" s="12" customFormat="1" ht="12.75" customHeight="1" x14ac:dyDescent="0.2">
      <c r="A253" s="7" t="s">
        <v>264</v>
      </c>
      <c r="C253" s="7" t="s">
        <v>265</v>
      </c>
      <c r="D253" s="6"/>
      <c r="E253" s="8">
        <v>2775739</v>
      </c>
      <c r="F253" s="8"/>
      <c r="G253" s="8">
        <v>0</v>
      </c>
      <c r="H253" s="8"/>
      <c r="I253" s="8">
        <v>0</v>
      </c>
      <c r="J253" s="8"/>
      <c r="K253" s="8">
        <v>535356</v>
      </c>
      <c r="L253" s="8"/>
      <c r="M253" s="8">
        <v>383814</v>
      </c>
      <c r="N253" s="8"/>
      <c r="O253" s="8">
        <v>0</v>
      </c>
      <c r="P253" s="8"/>
      <c r="Q253" s="8">
        <f>7479+26762</f>
        <v>34241</v>
      </c>
      <c r="R253" s="8"/>
      <c r="S253" s="7">
        <f t="shared" si="12"/>
        <v>139909</v>
      </c>
      <c r="T253" s="8"/>
      <c r="U253" s="8">
        <v>3869059</v>
      </c>
      <c r="V253" s="6"/>
      <c r="W253" s="8">
        <v>46272</v>
      </c>
    </row>
    <row r="254" spans="1:23" s="12" customFormat="1" ht="12.75" hidden="1" customHeight="1" x14ac:dyDescent="0.2">
      <c r="A254" s="7" t="s">
        <v>266</v>
      </c>
      <c r="C254" s="7" t="s">
        <v>267</v>
      </c>
      <c r="D254" s="6"/>
      <c r="E254" s="8">
        <v>1364956</v>
      </c>
      <c r="F254" s="8"/>
      <c r="G254" s="8">
        <v>0</v>
      </c>
      <c r="H254" s="8"/>
      <c r="I254" s="8">
        <v>0</v>
      </c>
      <c r="J254" s="8"/>
      <c r="K254" s="8">
        <v>0</v>
      </c>
      <c r="L254" s="8"/>
      <c r="M254" s="8">
        <v>210549</v>
      </c>
      <c r="N254" s="8"/>
      <c r="O254" s="8">
        <v>0</v>
      </c>
      <c r="P254" s="8"/>
      <c r="Q254" s="8">
        <f>10791+104261</f>
        <v>115052</v>
      </c>
      <c r="R254" s="8"/>
      <c r="S254" s="7">
        <f t="shared" si="12"/>
        <v>47443</v>
      </c>
      <c r="T254" s="8"/>
      <c r="U254" s="8">
        <v>1738000</v>
      </c>
      <c r="V254" s="6"/>
      <c r="W254" s="8">
        <v>0</v>
      </c>
    </row>
    <row r="255" spans="1:23" s="12" customFormat="1" ht="12.75" customHeight="1" x14ac:dyDescent="0.2">
      <c r="A255" s="7" t="s">
        <v>268</v>
      </c>
      <c r="C255" s="7" t="s">
        <v>134</v>
      </c>
      <c r="D255" s="6"/>
      <c r="E255" s="8">
        <v>170634</v>
      </c>
      <c r="F255" s="8"/>
      <c r="G255" s="8">
        <v>1093600</v>
      </c>
      <c r="H255" s="8"/>
      <c r="I255" s="8">
        <v>0</v>
      </c>
      <c r="J255" s="8"/>
      <c r="K255" s="8">
        <v>6523</v>
      </c>
      <c r="L255" s="8"/>
      <c r="M255" s="8">
        <v>189786</v>
      </c>
      <c r="N255" s="8"/>
      <c r="O255" s="8">
        <v>0</v>
      </c>
      <c r="P255" s="8"/>
      <c r="Q255" s="8">
        <f>31167+4000</f>
        <v>35167</v>
      </c>
      <c r="R255" s="8"/>
      <c r="S255" s="7">
        <f t="shared" si="12"/>
        <v>112985</v>
      </c>
      <c r="T255" s="8"/>
      <c r="U255" s="8">
        <v>1608695</v>
      </c>
      <c r="V255" s="6"/>
      <c r="W255" s="8">
        <v>0</v>
      </c>
    </row>
    <row r="256" spans="1:23" s="12" customFormat="1" ht="12.75" customHeight="1" x14ac:dyDescent="0.2">
      <c r="A256" s="7" t="s">
        <v>269</v>
      </c>
      <c r="C256" s="7" t="s">
        <v>64</v>
      </c>
      <c r="D256" s="6"/>
      <c r="E256" s="8">
        <v>0</v>
      </c>
      <c r="F256" s="8"/>
      <c r="G256" s="8">
        <v>4917784</v>
      </c>
      <c r="H256" s="8"/>
      <c r="I256" s="8">
        <v>0</v>
      </c>
      <c r="J256" s="8"/>
      <c r="K256" s="8">
        <v>343365</v>
      </c>
      <c r="L256" s="8"/>
      <c r="M256" s="8">
        <v>385460</v>
      </c>
      <c r="N256" s="8"/>
      <c r="O256" s="8">
        <v>34920</v>
      </c>
      <c r="P256" s="8"/>
      <c r="Q256" s="8">
        <f>286398+58426</f>
        <v>344824</v>
      </c>
      <c r="R256" s="8"/>
      <c r="S256" s="7">
        <f t="shared" si="12"/>
        <v>284152</v>
      </c>
      <c r="T256" s="8"/>
      <c r="U256" s="8">
        <v>6310505</v>
      </c>
      <c r="V256" s="6"/>
      <c r="W256" s="8">
        <v>0</v>
      </c>
    </row>
    <row r="257" spans="1:23" s="12" customFormat="1" ht="12.75" customHeight="1" x14ac:dyDescent="0.2">
      <c r="A257" s="7" t="s">
        <v>270</v>
      </c>
      <c r="C257" s="7" t="s">
        <v>41</v>
      </c>
      <c r="D257" s="6"/>
      <c r="E257" s="8">
        <v>2873581</v>
      </c>
      <c r="F257" s="8"/>
      <c r="G257" s="8">
        <v>26953741</v>
      </c>
      <c r="H257" s="8"/>
      <c r="I257" s="8">
        <v>505166</v>
      </c>
      <c r="J257" s="8"/>
      <c r="K257" s="8">
        <v>79769</v>
      </c>
      <c r="L257" s="8"/>
      <c r="M257" s="8">
        <v>4886259</v>
      </c>
      <c r="N257" s="8"/>
      <c r="O257" s="8">
        <v>0</v>
      </c>
      <c r="P257" s="8"/>
      <c r="Q257" s="8">
        <f>810450+548257</f>
        <v>1358707</v>
      </c>
      <c r="R257" s="8"/>
      <c r="S257" s="7">
        <f>U257-E257-G257-K257-M257-O257-Q257-I257</f>
        <v>931561</v>
      </c>
      <c r="T257" s="8"/>
      <c r="U257" s="8">
        <v>37588784</v>
      </c>
      <c r="V257" s="6"/>
      <c r="W257" s="7">
        <f>2599+2667</f>
        <v>5266</v>
      </c>
    </row>
    <row r="258" spans="1:23" s="12" customFormat="1" ht="12.75" customHeight="1" x14ac:dyDescent="0.2">
      <c r="A258" s="7" t="s">
        <v>271</v>
      </c>
      <c r="C258" s="7" t="s">
        <v>25</v>
      </c>
      <c r="D258" s="6"/>
      <c r="E258" s="8">
        <v>9504855</v>
      </c>
      <c r="F258" s="8"/>
      <c r="G258" s="8">
        <v>14387924</v>
      </c>
      <c r="H258" s="8"/>
      <c r="I258" s="8">
        <f>184553+483446+573198</f>
        <v>1241197</v>
      </c>
      <c r="J258" s="8"/>
      <c r="K258" s="8">
        <v>450557</v>
      </c>
      <c r="L258" s="8"/>
      <c r="M258" s="8">
        <v>3510817</v>
      </c>
      <c r="N258" s="8"/>
      <c r="O258" s="8">
        <v>0</v>
      </c>
      <c r="P258" s="8"/>
      <c r="Q258" s="8">
        <f>579329+261048</f>
        <v>840377</v>
      </c>
      <c r="R258" s="8"/>
      <c r="S258" s="7">
        <f t="shared" ref="S258:S271" si="13">U258-E258-G258-K258-M258-O258-Q258-I258</f>
        <v>641079</v>
      </c>
      <c r="T258" s="8"/>
      <c r="U258" s="8">
        <v>30576806</v>
      </c>
      <c r="V258" s="6"/>
      <c r="W258" s="8">
        <f>33963+2334</f>
        <v>36297</v>
      </c>
    </row>
    <row r="259" spans="1:23" s="12" customFormat="1" ht="12.75" customHeight="1" x14ac:dyDescent="0.2">
      <c r="A259" s="7" t="s">
        <v>272</v>
      </c>
      <c r="C259" s="7" t="s">
        <v>41</v>
      </c>
      <c r="D259" s="6"/>
      <c r="E259" s="8">
        <v>336771</v>
      </c>
      <c r="F259" s="8"/>
      <c r="G259" s="8">
        <v>21297923</v>
      </c>
      <c r="H259" s="8"/>
      <c r="I259" s="8">
        <v>0</v>
      </c>
      <c r="J259" s="8"/>
      <c r="K259" s="8">
        <v>214861</v>
      </c>
      <c r="L259" s="8"/>
      <c r="M259" s="8">
        <v>1166035</v>
      </c>
      <c r="N259" s="8"/>
      <c r="O259" s="8">
        <v>146237</v>
      </c>
      <c r="P259" s="8"/>
      <c r="Q259" s="8">
        <f>426689+239928</f>
        <v>666617</v>
      </c>
      <c r="R259" s="8"/>
      <c r="S259" s="7">
        <f t="shared" si="13"/>
        <v>894375</v>
      </c>
      <c r="T259" s="8"/>
      <c r="U259" s="8">
        <v>24722819</v>
      </c>
      <c r="V259" s="6"/>
      <c r="W259" s="8">
        <v>8811</v>
      </c>
    </row>
    <row r="260" spans="1:23" s="12" customFormat="1" ht="12.75" customHeight="1" x14ac:dyDescent="0.2">
      <c r="A260" s="7" t="s">
        <v>273</v>
      </c>
      <c r="C260" s="7" t="s">
        <v>90</v>
      </c>
      <c r="D260" s="6"/>
      <c r="E260" s="8">
        <v>1327444</v>
      </c>
      <c r="F260" s="8"/>
      <c r="G260" s="8">
        <v>7572610</v>
      </c>
      <c r="H260" s="8"/>
      <c r="I260" s="8">
        <f>228893+1331386</f>
        <v>1560279</v>
      </c>
      <c r="J260" s="8"/>
      <c r="K260" s="8">
        <v>374596</v>
      </c>
      <c r="L260" s="8"/>
      <c r="M260" s="8">
        <v>197142</v>
      </c>
      <c r="N260" s="8"/>
      <c r="O260" s="8">
        <v>0</v>
      </c>
      <c r="P260" s="8"/>
      <c r="Q260" s="8">
        <f>443250+132391</f>
        <v>575641</v>
      </c>
      <c r="R260" s="8"/>
      <c r="S260" s="7">
        <f t="shared" si="13"/>
        <v>175829</v>
      </c>
      <c r="T260" s="8"/>
      <c r="U260" s="8">
        <v>11783541</v>
      </c>
      <c r="V260" s="6"/>
      <c r="W260" s="8">
        <v>0</v>
      </c>
    </row>
    <row r="261" spans="1:23" s="9" customFormat="1" ht="12.75" customHeight="1" x14ac:dyDescent="0.2">
      <c r="A261" s="7" t="s">
        <v>274</v>
      </c>
      <c r="B261" s="12"/>
      <c r="C261" s="7" t="s">
        <v>36</v>
      </c>
      <c r="D261" s="6"/>
      <c r="E261" s="8">
        <v>240463</v>
      </c>
      <c r="F261" s="8"/>
      <c r="G261" s="8">
        <v>1848046</v>
      </c>
      <c r="H261" s="8"/>
      <c r="I261" s="8">
        <v>0</v>
      </c>
      <c r="J261" s="8"/>
      <c r="K261" s="8">
        <v>560666</v>
      </c>
      <c r="L261" s="8"/>
      <c r="M261" s="8">
        <v>287931</v>
      </c>
      <c r="N261" s="8"/>
      <c r="O261" s="8">
        <v>0</v>
      </c>
      <c r="P261" s="8"/>
      <c r="Q261" s="8">
        <f>48269+27503</f>
        <v>75772</v>
      </c>
      <c r="R261" s="8"/>
      <c r="S261" s="7">
        <f t="shared" si="13"/>
        <v>91806</v>
      </c>
      <c r="T261" s="8"/>
      <c r="U261" s="8">
        <v>3104684</v>
      </c>
      <c r="V261" s="6"/>
      <c r="W261" s="8">
        <v>2955</v>
      </c>
    </row>
    <row r="262" spans="1:23" s="12" customFormat="1" ht="12.75" customHeight="1" x14ac:dyDescent="0.2">
      <c r="A262" s="7" t="s">
        <v>275</v>
      </c>
      <c r="C262" s="7" t="s">
        <v>90</v>
      </c>
      <c r="D262" s="6"/>
      <c r="E262" s="8">
        <v>1869468</v>
      </c>
      <c r="F262" s="8"/>
      <c r="G262" s="8">
        <v>16115830</v>
      </c>
      <c r="H262" s="8"/>
      <c r="I262" s="8">
        <v>0</v>
      </c>
      <c r="J262" s="8"/>
      <c r="K262" s="8">
        <v>1392883</v>
      </c>
      <c r="L262" s="8"/>
      <c r="M262" s="8">
        <v>2096901</v>
      </c>
      <c r="N262" s="8"/>
      <c r="O262" s="8">
        <v>0</v>
      </c>
      <c r="P262" s="8"/>
      <c r="Q262" s="8">
        <f>2045443+249476</f>
        <v>2294919</v>
      </c>
      <c r="R262" s="8"/>
      <c r="S262" s="7">
        <f t="shared" si="13"/>
        <v>85106</v>
      </c>
      <c r="T262" s="8"/>
      <c r="U262" s="8">
        <v>23855107</v>
      </c>
      <c r="V262" s="6"/>
      <c r="W262" s="8">
        <v>0</v>
      </c>
    </row>
    <row r="263" spans="1:23" s="12" customFormat="1" ht="12.75" customHeight="1" x14ac:dyDescent="0.2">
      <c r="A263" s="7" t="s">
        <v>276</v>
      </c>
      <c r="C263" s="7" t="s">
        <v>90</v>
      </c>
      <c r="D263" s="6"/>
      <c r="E263" s="8">
        <v>563573</v>
      </c>
      <c r="F263" s="8"/>
      <c r="G263" s="8">
        <v>3502060</v>
      </c>
      <c r="H263" s="8"/>
      <c r="I263" s="8">
        <f>54019+102039</f>
        <v>156058</v>
      </c>
      <c r="J263" s="8"/>
      <c r="K263" s="8">
        <v>90197</v>
      </c>
      <c r="L263" s="8"/>
      <c r="M263" s="8">
        <v>563756</v>
      </c>
      <c r="N263" s="8"/>
      <c r="O263" s="8">
        <v>0</v>
      </c>
      <c r="P263" s="8"/>
      <c r="Q263" s="8">
        <f>233900+2199387</f>
        <v>2433287</v>
      </c>
      <c r="R263" s="8"/>
      <c r="S263" s="7">
        <f t="shared" si="13"/>
        <v>247017</v>
      </c>
      <c r="T263" s="8"/>
      <c r="U263" s="8">
        <v>7555948</v>
      </c>
      <c r="V263" s="6"/>
      <c r="W263" s="8">
        <v>11510</v>
      </c>
    </row>
    <row r="264" spans="1:23" s="12" customFormat="1" ht="12.75" customHeight="1" x14ac:dyDescent="0.2">
      <c r="A264" s="7" t="s">
        <v>277</v>
      </c>
      <c r="C264" s="7" t="s">
        <v>90</v>
      </c>
      <c r="D264" s="6"/>
      <c r="E264" s="8">
        <v>2224578</v>
      </c>
      <c r="F264" s="8"/>
      <c r="G264" s="8">
        <v>2440181</v>
      </c>
      <c r="H264" s="8"/>
      <c r="I264" s="8">
        <v>223840</v>
      </c>
      <c r="J264" s="8"/>
      <c r="K264" s="8">
        <v>422006</v>
      </c>
      <c r="L264" s="8"/>
      <c r="M264" s="8">
        <v>1581393</v>
      </c>
      <c r="N264" s="8"/>
      <c r="O264" s="8">
        <v>0</v>
      </c>
      <c r="P264" s="8"/>
      <c r="Q264" s="8">
        <f>353510+69010</f>
        <v>422520</v>
      </c>
      <c r="R264" s="8"/>
      <c r="S264" s="7">
        <f t="shared" si="13"/>
        <v>67958</v>
      </c>
      <c r="T264" s="8"/>
      <c r="U264" s="8">
        <v>7382476</v>
      </c>
      <c r="V264" s="6"/>
      <c r="W264" s="8">
        <v>3853</v>
      </c>
    </row>
    <row r="265" spans="1:23" s="12" customFormat="1" ht="12.75" customHeight="1" x14ac:dyDescent="0.2">
      <c r="A265" s="7" t="s">
        <v>278</v>
      </c>
      <c r="C265" s="7" t="s">
        <v>279</v>
      </c>
      <c r="D265" s="6"/>
      <c r="E265" s="8">
        <v>393589</v>
      </c>
      <c r="F265" s="8"/>
      <c r="G265" s="8">
        <v>4048488</v>
      </c>
      <c r="H265" s="8"/>
      <c r="I265" s="8">
        <v>0</v>
      </c>
      <c r="J265" s="8"/>
      <c r="K265" s="8">
        <v>1678030</v>
      </c>
      <c r="L265" s="8"/>
      <c r="M265" s="8">
        <v>1769704</v>
      </c>
      <c r="N265" s="8"/>
      <c r="O265" s="8">
        <v>80882</v>
      </c>
      <c r="P265" s="8"/>
      <c r="Q265" s="8">
        <f>39271+660496</f>
        <v>699767</v>
      </c>
      <c r="R265" s="8"/>
      <c r="S265" s="7">
        <f t="shared" si="13"/>
        <v>197410</v>
      </c>
      <c r="T265" s="8"/>
      <c r="U265" s="8">
        <v>8867870</v>
      </c>
      <c r="V265" s="6"/>
      <c r="W265" s="8">
        <v>14495</v>
      </c>
    </row>
    <row r="266" spans="1:23" s="12" customFormat="1" ht="12.75" customHeight="1" x14ac:dyDescent="0.2">
      <c r="A266" s="7" t="s">
        <v>280</v>
      </c>
      <c r="C266" s="7" t="s">
        <v>197</v>
      </c>
      <c r="D266" s="6"/>
      <c r="E266" s="8">
        <v>13463255</v>
      </c>
      <c r="F266" s="8"/>
      <c r="G266" s="8">
        <v>0</v>
      </c>
      <c r="H266" s="8"/>
      <c r="I266" s="8">
        <v>0</v>
      </c>
      <c r="J266" s="8"/>
      <c r="K266" s="8">
        <v>1416353</v>
      </c>
      <c r="L266" s="8"/>
      <c r="M266" s="8">
        <v>1098338</v>
      </c>
      <c r="N266" s="8"/>
      <c r="O266" s="8">
        <v>0</v>
      </c>
      <c r="P266" s="8"/>
      <c r="Q266" s="8">
        <v>536585</v>
      </c>
      <c r="R266" s="8"/>
      <c r="S266" s="7">
        <f t="shared" si="13"/>
        <v>1588121</v>
      </c>
      <c r="T266" s="8"/>
      <c r="U266" s="8">
        <v>18102652</v>
      </c>
      <c r="V266" s="6"/>
      <c r="W266" s="8">
        <v>0</v>
      </c>
    </row>
    <row r="267" spans="1:23" s="12" customFormat="1" ht="12.75" customHeight="1" x14ac:dyDescent="0.2">
      <c r="A267" s="7" t="s">
        <v>281</v>
      </c>
      <c r="C267" s="7" t="s">
        <v>41</v>
      </c>
      <c r="D267" s="6"/>
      <c r="E267" s="8">
        <v>2250062</v>
      </c>
      <c r="F267" s="8"/>
      <c r="G267" s="8">
        <v>18319812</v>
      </c>
      <c r="H267" s="8"/>
      <c r="I267" s="8">
        <v>185760</v>
      </c>
      <c r="J267" s="8"/>
      <c r="K267" s="8">
        <v>2409700</v>
      </c>
      <c r="L267" s="8"/>
      <c r="M267" s="8">
        <v>2088047</v>
      </c>
      <c r="N267" s="8"/>
      <c r="O267" s="8">
        <v>34422</v>
      </c>
      <c r="P267" s="8"/>
      <c r="Q267" s="8">
        <f>437632+181126</f>
        <v>618758</v>
      </c>
      <c r="R267" s="8"/>
      <c r="S267" s="7">
        <f t="shared" si="13"/>
        <v>247573</v>
      </c>
      <c r="T267" s="8"/>
      <c r="U267" s="8">
        <v>26154134</v>
      </c>
      <c r="V267" s="6"/>
      <c r="W267" s="8">
        <v>100000</v>
      </c>
    </row>
    <row r="268" spans="1:23" s="12" customFormat="1" ht="12.75" customHeight="1" x14ac:dyDescent="0.2">
      <c r="A268" s="7" t="s">
        <v>282</v>
      </c>
      <c r="C268" s="7" t="s">
        <v>43</v>
      </c>
      <c r="D268" s="6"/>
      <c r="E268" s="8">
        <v>6650808</v>
      </c>
      <c r="F268" s="8"/>
      <c r="G268" s="8">
        <v>0</v>
      </c>
      <c r="H268" s="8"/>
      <c r="I268" s="8">
        <v>0</v>
      </c>
      <c r="J268" s="8"/>
      <c r="K268" s="8">
        <v>1005976</v>
      </c>
      <c r="L268" s="8"/>
      <c r="M268" s="8">
        <v>1784764</v>
      </c>
      <c r="N268" s="8"/>
      <c r="O268" s="8">
        <v>0</v>
      </c>
      <c r="P268" s="8"/>
      <c r="Q268" s="8">
        <v>84938</v>
      </c>
      <c r="R268" s="8"/>
      <c r="S268" s="7">
        <f t="shared" si="13"/>
        <v>188637</v>
      </c>
      <c r="T268" s="8"/>
      <c r="U268" s="8">
        <v>9715123</v>
      </c>
      <c r="V268" s="6"/>
      <c r="W268" s="8">
        <v>0</v>
      </c>
    </row>
    <row r="269" spans="1:23" s="12" customFormat="1" ht="12.75" customHeight="1" x14ac:dyDescent="0.2">
      <c r="A269" s="7" t="s">
        <v>283</v>
      </c>
      <c r="C269" s="7" t="s">
        <v>28</v>
      </c>
      <c r="D269" s="6"/>
      <c r="E269" s="8">
        <v>0</v>
      </c>
      <c r="F269" s="8"/>
      <c r="G269" s="8">
        <v>5114701</v>
      </c>
      <c r="H269" s="8"/>
      <c r="I269" s="8">
        <v>1434388</v>
      </c>
      <c r="J269" s="8"/>
      <c r="K269" s="8">
        <v>33694</v>
      </c>
      <c r="L269" s="8"/>
      <c r="M269" s="8">
        <v>1196980</v>
      </c>
      <c r="N269" s="8"/>
      <c r="O269" s="8">
        <v>0</v>
      </c>
      <c r="P269" s="8"/>
      <c r="Q269" s="8">
        <v>1025997</v>
      </c>
      <c r="R269" s="8"/>
      <c r="S269" s="7">
        <f t="shared" si="13"/>
        <v>442453</v>
      </c>
      <c r="T269" s="8"/>
      <c r="U269" s="8">
        <v>9248213</v>
      </c>
      <c r="V269" s="6"/>
      <c r="W269" s="8">
        <v>0</v>
      </c>
    </row>
    <row r="270" spans="1:23" s="12" customFormat="1" ht="12.75" customHeight="1" x14ac:dyDescent="0.2">
      <c r="A270" s="7" t="s">
        <v>284</v>
      </c>
      <c r="C270" s="7" t="s">
        <v>59</v>
      </c>
      <c r="D270" s="6"/>
      <c r="E270" s="8">
        <v>0</v>
      </c>
      <c r="F270" s="8"/>
      <c r="G270" s="8">
        <v>24766180</v>
      </c>
      <c r="H270" s="8"/>
      <c r="I270" s="8">
        <f>604675+389132</f>
        <v>993807</v>
      </c>
      <c r="J270" s="8"/>
      <c r="K270" s="8">
        <v>7330891</v>
      </c>
      <c r="L270" s="8"/>
      <c r="M270" s="8">
        <v>4308242</v>
      </c>
      <c r="N270" s="8"/>
      <c r="O270" s="8">
        <v>0</v>
      </c>
      <c r="P270" s="8"/>
      <c r="Q270" s="8">
        <f>584926+684412</f>
        <v>1269338</v>
      </c>
      <c r="R270" s="8"/>
      <c r="S270" s="7">
        <f t="shared" si="13"/>
        <v>509964</v>
      </c>
      <c r="T270" s="8"/>
      <c r="U270" s="8">
        <v>39178422</v>
      </c>
      <c r="V270" s="6"/>
      <c r="W270" s="8">
        <f>316+270870</f>
        <v>271186</v>
      </c>
    </row>
    <row r="271" spans="1:23" s="7" customFormat="1" ht="12.75" customHeight="1" x14ac:dyDescent="0.2">
      <c r="A271" s="7" t="s">
        <v>285</v>
      </c>
      <c r="B271" s="12"/>
      <c r="C271" s="7" t="s">
        <v>286</v>
      </c>
      <c r="D271" s="6"/>
      <c r="E271" s="8">
        <v>946510</v>
      </c>
      <c r="F271" s="8"/>
      <c r="G271" s="8">
        <v>7835221</v>
      </c>
      <c r="H271" s="8"/>
      <c r="I271" s="8">
        <v>328500</v>
      </c>
      <c r="J271" s="8"/>
      <c r="K271" s="8">
        <v>762235</v>
      </c>
      <c r="L271" s="8"/>
      <c r="M271" s="8">
        <v>2986812</v>
      </c>
      <c r="N271" s="8"/>
      <c r="O271" s="8">
        <v>0</v>
      </c>
      <c r="P271" s="8"/>
      <c r="Q271" s="8">
        <v>374657</v>
      </c>
      <c r="R271" s="8"/>
      <c r="S271" s="7">
        <f t="shared" si="13"/>
        <v>505623</v>
      </c>
      <c r="T271" s="8"/>
      <c r="U271" s="8">
        <v>13739558</v>
      </c>
      <c r="V271" s="6"/>
      <c r="W271" s="8">
        <v>1748</v>
      </c>
    </row>
    <row r="272" spans="1:23" s="12" customFormat="1" ht="12.75" customHeight="1" x14ac:dyDescent="0.2">
      <c r="A272" s="7" t="s">
        <v>467</v>
      </c>
      <c r="C272" s="7"/>
      <c r="D272" s="6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8"/>
      <c r="R272" s="7"/>
      <c r="S272" s="7"/>
      <c r="T272" s="8"/>
      <c r="U272" s="11"/>
    </row>
    <row r="274" spans="4:22" s="12" customFormat="1" ht="12.75" customHeight="1" x14ac:dyDescent="0.2">
      <c r="D274" s="10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11"/>
    </row>
    <row r="275" spans="4:22" s="12" customFormat="1" ht="12.75" customHeight="1" x14ac:dyDescent="0.2"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11"/>
    </row>
    <row r="276" spans="4:22" s="12" customFormat="1" ht="12.75" customHeight="1" x14ac:dyDescent="0.2"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11"/>
    </row>
    <row r="277" spans="4:22" s="12" customFormat="1" ht="12.75" customHeight="1" x14ac:dyDescent="0.2"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11"/>
    </row>
    <row r="278" spans="4:22" s="12" customFormat="1" ht="12.75" customHeight="1" x14ac:dyDescent="0.2">
      <c r="D278" s="10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11"/>
    </row>
    <row r="279" spans="4:22" s="12" customFormat="1" ht="12.75" customHeight="1" x14ac:dyDescent="0.2">
      <c r="D279" s="10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11"/>
    </row>
    <row r="280" spans="4:22" s="12" customFormat="1" ht="12.75" customHeight="1" x14ac:dyDescent="0.2">
      <c r="D280" s="10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11"/>
    </row>
    <row r="281" spans="4:22" s="12" customFormat="1" ht="12.75" customHeight="1" x14ac:dyDescent="0.2">
      <c r="D281" s="10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11"/>
    </row>
    <row r="282" spans="4:22" s="12" customFormat="1" ht="12.75" customHeight="1" x14ac:dyDescent="0.2">
      <c r="D282" s="10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11"/>
    </row>
    <row r="283" spans="4:22" s="12" customFormat="1" ht="12.75" customHeight="1" x14ac:dyDescent="0.2">
      <c r="D283" s="10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11"/>
    </row>
    <row r="284" spans="4:22" s="12" customFormat="1" ht="12.75" customHeight="1" x14ac:dyDescent="0.2">
      <c r="D284" s="10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11"/>
    </row>
    <row r="285" spans="4:22" s="12" customFormat="1" ht="12.75" customHeight="1" x14ac:dyDescent="0.2">
      <c r="D285" s="10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11"/>
    </row>
    <row r="286" spans="4:22" s="12" customFormat="1" ht="12.75" customHeight="1" x14ac:dyDescent="0.2">
      <c r="D286" s="10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11"/>
      <c r="V286" s="10"/>
    </row>
    <row r="287" spans="4:22" s="12" customFormat="1" ht="12.75" customHeight="1" x14ac:dyDescent="0.2">
      <c r="D287" s="10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11"/>
      <c r="V287" s="10"/>
    </row>
    <row r="288" spans="4:22" s="12" customFormat="1" ht="12.75" customHeight="1" x14ac:dyDescent="0.2">
      <c r="D288" s="10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11"/>
      <c r="V288" s="10"/>
    </row>
    <row r="289" spans="4:22" s="12" customFormat="1" ht="12.75" customHeight="1" x14ac:dyDescent="0.2">
      <c r="D289" s="10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11"/>
      <c r="V289" s="10"/>
    </row>
    <row r="290" spans="4:22" s="12" customFormat="1" ht="12.75" customHeight="1" x14ac:dyDescent="0.2">
      <c r="D290" s="10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11"/>
      <c r="V290" s="10"/>
    </row>
    <row r="291" spans="4:22" s="12" customFormat="1" ht="12.75" customHeight="1" x14ac:dyDescent="0.2">
      <c r="D291" s="10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11"/>
      <c r="V291" s="10"/>
    </row>
    <row r="292" spans="4:22" s="12" customFormat="1" ht="12.75" customHeight="1" x14ac:dyDescent="0.2">
      <c r="D292" s="10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11"/>
      <c r="V292" s="10"/>
    </row>
    <row r="293" spans="4:22" s="12" customFormat="1" ht="12.75" customHeight="1" x14ac:dyDescent="0.2">
      <c r="D293" s="10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11"/>
      <c r="V293" s="10"/>
    </row>
    <row r="294" spans="4:22" s="12" customFormat="1" ht="12.75" customHeight="1" x14ac:dyDescent="0.2">
      <c r="D294" s="10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11"/>
      <c r="V294" s="10"/>
    </row>
    <row r="295" spans="4:22" s="12" customFormat="1" ht="12.75" customHeight="1" x14ac:dyDescent="0.2">
      <c r="D295" s="10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11"/>
      <c r="V295" s="10"/>
    </row>
    <row r="296" spans="4:22" s="12" customFormat="1" ht="12.75" customHeight="1" x14ac:dyDescent="0.2">
      <c r="D296" s="10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11"/>
      <c r="V296" s="10"/>
    </row>
    <row r="297" spans="4:22" s="12" customFormat="1" ht="12.75" customHeight="1" x14ac:dyDescent="0.2">
      <c r="D297" s="10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11"/>
      <c r="V297" s="10"/>
    </row>
    <row r="298" spans="4:22" s="12" customFormat="1" ht="12.75" customHeight="1" x14ac:dyDescent="0.2">
      <c r="D298" s="10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11"/>
      <c r="V298" s="10"/>
    </row>
    <row r="299" spans="4:22" s="12" customFormat="1" ht="12.75" customHeight="1" x14ac:dyDescent="0.2">
      <c r="D299" s="10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11"/>
      <c r="V299" s="10"/>
    </row>
    <row r="300" spans="4:22" s="12" customFormat="1" ht="12.75" customHeight="1" x14ac:dyDescent="0.2">
      <c r="D300" s="10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11"/>
      <c r="V300" s="10"/>
    </row>
    <row r="301" spans="4:22" s="12" customFormat="1" ht="12.75" customHeight="1" x14ac:dyDescent="0.2">
      <c r="D301" s="10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11"/>
      <c r="V301" s="10"/>
    </row>
    <row r="302" spans="4:22" s="12" customFormat="1" ht="12.75" customHeight="1" x14ac:dyDescent="0.2">
      <c r="D302" s="10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11"/>
      <c r="V302" s="10"/>
    </row>
    <row r="303" spans="4:22" s="12" customFormat="1" ht="12.75" customHeight="1" x14ac:dyDescent="0.2">
      <c r="D303" s="10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11"/>
      <c r="V303" s="10"/>
    </row>
    <row r="304" spans="4:22" s="12" customFormat="1" ht="12.75" customHeight="1" x14ac:dyDescent="0.2">
      <c r="D304" s="10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11"/>
      <c r="V304" s="10"/>
    </row>
    <row r="305" spans="4:22" s="12" customFormat="1" ht="12.75" customHeight="1" x14ac:dyDescent="0.2">
      <c r="D305" s="10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11"/>
      <c r="V305" s="10"/>
    </row>
    <row r="306" spans="4:22" s="12" customFormat="1" ht="12.75" customHeight="1" x14ac:dyDescent="0.2">
      <c r="D306" s="10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11"/>
      <c r="V306" s="10"/>
    </row>
    <row r="307" spans="4:22" s="12" customFormat="1" ht="12.75" customHeight="1" x14ac:dyDescent="0.2">
      <c r="D307" s="10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11"/>
      <c r="V307" s="10"/>
    </row>
    <row r="308" spans="4:22" s="12" customFormat="1" ht="12.75" customHeight="1" x14ac:dyDescent="0.2">
      <c r="D308" s="10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11"/>
      <c r="V308" s="10"/>
    </row>
    <row r="309" spans="4:22" s="12" customFormat="1" ht="12.75" customHeight="1" x14ac:dyDescent="0.2">
      <c r="D309" s="10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11"/>
      <c r="V309" s="10"/>
    </row>
    <row r="310" spans="4:22" s="12" customFormat="1" ht="12.75" customHeight="1" x14ac:dyDescent="0.2">
      <c r="D310" s="10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11"/>
      <c r="V310" s="10"/>
    </row>
    <row r="311" spans="4:22" s="12" customFormat="1" ht="12.75" customHeight="1" x14ac:dyDescent="0.2">
      <c r="D311" s="10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11"/>
      <c r="V311" s="10"/>
    </row>
    <row r="312" spans="4:22" s="12" customFormat="1" ht="12.75" customHeight="1" x14ac:dyDescent="0.2">
      <c r="D312" s="10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11"/>
      <c r="V312" s="10"/>
    </row>
    <row r="313" spans="4:22" s="12" customFormat="1" ht="12.75" customHeight="1" x14ac:dyDescent="0.2">
      <c r="D313" s="10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11"/>
      <c r="V313" s="10"/>
    </row>
    <row r="314" spans="4:22" s="12" customFormat="1" ht="12.75" customHeight="1" x14ac:dyDescent="0.2">
      <c r="D314" s="10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11"/>
      <c r="V314" s="10"/>
    </row>
    <row r="315" spans="4:22" s="12" customFormat="1" ht="12.75" customHeight="1" x14ac:dyDescent="0.2">
      <c r="D315" s="10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11"/>
      <c r="V315" s="10"/>
    </row>
    <row r="316" spans="4:22" s="12" customFormat="1" ht="12.75" customHeight="1" x14ac:dyDescent="0.2">
      <c r="D316" s="10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11"/>
      <c r="V316" s="10"/>
    </row>
    <row r="317" spans="4:22" s="12" customFormat="1" ht="12.75" customHeight="1" x14ac:dyDescent="0.2">
      <c r="D317" s="10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11"/>
      <c r="V317" s="10"/>
    </row>
    <row r="318" spans="4:22" s="12" customFormat="1" ht="12.75" customHeight="1" x14ac:dyDescent="0.2">
      <c r="D318" s="10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11"/>
      <c r="V318" s="10"/>
    </row>
    <row r="319" spans="4:22" s="12" customFormat="1" ht="12.75" customHeight="1" x14ac:dyDescent="0.2">
      <c r="D319" s="10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11"/>
      <c r="V319" s="10"/>
    </row>
    <row r="320" spans="4:22" s="12" customFormat="1" ht="12.75" customHeight="1" x14ac:dyDescent="0.2">
      <c r="D320" s="10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11"/>
      <c r="V320" s="10"/>
    </row>
    <row r="321" spans="4:22" s="12" customFormat="1" ht="12.75" customHeight="1" x14ac:dyDescent="0.2">
      <c r="D321" s="10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11"/>
      <c r="V321" s="10"/>
    </row>
    <row r="322" spans="4:22" s="12" customFormat="1" ht="12.75" customHeight="1" x14ac:dyDescent="0.2">
      <c r="D322" s="10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11"/>
      <c r="V322" s="10"/>
    </row>
    <row r="323" spans="4:22" s="12" customFormat="1" ht="12.75" customHeight="1" x14ac:dyDescent="0.2">
      <c r="D323" s="10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11"/>
      <c r="V323" s="10"/>
    </row>
    <row r="324" spans="4:22" s="12" customFormat="1" ht="12.75" customHeight="1" x14ac:dyDescent="0.2">
      <c r="D324" s="10"/>
      <c r="S324" s="7"/>
      <c r="U324" s="11"/>
      <c r="V324" s="10"/>
    </row>
    <row r="325" spans="4:22" s="12" customFormat="1" ht="12.75" customHeight="1" x14ac:dyDescent="0.2">
      <c r="D325" s="10"/>
      <c r="S325" s="7"/>
      <c r="U325" s="11"/>
      <c r="V325" s="10"/>
    </row>
    <row r="326" spans="4:22" s="12" customFormat="1" ht="12.75" customHeight="1" x14ac:dyDescent="0.2">
      <c r="D326" s="10"/>
      <c r="S326" s="7"/>
      <c r="U326" s="11"/>
      <c r="V326" s="10"/>
    </row>
    <row r="327" spans="4:22" s="12" customFormat="1" ht="12.75" customHeight="1" x14ac:dyDescent="0.2">
      <c r="D327" s="10"/>
      <c r="S327" s="7"/>
      <c r="U327" s="11"/>
      <c r="V327" s="10"/>
    </row>
    <row r="328" spans="4:22" s="12" customFormat="1" ht="12.75" customHeight="1" x14ac:dyDescent="0.2">
      <c r="D328" s="10"/>
      <c r="S328" s="7"/>
      <c r="U328" s="11"/>
      <c r="V328" s="10"/>
    </row>
    <row r="329" spans="4:22" s="12" customFormat="1" ht="12.75" customHeight="1" x14ac:dyDescent="0.2">
      <c r="D329" s="10"/>
      <c r="S329" s="7"/>
      <c r="U329" s="11"/>
      <c r="V329" s="10"/>
    </row>
    <row r="330" spans="4:22" s="12" customFormat="1" ht="12.75" customHeight="1" x14ac:dyDescent="0.2">
      <c r="D330" s="10"/>
      <c r="S330" s="7"/>
      <c r="U330" s="11"/>
      <c r="V330" s="10"/>
    </row>
    <row r="331" spans="4:22" s="12" customFormat="1" ht="12.75" customHeight="1" x14ac:dyDescent="0.2">
      <c r="D331" s="10"/>
      <c r="S331" s="7"/>
      <c r="U331" s="11"/>
      <c r="V331" s="10"/>
    </row>
    <row r="332" spans="4:22" s="12" customFormat="1" ht="12.75" customHeight="1" x14ac:dyDescent="0.2">
      <c r="D332" s="10"/>
      <c r="S332" s="7"/>
      <c r="U332" s="11"/>
      <c r="V332" s="10"/>
    </row>
    <row r="333" spans="4:22" s="12" customFormat="1" ht="12.75" customHeight="1" x14ac:dyDescent="0.2">
      <c r="D333" s="10"/>
      <c r="S333" s="7"/>
      <c r="U333" s="11"/>
      <c r="V333" s="10"/>
    </row>
    <row r="334" spans="4:22" s="12" customFormat="1" ht="12.75" customHeight="1" x14ac:dyDescent="0.2">
      <c r="D334" s="10"/>
      <c r="S334" s="7"/>
      <c r="U334" s="11"/>
      <c r="V334" s="10"/>
    </row>
    <row r="335" spans="4:22" s="12" customFormat="1" ht="12.75" customHeight="1" x14ac:dyDescent="0.2">
      <c r="D335" s="10"/>
      <c r="S335" s="7"/>
      <c r="U335" s="11"/>
      <c r="V335" s="10"/>
    </row>
    <row r="336" spans="4:22" s="12" customFormat="1" ht="12.75" customHeight="1" x14ac:dyDescent="0.2">
      <c r="D336" s="10"/>
      <c r="S336" s="7"/>
      <c r="U336" s="11"/>
      <c r="V336" s="10"/>
    </row>
    <row r="337" spans="2:22" s="12" customFormat="1" ht="12.75" customHeight="1" x14ac:dyDescent="0.2">
      <c r="D337" s="10"/>
      <c r="S337" s="7"/>
      <c r="U337" s="11"/>
      <c r="V337" s="10"/>
    </row>
    <row r="338" spans="2:22" s="12" customFormat="1" ht="12.75" customHeight="1" x14ac:dyDescent="0.2">
      <c r="D338" s="10"/>
      <c r="S338" s="7"/>
      <c r="U338" s="11"/>
      <c r="V338" s="10"/>
    </row>
    <row r="339" spans="2:22" s="12" customFormat="1" ht="12.75" customHeight="1" x14ac:dyDescent="0.2">
      <c r="D339" s="10"/>
      <c r="S339" s="7"/>
      <c r="U339" s="11"/>
      <c r="V339" s="10"/>
    </row>
    <row r="340" spans="2:22" s="12" customFormat="1" ht="12.75" customHeight="1" x14ac:dyDescent="0.2">
      <c r="D340" s="10"/>
      <c r="S340" s="7"/>
      <c r="U340" s="11"/>
      <c r="V340" s="10"/>
    </row>
    <row r="341" spans="2:22" s="12" customFormat="1" ht="12.75" customHeight="1" x14ac:dyDescent="0.2">
      <c r="D341" s="10"/>
      <c r="S341" s="7"/>
      <c r="U341" s="11"/>
      <c r="V341" s="10"/>
    </row>
    <row r="342" spans="2:22" ht="12.75" customHeight="1" x14ac:dyDescent="0.2">
      <c r="B342" s="10"/>
    </row>
    <row r="343" spans="2:22" ht="12.75" customHeight="1" x14ac:dyDescent="0.2">
      <c r="B343" s="10"/>
    </row>
    <row r="344" spans="2:22" ht="12.75" customHeight="1" x14ac:dyDescent="0.2">
      <c r="B344" s="10"/>
    </row>
  </sheetData>
  <phoneticPr fontId="4" type="noConversion"/>
  <pageMargins left="0.75" right="0.75" top="0.5" bottom="0.8" header="0" footer="0.25"/>
  <pageSetup scale="72" firstPageNumber="44" pageOrder="overThenDown" orientation="portrait" useFirstPageNumber="1" r:id="rId1"/>
  <headerFooter alignWithMargins="0">
    <oddFooter>&amp;C&amp;"Times New Roman,Regular"&amp;11&amp;P</oddFooter>
  </headerFooter>
  <rowBreaks count="2" manualBreakCount="2">
    <brk id="167" max="22" man="1"/>
    <brk id="241" max="22" man="1"/>
  </rowBreaks>
  <colBreaks count="1" manualBreakCount="1">
    <brk id="13" max="27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73"/>
  <sheetViews>
    <sheetView view="pageBreakPreview" zoomScale="90" zoomScaleNormal="100" zoomScaleSheetLayoutView="90" workbookViewId="0">
      <pane xSplit="3" ySplit="8" topLeftCell="D238" activePane="bottomRight" state="frozen"/>
      <selection pane="topRight" activeCell="D1" sqref="D1"/>
      <selection pane="bottomLeft" activeCell="A9" sqref="A9"/>
      <selection pane="bottomRight" activeCell="K265" sqref="K265"/>
    </sheetView>
  </sheetViews>
  <sheetFormatPr defaultColWidth="0" defaultRowHeight="12.75" customHeight="1" x14ac:dyDescent="0.2"/>
  <cols>
    <col min="1" max="1" width="20.5703125" style="13" customWidth="1"/>
    <col min="2" max="2" width="1.5703125" style="14" customWidth="1"/>
    <col min="3" max="3" width="11.5703125" style="13" customWidth="1"/>
    <col min="4" max="4" width="1.5703125" style="10" customWidth="1"/>
    <col min="5" max="5" width="12" style="12" bestFit="1" customWidth="1"/>
    <col min="6" max="6" width="1.5703125" style="12" customWidth="1"/>
    <col min="7" max="7" width="12.140625" style="12" bestFit="1" customWidth="1"/>
    <col min="8" max="8" width="1.5703125" style="12" customWidth="1"/>
    <col min="9" max="9" width="10.28515625" style="12" bestFit="1" customWidth="1"/>
    <col min="10" max="10" width="1.5703125" style="12" customWidth="1"/>
    <col min="11" max="11" width="10.28515625" style="12" bestFit="1" customWidth="1"/>
    <col min="12" max="12" width="1.5703125" style="12" customWidth="1"/>
    <col min="13" max="13" width="11.7109375" style="12" bestFit="1" customWidth="1"/>
    <col min="14" max="14" width="1.5703125" style="12" customWidth="1"/>
    <col min="15" max="15" width="10.28515625" style="12" bestFit="1" customWidth="1"/>
    <col min="16" max="16" width="0.5703125" style="12" customWidth="1"/>
    <col min="17" max="17" width="11" style="12" bestFit="1" customWidth="1"/>
    <col min="18" max="18" width="1.42578125" style="12" customWidth="1"/>
    <col min="19" max="19" width="10" style="12" bestFit="1" customWidth="1"/>
    <col min="20" max="20" width="1.28515625" style="12" customWidth="1"/>
    <col min="21" max="21" width="10.42578125" style="12" bestFit="1" customWidth="1"/>
    <col min="22" max="22" width="1.42578125" style="12" customWidth="1"/>
    <col min="23" max="23" width="9.28515625" style="12" bestFit="1" customWidth="1"/>
    <col min="24" max="24" width="1.28515625" style="12" customWidth="1"/>
    <col min="25" max="25" width="11.140625" style="12" bestFit="1" customWidth="1"/>
    <col min="26" max="26" width="1.42578125" style="14" customWidth="1"/>
    <col min="27" max="27" width="10" style="14" customWidth="1"/>
    <col min="28" max="28" width="1.42578125" style="14" customWidth="1"/>
    <col min="29" max="29" width="12.140625" style="12" bestFit="1" customWidth="1"/>
    <col min="30" max="30" width="1" style="12" customWidth="1"/>
    <col min="31" max="31" width="10" style="12" bestFit="1" customWidth="1"/>
    <col min="32" max="32" width="1.28515625" style="12" customWidth="1"/>
    <col min="33" max="33" width="12" style="12" customWidth="1"/>
    <col min="34" max="34" width="3.28515625" style="12" customWidth="1"/>
    <col min="35" max="35" width="12.7109375" style="12" customWidth="1"/>
    <col min="36" max="36" width="1.140625" style="12" customWidth="1"/>
    <col min="37" max="37" width="12.85546875" style="12" customWidth="1"/>
    <col min="38" max="38" width="1.7109375" style="12" customWidth="1"/>
    <col min="39" max="42" width="11.7109375" style="12" customWidth="1"/>
    <col min="43" max="43" width="1.7109375" style="12" customWidth="1"/>
    <col min="44" max="44" width="9.28515625" style="10" hidden="1" customWidth="1"/>
    <col min="45" max="16384" width="0" style="10" hidden="1"/>
  </cols>
  <sheetData>
    <row r="1" spans="1:45" s="74" customFormat="1" ht="12.75" customHeight="1" x14ac:dyDescent="0.2">
      <c r="A1" s="38" t="s">
        <v>386</v>
      </c>
      <c r="C1" s="75"/>
      <c r="D1" s="10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8"/>
      <c r="AS1" s="78"/>
    </row>
    <row r="2" spans="1:45" s="74" customFormat="1" ht="12.75" customHeight="1" x14ac:dyDescent="0.2">
      <c r="A2" s="38" t="s">
        <v>505</v>
      </c>
      <c r="C2" s="75"/>
      <c r="D2" s="10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8"/>
      <c r="AS2" s="78"/>
    </row>
    <row r="3" spans="1:45" ht="12.75" customHeight="1" x14ac:dyDescent="0.2">
      <c r="A3" s="75" t="s">
        <v>287</v>
      </c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4"/>
      <c r="AS3" s="4"/>
    </row>
    <row r="4" spans="1:45" ht="12.75" customHeight="1" x14ac:dyDescent="0.2">
      <c r="A4" s="24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4"/>
      <c r="AS4" s="4"/>
    </row>
    <row r="6" spans="1:45" s="43" customFormat="1" ht="12.75" customHeight="1" x14ac:dyDescent="0.2">
      <c r="A6" s="3"/>
      <c r="C6" s="3"/>
      <c r="E6" s="3"/>
      <c r="F6" s="3"/>
      <c r="G6" s="3" t="s">
        <v>394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AC6" s="3" t="s">
        <v>415</v>
      </c>
      <c r="AD6" s="3"/>
      <c r="AE6" s="3"/>
      <c r="AF6" s="3"/>
      <c r="AG6" s="3"/>
      <c r="AH6" s="3"/>
      <c r="AI6" s="3" t="s">
        <v>323</v>
      </c>
      <c r="AJ6" s="3"/>
      <c r="AK6" s="3" t="s">
        <v>451</v>
      </c>
      <c r="AL6" s="3"/>
      <c r="AM6" s="3"/>
      <c r="AN6" s="3"/>
      <c r="AO6" s="3"/>
      <c r="AP6" s="3"/>
      <c r="AQ6" s="3"/>
      <c r="AR6" s="2"/>
      <c r="AS6" s="2"/>
    </row>
    <row r="7" spans="1:45" s="44" customFormat="1" ht="12.75" customHeight="1" x14ac:dyDescent="0.2">
      <c r="A7" s="3"/>
      <c r="C7" s="3"/>
      <c r="D7" s="3"/>
      <c r="E7" s="3" t="s">
        <v>294</v>
      </c>
      <c r="F7" s="3"/>
      <c r="G7" s="44" t="s">
        <v>420</v>
      </c>
      <c r="H7" s="3"/>
      <c r="I7" s="3" t="s">
        <v>331</v>
      </c>
      <c r="J7" s="3"/>
      <c r="K7" s="3"/>
      <c r="L7" s="3"/>
      <c r="M7" s="3"/>
      <c r="N7" s="3"/>
      <c r="O7" s="3" t="s">
        <v>304</v>
      </c>
      <c r="P7" s="3"/>
      <c r="Q7" s="3" t="s">
        <v>332</v>
      </c>
      <c r="R7" s="3"/>
      <c r="S7" s="3" t="s">
        <v>3</v>
      </c>
      <c r="T7" s="3"/>
      <c r="U7" s="3" t="s">
        <v>325</v>
      </c>
      <c r="V7" s="3"/>
      <c r="W7" s="3"/>
      <c r="X7" s="3"/>
      <c r="Y7" s="3" t="s">
        <v>342</v>
      </c>
      <c r="AA7" s="44" t="s">
        <v>292</v>
      </c>
      <c r="AC7" s="3" t="s">
        <v>416</v>
      </c>
      <c r="AD7" s="3"/>
      <c r="AE7" s="3" t="s">
        <v>444</v>
      </c>
      <c r="AF7" s="3"/>
      <c r="AG7" s="3" t="s">
        <v>429</v>
      </c>
      <c r="AH7" s="3"/>
      <c r="AI7" s="3" t="s">
        <v>449</v>
      </c>
      <c r="AJ7" s="3"/>
      <c r="AK7" s="3" t="s">
        <v>452</v>
      </c>
      <c r="AL7" s="3"/>
      <c r="AM7" s="3" t="s">
        <v>425</v>
      </c>
      <c r="AN7" s="3"/>
      <c r="AO7" s="3"/>
      <c r="AP7" s="3"/>
      <c r="AQ7" s="3"/>
      <c r="AR7" s="3"/>
      <c r="AS7" s="3"/>
    </row>
    <row r="8" spans="1:45" s="44" customFormat="1" ht="12.75" customHeight="1" x14ac:dyDescent="0.2">
      <c r="A8" s="45" t="s">
        <v>6</v>
      </c>
      <c r="C8" s="45" t="s">
        <v>7</v>
      </c>
      <c r="D8" s="3"/>
      <c r="E8" s="46" t="s">
        <v>312</v>
      </c>
      <c r="F8" s="3"/>
      <c r="G8" s="46" t="s">
        <v>291</v>
      </c>
      <c r="H8" s="3"/>
      <c r="I8" s="46" t="s">
        <v>333</v>
      </c>
      <c r="J8" s="3"/>
      <c r="K8" s="46" t="s">
        <v>307</v>
      </c>
      <c r="L8" s="3"/>
      <c r="M8" s="46" t="s">
        <v>310</v>
      </c>
      <c r="N8" s="3"/>
      <c r="O8" s="46" t="s">
        <v>334</v>
      </c>
      <c r="P8" s="3"/>
      <c r="Q8" s="46" t="s">
        <v>335</v>
      </c>
      <c r="R8" s="3"/>
      <c r="S8" s="46" t="s">
        <v>336</v>
      </c>
      <c r="T8" s="3"/>
      <c r="U8" s="46" t="s">
        <v>329</v>
      </c>
      <c r="V8" s="3"/>
      <c r="W8" s="46" t="s">
        <v>337</v>
      </c>
      <c r="X8" s="3"/>
      <c r="Y8" s="46" t="s">
        <v>338</v>
      </c>
      <c r="AA8" s="45" t="s">
        <v>335</v>
      </c>
      <c r="AC8" s="45" t="s">
        <v>335</v>
      </c>
      <c r="AD8" s="3"/>
      <c r="AE8" s="45" t="s">
        <v>440</v>
      </c>
      <c r="AF8" s="3"/>
      <c r="AG8" s="45" t="s">
        <v>430</v>
      </c>
      <c r="AH8" s="3"/>
      <c r="AI8" s="45" t="s">
        <v>450</v>
      </c>
      <c r="AJ8" s="3"/>
      <c r="AK8" s="45" t="s">
        <v>428</v>
      </c>
      <c r="AL8" s="3"/>
      <c r="AM8" s="47" t="s">
        <v>426</v>
      </c>
      <c r="AN8" s="3"/>
      <c r="AO8" s="3"/>
      <c r="AP8" s="3"/>
      <c r="AQ8" s="3"/>
      <c r="AR8" s="3"/>
      <c r="AS8" s="3"/>
    </row>
    <row r="9" spans="1:45" s="44" customFormat="1" ht="12.75" customHeight="1" x14ac:dyDescent="0.2">
      <c r="A9" s="3"/>
      <c r="C9" s="3"/>
      <c r="D9" s="3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3"/>
      <c r="AS9" s="3"/>
    </row>
    <row r="10" spans="1:45" s="9" customFormat="1" ht="12.75" hidden="1" customHeight="1" x14ac:dyDescent="0.2">
      <c r="A10" s="19" t="s">
        <v>10</v>
      </c>
      <c r="C10" s="19" t="s">
        <v>11</v>
      </c>
      <c r="E10" s="40">
        <v>16031637</v>
      </c>
      <c r="F10" s="40"/>
      <c r="G10" s="40">
        <f>20550103+89764229</f>
        <v>110314332</v>
      </c>
      <c r="H10" s="40"/>
      <c r="I10" s="40">
        <v>1158039</v>
      </c>
      <c r="J10" s="40"/>
      <c r="K10" s="40">
        <v>3373988</v>
      </c>
      <c r="L10" s="40"/>
      <c r="M10" s="40">
        <v>0</v>
      </c>
      <c r="N10" s="40"/>
      <c r="O10" s="40">
        <v>3122469</v>
      </c>
      <c r="P10" s="40"/>
      <c r="Q10" s="40">
        <v>0</v>
      </c>
      <c r="R10" s="40"/>
      <c r="S10" s="40">
        <v>0</v>
      </c>
      <c r="T10" s="40"/>
      <c r="U10" s="40">
        <v>0</v>
      </c>
      <c r="V10" s="40"/>
      <c r="W10" s="40">
        <v>61453</v>
      </c>
      <c r="X10" s="40"/>
      <c r="Y10" s="40">
        <v>20696</v>
      </c>
      <c r="AA10" s="9">
        <v>0</v>
      </c>
      <c r="AC10" s="40">
        <f t="shared" ref="AC10" si="0">SUM(E10:AA10)</f>
        <v>134082614</v>
      </c>
      <c r="AD10" s="40"/>
      <c r="AE10" s="22">
        <v>0</v>
      </c>
      <c r="AF10" s="22"/>
      <c r="AG10" s="40">
        <f>5728080+7329704</f>
        <v>13057784</v>
      </c>
      <c r="AH10" s="40"/>
      <c r="AI10" s="8">
        <v>9144191</v>
      </c>
      <c r="AJ10" s="8"/>
      <c r="AK10" s="8">
        <v>0</v>
      </c>
      <c r="AL10" s="40"/>
      <c r="AM10" s="40">
        <f>+'Gen rev'!U10-'Gen exp'!AC10-AG10+'Gen rev'!W10+AI10+AK10-'Gen Bal'!W10-'Gen exp'!AE10</f>
        <v>0</v>
      </c>
      <c r="AN10" s="40"/>
      <c r="AO10" s="40"/>
      <c r="AP10" s="40"/>
      <c r="AQ10" s="40"/>
      <c r="AR10" s="36"/>
      <c r="AS10" s="19"/>
    </row>
    <row r="11" spans="1:45" s="9" customFormat="1" ht="12.75" customHeight="1" x14ac:dyDescent="0.2">
      <c r="A11" s="19" t="s">
        <v>12</v>
      </c>
      <c r="C11" s="19" t="s">
        <v>13</v>
      </c>
      <c r="E11" s="40">
        <v>2659204</v>
      </c>
      <c r="F11" s="40"/>
      <c r="G11" s="40">
        <v>7216428</v>
      </c>
      <c r="H11" s="40"/>
      <c r="I11" s="40">
        <v>145180</v>
      </c>
      <c r="J11" s="40"/>
      <c r="K11" s="40">
        <v>644144</v>
      </c>
      <c r="L11" s="40"/>
      <c r="M11" s="40">
        <v>0</v>
      </c>
      <c r="N11" s="40"/>
      <c r="O11" s="40">
        <v>651900</v>
      </c>
      <c r="P11" s="40"/>
      <c r="Q11" s="40">
        <v>59583</v>
      </c>
      <c r="R11" s="40"/>
      <c r="S11" s="40">
        <v>0</v>
      </c>
      <c r="T11" s="40"/>
      <c r="U11" s="40">
        <v>0</v>
      </c>
      <c r="V11" s="40"/>
      <c r="W11" s="40">
        <v>0</v>
      </c>
      <c r="X11" s="40"/>
      <c r="Y11" s="40">
        <v>0</v>
      </c>
      <c r="AA11" s="9">
        <v>0</v>
      </c>
      <c r="AC11" s="40">
        <f t="shared" ref="AC11:AC67" si="1">SUM(E11:AA11)</f>
        <v>11376439</v>
      </c>
      <c r="AD11" s="40"/>
      <c r="AE11" s="22">
        <v>0</v>
      </c>
      <c r="AF11" s="22"/>
      <c r="AG11" s="40">
        <v>850385</v>
      </c>
      <c r="AH11" s="40"/>
      <c r="AI11" s="8">
        <v>3952607</v>
      </c>
      <c r="AJ11" s="8"/>
      <c r="AK11" s="8">
        <v>0</v>
      </c>
      <c r="AL11" s="40"/>
      <c r="AM11" s="40">
        <f>+'Gen rev'!U11-'Gen exp'!AC11-AG11+'Gen rev'!W11+AI11+AK11-'Gen Bal'!W11-'Gen exp'!AE11</f>
        <v>0</v>
      </c>
      <c r="AN11" s="40"/>
      <c r="AO11" s="40"/>
      <c r="AP11" s="40"/>
      <c r="AQ11" s="40"/>
      <c r="AR11" s="36"/>
      <c r="AS11" s="19"/>
    </row>
    <row r="12" spans="1:45" s="12" customFormat="1" ht="12.75" customHeight="1" x14ac:dyDescent="0.2">
      <c r="A12" s="4" t="s">
        <v>14</v>
      </c>
      <c r="C12" s="4" t="s">
        <v>15</v>
      </c>
      <c r="E12" s="8">
        <v>911160</v>
      </c>
      <c r="F12" s="8"/>
      <c r="G12" s="8">
        <v>3410361</v>
      </c>
      <c r="H12" s="8"/>
      <c r="I12" s="8">
        <v>128690</v>
      </c>
      <c r="J12" s="8"/>
      <c r="K12" s="8">
        <v>55576</v>
      </c>
      <c r="L12" s="8"/>
      <c r="M12" s="8">
        <v>0</v>
      </c>
      <c r="N12" s="8"/>
      <c r="O12" s="8">
        <v>0</v>
      </c>
      <c r="P12" s="8"/>
      <c r="Q12" s="8">
        <v>0</v>
      </c>
      <c r="R12" s="8"/>
      <c r="S12" s="8">
        <v>126378</v>
      </c>
      <c r="T12" s="8"/>
      <c r="U12" s="8">
        <v>0</v>
      </c>
      <c r="V12" s="8"/>
      <c r="W12" s="8">
        <v>2044</v>
      </c>
      <c r="X12" s="8"/>
      <c r="Y12" s="8">
        <v>387</v>
      </c>
      <c r="Z12" s="7"/>
      <c r="AA12" s="8">
        <v>0</v>
      </c>
      <c r="AB12" s="7"/>
      <c r="AC12" s="8">
        <f t="shared" si="1"/>
        <v>4634596</v>
      </c>
      <c r="AD12" s="8"/>
      <c r="AE12" s="11">
        <v>0</v>
      </c>
      <c r="AF12" s="11"/>
      <c r="AG12" s="8">
        <v>510000</v>
      </c>
      <c r="AH12" s="8"/>
      <c r="AI12" s="8">
        <v>2324598</v>
      </c>
      <c r="AJ12" s="8"/>
      <c r="AK12" s="8">
        <v>0</v>
      </c>
      <c r="AL12" s="8"/>
      <c r="AM12" s="8">
        <f>+'Gen rev'!U12-'Gen exp'!AC12-AG12+'Gen rev'!W12+AI12+AK12-'Gen Bal'!W12-'Gen exp'!AE12</f>
        <v>0</v>
      </c>
      <c r="AN12" s="8"/>
      <c r="AO12" s="8"/>
      <c r="AP12" s="8"/>
      <c r="AQ12" s="8"/>
      <c r="AR12" s="15"/>
      <c r="AS12" s="13"/>
    </row>
    <row r="13" spans="1:45" s="12" customFormat="1" ht="12.75" customHeight="1" x14ac:dyDescent="0.2">
      <c r="A13" s="4" t="s">
        <v>16</v>
      </c>
      <c r="C13" s="4" t="s">
        <v>16</v>
      </c>
      <c r="E13" s="8">
        <v>3942767</v>
      </c>
      <c r="F13" s="8"/>
      <c r="G13" s="8">
        <v>5906983</v>
      </c>
      <c r="H13" s="8"/>
      <c r="I13" s="8">
        <v>160997</v>
      </c>
      <c r="J13" s="8"/>
      <c r="K13" s="8">
        <v>295564</v>
      </c>
      <c r="L13" s="8"/>
      <c r="M13" s="8">
        <v>0</v>
      </c>
      <c r="N13" s="8"/>
      <c r="O13" s="8">
        <v>0</v>
      </c>
      <c r="P13" s="8"/>
      <c r="Q13" s="8">
        <v>0</v>
      </c>
      <c r="R13" s="8"/>
      <c r="S13" s="8">
        <v>15908</v>
      </c>
      <c r="T13" s="8"/>
      <c r="U13" s="8">
        <v>0</v>
      </c>
      <c r="V13" s="8"/>
      <c r="W13" s="8">
        <v>0</v>
      </c>
      <c r="X13" s="8"/>
      <c r="Y13" s="8">
        <v>0</v>
      </c>
      <c r="Z13" s="7"/>
      <c r="AA13" s="8">
        <v>0</v>
      </c>
      <c r="AB13" s="7"/>
      <c r="AC13" s="8">
        <f t="shared" si="1"/>
        <v>10322219</v>
      </c>
      <c r="AD13" s="8"/>
      <c r="AE13" s="11">
        <v>0</v>
      </c>
      <c r="AF13" s="11"/>
      <c r="AG13" s="8">
        <v>350943</v>
      </c>
      <c r="AH13" s="8"/>
      <c r="AI13" s="8">
        <v>2092637</v>
      </c>
      <c r="AJ13" s="8"/>
      <c r="AK13" s="8">
        <v>0</v>
      </c>
      <c r="AL13" s="8"/>
      <c r="AM13" s="8">
        <f>+'Gen rev'!U13-'Gen exp'!AC13-AG13+'Gen rev'!W13+AI13+AK13-'Gen Bal'!W13-'Gen exp'!AE13</f>
        <v>0</v>
      </c>
      <c r="AN13" s="8"/>
      <c r="AO13" s="8"/>
      <c r="AP13" s="8"/>
      <c r="AQ13" s="8"/>
      <c r="AR13" s="15"/>
      <c r="AS13" s="13"/>
    </row>
    <row r="14" spans="1:45" s="12" customFormat="1" ht="12.75" customHeight="1" x14ac:dyDescent="0.2">
      <c r="A14" s="4" t="s">
        <v>17</v>
      </c>
      <c r="C14" s="4" t="s">
        <v>17</v>
      </c>
      <c r="E14" s="8">
        <f>2595656+923611</f>
        <v>3519267</v>
      </c>
      <c r="F14" s="8"/>
      <c r="G14" s="8">
        <f>2931024+2218522</f>
        <v>5149546</v>
      </c>
      <c r="H14" s="8"/>
      <c r="I14" s="8">
        <v>4781</v>
      </c>
      <c r="J14" s="8"/>
      <c r="K14" s="8">
        <v>175169</v>
      </c>
      <c r="L14" s="8"/>
      <c r="M14" s="8">
        <v>186270</v>
      </c>
      <c r="N14" s="8"/>
      <c r="O14" s="8">
        <v>0</v>
      </c>
      <c r="P14" s="8"/>
      <c r="Q14" s="8">
        <v>12000</v>
      </c>
      <c r="R14" s="8"/>
      <c r="S14" s="8">
        <v>0</v>
      </c>
      <c r="T14" s="8"/>
      <c r="U14" s="8">
        <v>0</v>
      </c>
      <c r="V14" s="8"/>
      <c r="W14" s="8">
        <v>0</v>
      </c>
      <c r="X14" s="8"/>
      <c r="Y14" s="8">
        <v>0</v>
      </c>
      <c r="Z14" s="7"/>
      <c r="AA14" s="8">
        <v>0</v>
      </c>
      <c r="AB14" s="7"/>
      <c r="AC14" s="8">
        <f t="shared" si="1"/>
        <v>9047033</v>
      </c>
      <c r="AD14" s="8"/>
      <c r="AE14" s="11">
        <v>0</v>
      </c>
      <c r="AF14" s="11"/>
      <c r="AG14" s="8">
        <v>258500</v>
      </c>
      <c r="AH14" s="8"/>
      <c r="AI14" s="8">
        <v>426905</v>
      </c>
      <c r="AJ14" s="8"/>
      <c r="AK14" s="8">
        <v>0</v>
      </c>
      <c r="AL14" s="8"/>
      <c r="AM14" s="8">
        <f>+'Gen rev'!U14-'Gen exp'!AC14-AG14+'Gen rev'!W14+AI14+AK14-'Gen Bal'!W14-'Gen exp'!AE14</f>
        <v>0</v>
      </c>
      <c r="AN14" s="7"/>
      <c r="AO14" s="8"/>
      <c r="AP14" s="8"/>
      <c r="AQ14" s="8"/>
      <c r="AR14" s="15"/>
      <c r="AS14" s="13"/>
    </row>
    <row r="15" spans="1:45" s="12" customFormat="1" ht="12.75" customHeight="1" x14ac:dyDescent="0.2">
      <c r="A15" s="4" t="s">
        <v>18</v>
      </c>
      <c r="C15" s="4" t="s">
        <v>18</v>
      </c>
      <c r="E15" s="8">
        <v>4393465</v>
      </c>
      <c r="F15" s="8"/>
      <c r="G15" s="8">
        <f>3484825+2656871</f>
        <v>6141696</v>
      </c>
      <c r="H15" s="8"/>
      <c r="I15" s="8">
        <v>555690</v>
      </c>
      <c r="J15" s="8"/>
      <c r="K15" s="8">
        <v>0</v>
      </c>
      <c r="L15" s="8"/>
      <c r="M15" s="8">
        <v>462760</v>
      </c>
      <c r="N15" s="8"/>
      <c r="O15" s="8">
        <v>0</v>
      </c>
      <c r="P15" s="8"/>
      <c r="Q15" s="8">
        <v>0</v>
      </c>
      <c r="R15" s="8"/>
      <c r="S15" s="8">
        <v>0</v>
      </c>
      <c r="T15" s="8"/>
      <c r="U15" s="8">
        <v>0</v>
      </c>
      <c r="V15" s="8"/>
      <c r="W15" s="8">
        <v>0</v>
      </c>
      <c r="X15" s="8"/>
      <c r="Y15" s="8">
        <v>1766</v>
      </c>
      <c r="Z15" s="7"/>
      <c r="AA15" s="8">
        <v>0</v>
      </c>
      <c r="AB15" s="7"/>
      <c r="AC15" s="8">
        <f t="shared" si="1"/>
        <v>11555377</v>
      </c>
      <c r="AD15" s="8"/>
      <c r="AE15" s="11">
        <v>0</v>
      </c>
      <c r="AF15" s="11"/>
      <c r="AG15" s="8">
        <v>1700</v>
      </c>
      <c r="AH15" s="8"/>
      <c r="AI15" s="8">
        <v>1662014</v>
      </c>
      <c r="AJ15" s="8"/>
      <c r="AK15" s="8">
        <v>0</v>
      </c>
      <c r="AL15" s="8"/>
      <c r="AM15" s="8">
        <f>+'Gen rev'!U15-'Gen exp'!AC15-AG15+'Gen rev'!W15+AI15+AK15-'Gen Bal'!W15-'Gen exp'!AE15</f>
        <v>0</v>
      </c>
      <c r="AN15" s="8"/>
      <c r="AO15" s="8"/>
      <c r="AP15" s="8"/>
      <c r="AQ15" s="8"/>
      <c r="AR15" s="15"/>
      <c r="AS15" s="13"/>
    </row>
    <row r="16" spans="1:45" s="12" customFormat="1" ht="12.75" customHeight="1" x14ac:dyDescent="0.2">
      <c r="A16" s="4" t="s">
        <v>19</v>
      </c>
      <c r="C16" s="4" t="s">
        <v>20</v>
      </c>
      <c r="E16" s="8">
        <v>1880538</v>
      </c>
      <c r="F16" s="8"/>
      <c r="G16" s="8">
        <v>6251722</v>
      </c>
      <c r="H16" s="8"/>
      <c r="I16" s="8">
        <v>788741</v>
      </c>
      <c r="J16" s="8"/>
      <c r="K16" s="8">
        <v>0</v>
      </c>
      <c r="L16" s="8"/>
      <c r="M16" s="8">
        <v>2023388</v>
      </c>
      <c r="N16" s="8"/>
      <c r="O16" s="8">
        <v>0</v>
      </c>
      <c r="P16" s="8"/>
      <c r="Q16" s="8">
        <v>0</v>
      </c>
      <c r="R16" s="8"/>
      <c r="S16" s="8">
        <v>32993</v>
      </c>
      <c r="T16" s="8"/>
      <c r="U16" s="8">
        <v>0</v>
      </c>
      <c r="V16" s="8"/>
      <c r="W16" s="8">
        <v>0</v>
      </c>
      <c r="X16" s="8"/>
      <c r="Y16" s="8">
        <v>0</v>
      </c>
      <c r="Z16" s="7"/>
      <c r="AA16" s="8">
        <v>0</v>
      </c>
      <c r="AB16" s="7"/>
      <c r="AC16" s="8">
        <f t="shared" si="1"/>
        <v>10977382</v>
      </c>
      <c r="AD16" s="8"/>
      <c r="AE16" s="11">
        <v>0</v>
      </c>
      <c r="AF16" s="11"/>
      <c r="AG16" s="8">
        <v>1858895</v>
      </c>
      <c r="AH16" s="8"/>
      <c r="AI16" s="8">
        <v>7090696</v>
      </c>
      <c r="AJ16" s="8"/>
      <c r="AK16" s="8">
        <v>0</v>
      </c>
      <c r="AL16" s="8"/>
      <c r="AM16" s="8">
        <f>+'Gen rev'!U16-'Gen exp'!AC16-AG16+'Gen rev'!W16+AI16+AK16-'Gen Bal'!W16-'Gen exp'!AE16</f>
        <v>0</v>
      </c>
      <c r="AN16" s="8"/>
      <c r="AO16" s="8"/>
      <c r="AP16" s="8"/>
      <c r="AQ16" s="8"/>
      <c r="AR16" s="15"/>
      <c r="AS16" s="13"/>
    </row>
    <row r="17" spans="1:45" s="12" customFormat="1" ht="12.75" customHeight="1" x14ac:dyDescent="0.2">
      <c r="A17" s="4" t="s">
        <v>21</v>
      </c>
      <c r="C17" s="4" t="s">
        <v>15</v>
      </c>
      <c r="E17" s="8">
        <v>3090290</v>
      </c>
      <c r="F17" s="8"/>
      <c r="G17" s="8">
        <v>0</v>
      </c>
      <c r="H17" s="8"/>
      <c r="I17" s="8">
        <v>1308134</v>
      </c>
      <c r="J17" s="8"/>
      <c r="K17" s="8">
        <v>0</v>
      </c>
      <c r="L17" s="8"/>
      <c r="M17" s="8">
        <v>0</v>
      </c>
      <c r="N17" s="8"/>
      <c r="O17" s="8">
        <v>20868</v>
      </c>
      <c r="P17" s="8"/>
      <c r="Q17" s="8">
        <v>0</v>
      </c>
      <c r="R17" s="8"/>
      <c r="S17" s="8">
        <v>0</v>
      </c>
      <c r="T17" s="8"/>
      <c r="U17" s="8">
        <v>0</v>
      </c>
      <c r="V17" s="8"/>
      <c r="W17" s="8">
        <v>0</v>
      </c>
      <c r="X17" s="8"/>
      <c r="Y17" s="8">
        <v>0</v>
      </c>
      <c r="Z17" s="7"/>
      <c r="AA17" s="8">
        <v>0</v>
      </c>
      <c r="AB17" s="7"/>
      <c r="AC17" s="8">
        <f t="shared" si="1"/>
        <v>4419292</v>
      </c>
      <c r="AD17" s="8"/>
      <c r="AE17" s="11">
        <v>0</v>
      </c>
      <c r="AF17" s="11"/>
      <c r="AG17" s="8">
        <v>6772844</v>
      </c>
      <c r="AH17" s="8"/>
      <c r="AI17" s="8">
        <v>8866944</v>
      </c>
      <c r="AJ17" s="8"/>
      <c r="AK17" s="8">
        <v>0</v>
      </c>
      <c r="AL17" s="8"/>
      <c r="AM17" s="8">
        <f>+'Gen rev'!U17-'Gen exp'!AC17-AG17+'Gen rev'!W17+AI17+AK17-'Gen Bal'!W17-'Gen exp'!AE17</f>
        <v>0</v>
      </c>
      <c r="AN17" s="7"/>
      <c r="AO17" s="7"/>
      <c r="AP17" s="7"/>
      <c r="AQ17" s="7"/>
    </row>
    <row r="18" spans="1:45" s="12" customFormat="1" ht="12.75" customHeight="1" x14ac:dyDescent="0.2">
      <c r="A18" s="4" t="s">
        <v>22</v>
      </c>
      <c r="C18" s="4" t="s">
        <v>15</v>
      </c>
      <c r="E18" s="8">
        <v>1814413</v>
      </c>
      <c r="F18" s="8"/>
      <c r="G18" s="8">
        <v>0</v>
      </c>
      <c r="H18" s="8"/>
      <c r="I18" s="8">
        <v>1052166</v>
      </c>
      <c r="J18" s="8"/>
      <c r="K18" s="8">
        <v>0</v>
      </c>
      <c r="L18" s="8"/>
      <c r="M18" s="8">
        <v>0</v>
      </c>
      <c r="N18" s="8"/>
      <c r="O18" s="8">
        <v>0</v>
      </c>
      <c r="P18" s="8"/>
      <c r="Q18" s="8">
        <v>0</v>
      </c>
      <c r="R18" s="8"/>
      <c r="S18" s="8">
        <v>0</v>
      </c>
      <c r="T18" s="8"/>
      <c r="U18" s="8">
        <v>0</v>
      </c>
      <c r="V18" s="8"/>
      <c r="W18" s="8">
        <v>0</v>
      </c>
      <c r="X18" s="8"/>
      <c r="Y18" s="8">
        <v>0</v>
      </c>
      <c r="Z18" s="7"/>
      <c r="AA18" s="8">
        <v>0</v>
      </c>
      <c r="AB18" s="7"/>
      <c r="AC18" s="8">
        <f t="shared" ref="AC18" si="2">SUM(E18:AA18)</f>
        <v>2866579</v>
      </c>
      <c r="AD18" s="8"/>
      <c r="AE18" s="11">
        <v>0</v>
      </c>
      <c r="AF18" s="11"/>
      <c r="AG18" s="8">
        <v>4997261</v>
      </c>
      <c r="AH18" s="8"/>
      <c r="AI18" s="8">
        <v>4740189</v>
      </c>
      <c r="AJ18" s="8"/>
      <c r="AK18" s="8">
        <v>0</v>
      </c>
      <c r="AL18" s="8"/>
      <c r="AM18" s="8">
        <f>+'Gen rev'!U18-'Gen exp'!AC18-AG18+'Gen rev'!W18+AI18+AK18-'Gen Bal'!W18-'Gen exp'!AE18</f>
        <v>0</v>
      </c>
      <c r="AN18" s="7"/>
      <c r="AO18" s="7"/>
      <c r="AP18" s="7"/>
      <c r="AQ18" s="7"/>
    </row>
    <row r="19" spans="1:45" s="12" customFormat="1" ht="12.75" customHeight="1" x14ac:dyDescent="0.2">
      <c r="A19" s="4" t="s">
        <v>23</v>
      </c>
      <c r="C19" s="4" t="s">
        <v>11</v>
      </c>
      <c r="E19" s="8">
        <v>4039518</v>
      </c>
      <c r="F19" s="8"/>
      <c r="G19" s="8">
        <v>9622414</v>
      </c>
      <c r="H19" s="8"/>
      <c r="I19" s="8">
        <v>716829</v>
      </c>
      <c r="J19" s="8"/>
      <c r="K19" s="8">
        <v>0</v>
      </c>
      <c r="L19" s="8"/>
      <c r="M19" s="8">
        <v>134704</v>
      </c>
      <c r="N19" s="8"/>
      <c r="O19" s="8">
        <v>782485</v>
      </c>
      <c r="P19" s="8"/>
      <c r="Q19" s="8">
        <v>0</v>
      </c>
      <c r="R19" s="8"/>
      <c r="S19" s="8">
        <v>194196</v>
      </c>
      <c r="T19" s="8"/>
      <c r="U19" s="8">
        <v>0</v>
      </c>
      <c r="V19" s="8"/>
      <c r="W19" s="8">
        <v>0</v>
      </c>
      <c r="X19" s="8"/>
      <c r="Y19" s="8">
        <v>0</v>
      </c>
      <c r="Z19" s="7"/>
      <c r="AA19" s="8">
        <v>0</v>
      </c>
      <c r="AB19" s="7"/>
      <c r="AC19" s="8">
        <f t="shared" si="1"/>
        <v>15490146</v>
      </c>
      <c r="AD19" s="8"/>
      <c r="AE19" s="11">
        <v>0</v>
      </c>
      <c r="AF19" s="11"/>
      <c r="AG19" s="8">
        <v>1112154</v>
      </c>
      <c r="AH19" s="8"/>
      <c r="AI19" s="8">
        <v>4685471</v>
      </c>
      <c r="AJ19" s="8"/>
      <c r="AK19" s="8">
        <v>0</v>
      </c>
      <c r="AL19" s="8"/>
      <c r="AM19" s="8">
        <f>+'Gen rev'!U19-'Gen exp'!AC19-AG19+'Gen rev'!W19+AI19+AK19-'Gen Bal'!W19-'Gen exp'!AE19</f>
        <v>0</v>
      </c>
      <c r="AN19" s="7"/>
      <c r="AO19" s="7"/>
      <c r="AP19" s="7"/>
      <c r="AQ19" s="7"/>
    </row>
    <row r="20" spans="1:45" s="12" customFormat="1" ht="12.75" customHeight="1" x14ac:dyDescent="0.2">
      <c r="A20" s="4" t="s">
        <v>24</v>
      </c>
      <c r="C20" s="4" t="s">
        <v>25</v>
      </c>
      <c r="E20" s="8">
        <v>2678988</v>
      </c>
      <c r="F20" s="8"/>
      <c r="G20" s="8">
        <v>5014972</v>
      </c>
      <c r="H20" s="8"/>
      <c r="I20" s="8">
        <v>602800</v>
      </c>
      <c r="J20" s="8"/>
      <c r="K20" s="8">
        <v>254169</v>
      </c>
      <c r="L20" s="8"/>
      <c r="M20" s="8">
        <v>198795</v>
      </c>
      <c r="N20" s="8"/>
      <c r="O20" s="8">
        <v>0</v>
      </c>
      <c r="P20" s="8"/>
      <c r="Q20" s="8">
        <v>1784632</v>
      </c>
      <c r="R20" s="8"/>
      <c r="S20" s="8">
        <v>0</v>
      </c>
      <c r="T20" s="8"/>
      <c r="U20" s="8">
        <v>0</v>
      </c>
      <c r="V20" s="8"/>
      <c r="W20" s="8">
        <v>0</v>
      </c>
      <c r="X20" s="8"/>
      <c r="Y20" s="8">
        <v>0</v>
      </c>
      <c r="Z20" s="7"/>
      <c r="AA20" s="8">
        <v>0</v>
      </c>
      <c r="AB20" s="7"/>
      <c r="AC20" s="8">
        <f t="shared" si="1"/>
        <v>10534356</v>
      </c>
      <c r="AD20" s="8"/>
      <c r="AE20" s="11">
        <v>0</v>
      </c>
      <c r="AF20" s="11"/>
      <c r="AG20" s="8">
        <v>1192000</v>
      </c>
      <c r="AH20" s="8"/>
      <c r="AI20" s="8">
        <v>1975635</v>
      </c>
      <c r="AJ20" s="8"/>
      <c r="AK20" s="8">
        <v>0</v>
      </c>
      <c r="AL20" s="8"/>
      <c r="AM20" s="8">
        <f>+'Gen rev'!U20-'Gen exp'!AC20-AG20+'Gen rev'!W20+AI20+AK20-'Gen Bal'!W20-'Gen exp'!AE20</f>
        <v>0</v>
      </c>
      <c r="AN20" s="7"/>
      <c r="AO20" s="7"/>
      <c r="AP20" s="7"/>
      <c r="AQ20" s="7"/>
    </row>
    <row r="21" spans="1:45" s="12" customFormat="1" ht="12.75" customHeight="1" x14ac:dyDescent="0.2">
      <c r="A21" s="4" t="s">
        <v>26</v>
      </c>
      <c r="C21" s="4" t="s">
        <v>25</v>
      </c>
      <c r="E21" s="8">
        <v>4699104</v>
      </c>
      <c r="F21" s="8"/>
      <c r="G21" s="8">
        <f>8057340+7164341</f>
        <v>15221681</v>
      </c>
      <c r="H21" s="8"/>
      <c r="I21" s="8">
        <v>946654</v>
      </c>
      <c r="J21" s="8"/>
      <c r="K21" s="8">
        <v>578073</v>
      </c>
      <c r="L21" s="8"/>
      <c r="M21" s="8">
        <v>8236284</v>
      </c>
      <c r="N21" s="8"/>
      <c r="O21" s="8">
        <v>2428076</v>
      </c>
      <c r="P21" s="8"/>
      <c r="Q21" s="8">
        <v>0</v>
      </c>
      <c r="R21" s="8"/>
      <c r="S21" s="8">
        <v>0</v>
      </c>
      <c r="T21" s="8"/>
      <c r="U21" s="8">
        <v>0</v>
      </c>
      <c r="V21" s="8"/>
      <c r="W21" s="8">
        <v>0</v>
      </c>
      <c r="X21" s="8"/>
      <c r="Y21" s="8">
        <v>0</v>
      </c>
      <c r="Z21" s="7"/>
      <c r="AA21" s="8">
        <v>37500</v>
      </c>
      <c r="AB21" s="7"/>
      <c r="AC21" s="8">
        <f t="shared" si="1"/>
        <v>32147372</v>
      </c>
      <c r="AD21" s="8"/>
      <c r="AE21" s="11">
        <v>0</v>
      </c>
      <c r="AF21" s="11"/>
      <c r="AG21" s="8">
        <v>2650000</v>
      </c>
      <c r="AH21" s="8"/>
      <c r="AI21" s="8">
        <v>23899882</v>
      </c>
      <c r="AJ21" s="8"/>
      <c r="AK21" s="8">
        <v>0</v>
      </c>
      <c r="AL21" s="8"/>
      <c r="AM21" s="8">
        <f>+'Gen rev'!U21-'Gen exp'!AC21-AG21+'Gen rev'!W21+AI21+AK21-'Gen Bal'!W21-'Gen exp'!AE21</f>
        <v>0</v>
      </c>
      <c r="AN21" s="7"/>
      <c r="AO21" s="7"/>
      <c r="AP21" s="7"/>
      <c r="AQ21" s="7"/>
    </row>
    <row r="22" spans="1:45" s="12" customFormat="1" ht="12.75" customHeight="1" x14ac:dyDescent="0.2">
      <c r="A22" s="7" t="s">
        <v>27</v>
      </c>
      <c r="C22" s="7" t="s">
        <v>28</v>
      </c>
      <c r="E22" s="8">
        <v>1983970</v>
      </c>
      <c r="F22" s="8"/>
      <c r="G22" s="8">
        <v>0</v>
      </c>
      <c r="H22" s="8"/>
      <c r="I22" s="8">
        <v>612107</v>
      </c>
      <c r="J22" s="8"/>
      <c r="K22" s="8">
        <v>141572</v>
      </c>
      <c r="L22" s="8"/>
      <c r="M22" s="8">
        <v>0</v>
      </c>
      <c r="N22" s="8"/>
      <c r="O22" s="8">
        <v>1185036</v>
      </c>
      <c r="P22" s="8"/>
      <c r="Q22" s="8">
        <v>122933</v>
      </c>
      <c r="R22" s="8"/>
      <c r="S22" s="8">
        <v>21182</v>
      </c>
      <c r="T22" s="8"/>
      <c r="U22" s="8">
        <v>0</v>
      </c>
      <c r="V22" s="8"/>
      <c r="W22" s="8">
        <v>0</v>
      </c>
      <c r="X22" s="8"/>
      <c r="Y22" s="8">
        <v>0</v>
      </c>
      <c r="Z22" s="7"/>
      <c r="AA22" s="8">
        <v>0</v>
      </c>
      <c r="AB22" s="7"/>
      <c r="AC22" s="8">
        <f t="shared" si="1"/>
        <v>4066800</v>
      </c>
      <c r="AD22" s="8"/>
      <c r="AE22" s="11">
        <v>0</v>
      </c>
      <c r="AF22" s="11"/>
      <c r="AG22" s="8">
        <v>1030331</v>
      </c>
      <c r="AH22" s="8"/>
      <c r="AI22" s="8">
        <v>1942516</v>
      </c>
      <c r="AJ22" s="8"/>
      <c r="AK22" s="8">
        <v>0</v>
      </c>
      <c r="AL22" s="8"/>
      <c r="AM22" s="8">
        <f>+'Gen rev'!U22-'Gen exp'!AC22-AG22+'Gen rev'!W22+AI22+AK22-'Gen Bal'!W22-'Gen exp'!AE22</f>
        <v>0</v>
      </c>
      <c r="AN22" s="8"/>
      <c r="AO22" s="8"/>
      <c r="AP22" s="8"/>
      <c r="AQ22" s="8"/>
      <c r="AR22" s="15"/>
      <c r="AS22" s="13"/>
    </row>
    <row r="23" spans="1:45" s="12" customFormat="1" ht="12.75" customHeight="1" x14ac:dyDescent="0.2">
      <c r="A23" s="4" t="s">
        <v>29</v>
      </c>
      <c r="C23" s="4" t="s">
        <v>25</v>
      </c>
      <c r="E23" s="8">
        <v>5010996</v>
      </c>
      <c r="F23" s="8"/>
      <c r="G23" s="8">
        <f>1949689+213052</f>
        <v>2162741</v>
      </c>
      <c r="H23" s="8"/>
      <c r="I23" s="8">
        <v>673744</v>
      </c>
      <c r="J23" s="8"/>
      <c r="K23" s="8">
        <v>173885</v>
      </c>
      <c r="L23" s="8"/>
      <c r="M23" s="8">
        <v>1681156</v>
      </c>
      <c r="N23" s="8"/>
      <c r="O23" s="8">
        <v>1250112</v>
      </c>
      <c r="P23" s="8"/>
      <c r="Q23" s="8">
        <v>698636</v>
      </c>
      <c r="R23" s="8"/>
      <c r="S23" s="8">
        <v>0</v>
      </c>
      <c r="T23" s="8"/>
      <c r="U23" s="8">
        <v>0</v>
      </c>
      <c r="V23" s="8"/>
      <c r="W23" s="8">
        <v>12614</v>
      </c>
      <c r="X23" s="8"/>
      <c r="Y23" s="8">
        <v>7662</v>
      </c>
      <c r="Z23" s="7"/>
      <c r="AA23" s="8">
        <v>0</v>
      </c>
      <c r="AB23" s="7"/>
      <c r="AC23" s="8">
        <f t="shared" si="1"/>
        <v>11671546</v>
      </c>
      <c r="AD23" s="8"/>
      <c r="AE23" s="11">
        <v>0</v>
      </c>
      <c r="AF23" s="11"/>
      <c r="AG23" s="8">
        <v>3538865</v>
      </c>
      <c r="AH23" s="8"/>
      <c r="AI23" s="8">
        <v>10298738</v>
      </c>
      <c r="AJ23" s="8"/>
      <c r="AK23" s="8">
        <v>0</v>
      </c>
      <c r="AL23" s="8"/>
      <c r="AM23" s="8">
        <f>+'Gen rev'!U23-'Gen exp'!AC23-AG23+'Gen rev'!W23+AI23+AK23-'Gen Bal'!W23-'Gen exp'!AE23</f>
        <v>0</v>
      </c>
      <c r="AN23" s="8"/>
      <c r="AO23" s="8"/>
      <c r="AP23" s="8"/>
      <c r="AQ23" s="8"/>
      <c r="AR23" s="15"/>
      <c r="AS23" s="13"/>
    </row>
    <row r="24" spans="1:45" s="12" customFormat="1" ht="12.75" customHeight="1" x14ac:dyDescent="0.2">
      <c r="A24" s="4" t="s">
        <v>30</v>
      </c>
      <c r="C24" s="4" t="s">
        <v>25</v>
      </c>
      <c r="E24" s="8">
        <v>3683841</v>
      </c>
      <c r="F24" s="8"/>
      <c r="G24" s="8">
        <v>2575744</v>
      </c>
      <c r="H24" s="8"/>
      <c r="I24" s="8">
        <v>455599</v>
      </c>
      <c r="J24" s="8"/>
      <c r="K24" s="8">
        <v>362708</v>
      </c>
      <c r="L24" s="8"/>
      <c r="M24" s="8">
        <v>8526</v>
      </c>
      <c r="N24" s="8"/>
      <c r="O24" s="8">
        <v>1182491</v>
      </c>
      <c r="P24" s="8"/>
      <c r="Q24" s="8">
        <v>667847</v>
      </c>
      <c r="R24" s="8"/>
      <c r="S24" s="8">
        <v>0</v>
      </c>
      <c r="T24" s="8"/>
      <c r="U24" s="8">
        <v>0</v>
      </c>
      <c r="V24" s="8"/>
      <c r="W24" s="8">
        <v>0</v>
      </c>
      <c r="X24" s="8"/>
      <c r="Y24" s="8">
        <v>0</v>
      </c>
      <c r="Z24" s="7"/>
      <c r="AA24" s="8">
        <v>0</v>
      </c>
      <c r="AB24" s="7"/>
      <c r="AC24" s="8">
        <f t="shared" si="1"/>
        <v>8936756</v>
      </c>
      <c r="AD24" s="8"/>
      <c r="AE24" s="11">
        <v>0</v>
      </c>
      <c r="AF24" s="11"/>
      <c r="AG24" s="8">
        <v>4468812</v>
      </c>
      <c r="AH24" s="8"/>
      <c r="AI24" s="8">
        <v>3775808</v>
      </c>
      <c r="AJ24" s="8"/>
      <c r="AK24" s="8">
        <v>0</v>
      </c>
      <c r="AL24" s="8"/>
      <c r="AM24" s="8">
        <f>+'Gen rev'!U24-'Gen exp'!AC24-AG24+'Gen rev'!W24+AI24+AK24-'Gen Bal'!W24-'Gen exp'!AE24</f>
        <v>0</v>
      </c>
      <c r="AN24" s="7"/>
      <c r="AO24" s="7"/>
      <c r="AP24" s="7"/>
      <c r="AQ24" s="7"/>
    </row>
    <row r="25" spans="1:45" s="12" customFormat="1" ht="12.75" customHeight="1" x14ac:dyDescent="0.2">
      <c r="A25" s="4" t="s">
        <v>32</v>
      </c>
      <c r="C25" s="4" t="s">
        <v>28</v>
      </c>
      <c r="E25" s="8">
        <v>375196</v>
      </c>
      <c r="F25" s="8"/>
      <c r="G25" s="8">
        <v>11056</v>
      </c>
      <c r="H25" s="8"/>
      <c r="I25" s="8">
        <v>79144</v>
      </c>
      <c r="J25" s="8"/>
      <c r="K25" s="8">
        <v>0</v>
      </c>
      <c r="L25" s="8"/>
      <c r="M25" s="8">
        <v>0</v>
      </c>
      <c r="N25" s="8"/>
      <c r="O25" s="8">
        <v>10433</v>
      </c>
      <c r="P25" s="8"/>
      <c r="Q25" s="8">
        <v>0</v>
      </c>
      <c r="R25" s="8"/>
      <c r="S25" s="8">
        <v>0</v>
      </c>
      <c r="T25" s="8"/>
      <c r="U25" s="8">
        <v>0</v>
      </c>
      <c r="V25" s="8"/>
      <c r="W25" s="8">
        <v>0</v>
      </c>
      <c r="X25" s="8"/>
      <c r="Y25" s="8">
        <v>0</v>
      </c>
      <c r="Z25" s="7"/>
      <c r="AA25" s="8">
        <v>0</v>
      </c>
      <c r="AB25" s="7"/>
      <c r="AC25" s="8">
        <f t="shared" si="1"/>
        <v>475829</v>
      </c>
      <c r="AD25" s="8"/>
      <c r="AE25" s="11">
        <v>0</v>
      </c>
      <c r="AF25" s="11"/>
      <c r="AG25" s="8">
        <v>650000</v>
      </c>
      <c r="AH25" s="8"/>
      <c r="AI25" s="8">
        <v>1226077</v>
      </c>
      <c r="AJ25" s="8"/>
      <c r="AK25" s="8">
        <v>0</v>
      </c>
      <c r="AL25" s="8"/>
      <c r="AM25" s="8">
        <f>+'Gen rev'!U25-'Gen exp'!AC25-AG25+'Gen rev'!W25+AI25+AK25-'Gen Bal'!W25-'Gen exp'!AE25</f>
        <v>0</v>
      </c>
      <c r="AN25" s="7"/>
      <c r="AO25" s="7"/>
      <c r="AP25" s="7"/>
      <c r="AQ25" s="7"/>
    </row>
    <row r="26" spans="1:45" s="12" customFormat="1" ht="12.75" customHeight="1" x14ac:dyDescent="0.2">
      <c r="A26" s="4" t="s">
        <v>33</v>
      </c>
      <c r="C26" s="4" t="s">
        <v>34</v>
      </c>
      <c r="E26" s="8">
        <f>1343794+529019</f>
        <v>1872813</v>
      </c>
      <c r="F26" s="8"/>
      <c r="G26" s="8">
        <v>3582776</v>
      </c>
      <c r="H26" s="8"/>
      <c r="I26" s="8">
        <v>39146</v>
      </c>
      <c r="J26" s="8"/>
      <c r="K26" s="8">
        <v>101969</v>
      </c>
      <c r="L26" s="8"/>
      <c r="M26" s="8">
        <v>259350</v>
      </c>
      <c r="N26" s="8"/>
      <c r="O26" s="8">
        <v>545387</v>
      </c>
      <c r="P26" s="8"/>
      <c r="Q26" s="8">
        <v>149155</v>
      </c>
      <c r="R26" s="8"/>
      <c r="S26" s="8">
        <v>42948</v>
      </c>
      <c r="T26" s="8"/>
      <c r="U26" s="8">
        <v>0</v>
      </c>
      <c r="V26" s="8"/>
      <c r="W26" s="8">
        <v>30243</v>
      </c>
      <c r="X26" s="8"/>
      <c r="Y26" s="8">
        <v>16847</v>
      </c>
      <c r="Z26" s="7"/>
      <c r="AA26" s="8">
        <v>0</v>
      </c>
      <c r="AB26" s="7"/>
      <c r="AC26" s="8">
        <f t="shared" si="1"/>
        <v>6640634</v>
      </c>
      <c r="AD26" s="8"/>
      <c r="AE26" s="11">
        <v>0</v>
      </c>
      <c r="AF26" s="11"/>
      <c r="AG26" s="8">
        <v>393295</v>
      </c>
      <c r="AH26" s="8"/>
      <c r="AI26" s="8">
        <v>2493775</v>
      </c>
      <c r="AJ26" s="8"/>
      <c r="AK26" s="8">
        <v>0</v>
      </c>
      <c r="AL26" s="8"/>
      <c r="AM26" s="8">
        <f>+'Gen rev'!U26-'Gen exp'!AC26-AG26+'Gen rev'!W26+AI26+AK26-'Gen Bal'!W26-'Gen exp'!AE26</f>
        <v>0</v>
      </c>
      <c r="AN26" s="7"/>
      <c r="AO26" s="7"/>
      <c r="AP26" s="7"/>
      <c r="AQ26" s="7"/>
    </row>
    <row r="27" spans="1:45" s="12" customFormat="1" ht="12.75" customHeight="1" x14ac:dyDescent="0.2">
      <c r="A27" s="4" t="s">
        <v>35</v>
      </c>
      <c r="C27" s="4" t="s">
        <v>36</v>
      </c>
      <c r="E27" s="8">
        <f>1346379+306070</f>
        <v>1652449</v>
      </c>
      <c r="F27" s="8"/>
      <c r="G27" s="8">
        <v>2028945</v>
      </c>
      <c r="H27" s="8"/>
      <c r="I27" s="8">
        <v>17596</v>
      </c>
      <c r="J27" s="8"/>
      <c r="K27" s="8">
        <v>0</v>
      </c>
      <c r="L27" s="8"/>
      <c r="M27" s="8">
        <v>0</v>
      </c>
      <c r="N27" s="8"/>
      <c r="O27" s="8">
        <v>0</v>
      </c>
      <c r="P27" s="8"/>
      <c r="Q27" s="8">
        <v>0</v>
      </c>
      <c r="R27" s="8"/>
      <c r="S27" s="8">
        <v>0</v>
      </c>
      <c r="T27" s="8"/>
      <c r="U27" s="8">
        <v>0</v>
      </c>
      <c r="V27" s="8"/>
      <c r="W27" s="8">
        <v>0</v>
      </c>
      <c r="X27" s="8"/>
      <c r="Y27" s="8">
        <v>0</v>
      </c>
      <c r="Z27" s="7"/>
      <c r="AA27" s="8">
        <v>0</v>
      </c>
      <c r="AB27" s="7"/>
      <c r="AC27" s="8">
        <f t="shared" si="1"/>
        <v>3698990</v>
      </c>
      <c r="AD27" s="8"/>
      <c r="AE27" s="11">
        <v>0</v>
      </c>
      <c r="AF27" s="11"/>
      <c r="AG27" s="8">
        <v>1163922</v>
      </c>
      <c r="AH27" s="8"/>
      <c r="AI27" s="8">
        <v>2037474</v>
      </c>
      <c r="AJ27" s="8"/>
      <c r="AK27" s="8">
        <v>0</v>
      </c>
      <c r="AL27" s="8"/>
      <c r="AM27" s="8">
        <f>+'Gen rev'!U27-'Gen exp'!AC27-AG27+'Gen rev'!W27+AI27+AK27-'Gen Bal'!W27-'Gen exp'!AE27</f>
        <v>0</v>
      </c>
      <c r="AN27" s="7"/>
      <c r="AO27" s="7"/>
      <c r="AP27" s="7"/>
      <c r="AQ27" s="7"/>
    </row>
    <row r="28" spans="1:45" s="12" customFormat="1" ht="12.75" customHeight="1" x14ac:dyDescent="0.2">
      <c r="A28" s="4" t="s">
        <v>37</v>
      </c>
      <c r="C28" s="4" t="s">
        <v>38</v>
      </c>
      <c r="E28" s="8">
        <v>558490</v>
      </c>
      <c r="F28" s="8"/>
      <c r="G28" s="8">
        <f>1135492+200527</f>
        <v>1336019</v>
      </c>
      <c r="H28" s="8"/>
      <c r="I28" s="8">
        <v>0</v>
      </c>
      <c r="J28" s="8"/>
      <c r="K28" s="8">
        <v>695542</v>
      </c>
      <c r="L28" s="8"/>
      <c r="M28" s="8">
        <v>75096</v>
      </c>
      <c r="N28" s="8"/>
      <c r="O28" s="8">
        <v>137902</v>
      </c>
      <c r="P28" s="8"/>
      <c r="Q28" s="8">
        <v>0</v>
      </c>
      <c r="R28" s="8"/>
      <c r="S28" s="8">
        <v>221314</v>
      </c>
      <c r="T28" s="8"/>
      <c r="U28" s="8">
        <v>0</v>
      </c>
      <c r="V28" s="8"/>
      <c r="W28" s="8">
        <v>142150</v>
      </c>
      <c r="X28" s="8"/>
      <c r="Y28" s="8">
        <v>34359</v>
      </c>
      <c r="Z28" s="7"/>
      <c r="AA28" s="8">
        <v>0</v>
      </c>
      <c r="AB28" s="7"/>
      <c r="AC28" s="8">
        <f t="shared" si="1"/>
        <v>3200872</v>
      </c>
      <c r="AD28" s="8"/>
      <c r="AE28" s="11">
        <v>0</v>
      </c>
      <c r="AF28" s="11"/>
      <c r="AG28" s="8">
        <v>80000</v>
      </c>
      <c r="AH28" s="8"/>
      <c r="AI28" s="8">
        <v>1519714</v>
      </c>
      <c r="AJ28" s="8"/>
      <c r="AK28" s="8">
        <v>0</v>
      </c>
      <c r="AL28" s="8"/>
      <c r="AM28" s="8">
        <f>+'Gen rev'!U28-'Gen exp'!AC28-AG28+'Gen rev'!W28+AI28+AK28-'Gen Bal'!W28-'Gen exp'!AE28</f>
        <v>0</v>
      </c>
      <c r="AN28" s="7"/>
      <c r="AO28" s="7"/>
      <c r="AP28" s="7"/>
      <c r="AQ28" s="7"/>
    </row>
    <row r="29" spans="1:45" s="12" customFormat="1" ht="12.75" customHeight="1" x14ac:dyDescent="0.2">
      <c r="A29" s="4" t="s">
        <v>39</v>
      </c>
      <c r="C29" s="4" t="s">
        <v>25</v>
      </c>
      <c r="E29" s="8">
        <v>6055190</v>
      </c>
      <c r="F29" s="8"/>
      <c r="G29" s="8">
        <v>4922225</v>
      </c>
      <c r="H29" s="8"/>
      <c r="I29" s="8">
        <v>462267</v>
      </c>
      <c r="J29" s="8"/>
      <c r="K29" s="8">
        <v>0</v>
      </c>
      <c r="L29" s="8"/>
      <c r="M29" s="8">
        <v>0</v>
      </c>
      <c r="N29" s="8"/>
      <c r="O29" s="8">
        <v>468591</v>
      </c>
      <c r="P29" s="8"/>
      <c r="Q29" s="8">
        <v>1144731</v>
      </c>
      <c r="R29" s="8"/>
      <c r="S29" s="8">
        <v>0</v>
      </c>
      <c r="T29" s="8"/>
      <c r="U29" s="8">
        <v>0</v>
      </c>
      <c r="V29" s="8"/>
      <c r="W29" s="8">
        <v>0</v>
      </c>
      <c r="X29" s="8"/>
      <c r="Y29" s="8">
        <v>0</v>
      </c>
      <c r="Z29" s="7"/>
      <c r="AA29" s="8">
        <v>0</v>
      </c>
      <c r="AB29" s="7"/>
      <c r="AC29" s="8">
        <f t="shared" si="1"/>
        <v>13053004</v>
      </c>
      <c r="AD29" s="8"/>
      <c r="AE29" s="11">
        <v>0</v>
      </c>
      <c r="AF29" s="11"/>
      <c r="AG29" s="8">
        <v>2933570</v>
      </c>
      <c r="AH29" s="8"/>
      <c r="AI29" s="8">
        <v>4281985</v>
      </c>
      <c r="AJ29" s="8"/>
      <c r="AK29" s="8">
        <v>0</v>
      </c>
      <c r="AL29" s="8"/>
      <c r="AM29" s="8">
        <f>+'Gen rev'!U29-'Gen exp'!AC29-AG29+'Gen rev'!W29+AI29+AK29-'Gen Bal'!W29-'Gen exp'!AE29</f>
        <v>0</v>
      </c>
      <c r="AN29" s="7"/>
      <c r="AO29" s="7"/>
      <c r="AP29" s="7"/>
      <c r="AQ29" s="7"/>
    </row>
    <row r="30" spans="1:45" s="12" customFormat="1" ht="12.75" customHeight="1" x14ac:dyDescent="0.2">
      <c r="A30" s="4" t="s">
        <v>40</v>
      </c>
      <c r="C30" s="4" t="s">
        <v>41</v>
      </c>
      <c r="E30" s="8">
        <v>2828684</v>
      </c>
      <c r="F30" s="8"/>
      <c r="G30" s="8">
        <v>5533126</v>
      </c>
      <c r="H30" s="8"/>
      <c r="I30" s="8">
        <v>0</v>
      </c>
      <c r="J30" s="8"/>
      <c r="K30" s="8">
        <v>80648</v>
      </c>
      <c r="L30" s="8"/>
      <c r="M30" s="8">
        <v>0</v>
      </c>
      <c r="N30" s="8"/>
      <c r="O30" s="8">
        <v>1405948</v>
      </c>
      <c r="P30" s="8"/>
      <c r="Q30" s="8">
        <v>0</v>
      </c>
      <c r="R30" s="8"/>
      <c r="S30" s="8">
        <v>359450</v>
      </c>
      <c r="T30" s="8"/>
      <c r="U30" s="8">
        <v>0</v>
      </c>
      <c r="V30" s="8"/>
      <c r="W30" s="8">
        <v>35295</v>
      </c>
      <c r="X30" s="8"/>
      <c r="Y30" s="8">
        <v>2481</v>
      </c>
      <c r="Z30" s="7"/>
      <c r="AA30" s="8">
        <v>0</v>
      </c>
      <c r="AB30" s="7"/>
      <c r="AC30" s="8">
        <f t="shared" si="1"/>
        <v>10245632</v>
      </c>
      <c r="AD30" s="8"/>
      <c r="AE30" s="11">
        <v>0</v>
      </c>
      <c r="AF30" s="11"/>
      <c r="AG30" s="8">
        <v>1636055</v>
      </c>
      <c r="AH30" s="8"/>
      <c r="AI30" s="8">
        <v>5006209</v>
      </c>
      <c r="AJ30" s="8"/>
      <c r="AK30" s="8">
        <v>0</v>
      </c>
      <c r="AL30" s="8"/>
      <c r="AM30" s="8">
        <f>+'Gen rev'!U30-'Gen exp'!AC30-AG30+'Gen rev'!W30+AI30+AK30-'Gen Bal'!W30-'Gen exp'!AE30</f>
        <v>0</v>
      </c>
      <c r="AN30" s="7"/>
      <c r="AO30" s="7"/>
      <c r="AP30" s="7"/>
      <c r="AQ30" s="7"/>
    </row>
    <row r="31" spans="1:45" s="12" customFormat="1" ht="12.75" customHeight="1" x14ac:dyDescent="0.2">
      <c r="A31" s="4" t="s">
        <v>42</v>
      </c>
      <c r="C31" s="4" t="s">
        <v>43</v>
      </c>
      <c r="E31" s="8">
        <v>8116216</v>
      </c>
      <c r="F31" s="8"/>
      <c r="G31" s="8">
        <v>10648855</v>
      </c>
      <c r="H31" s="8"/>
      <c r="I31" s="8">
        <v>1464165</v>
      </c>
      <c r="J31" s="8"/>
      <c r="K31" s="8">
        <v>0</v>
      </c>
      <c r="L31" s="8"/>
      <c r="M31" s="8">
        <v>0</v>
      </c>
      <c r="N31" s="8"/>
      <c r="O31" s="8">
        <v>0</v>
      </c>
      <c r="P31" s="8"/>
      <c r="Q31" s="8">
        <v>0</v>
      </c>
      <c r="R31" s="8"/>
      <c r="S31" s="8">
        <v>0</v>
      </c>
      <c r="T31" s="8"/>
      <c r="U31" s="8">
        <v>0</v>
      </c>
      <c r="V31" s="8"/>
      <c r="W31" s="8">
        <v>0</v>
      </c>
      <c r="X31" s="8"/>
      <c r="Y31" s="8">
        <v>0</v>
      </c>
      <c r="Z31" s="7"/>
      <c r="AA31" s="8">
        <v>0</v>
      </c>
      <c r="AB31" s="7"/>
      <c r="AC31" s="8">
        <f t="shared" si="1"/>
        <v>20229236</v>
      </c>
      <c r="AD31" s="8"/>
      <c r="AE31" s="11">
        <v>0</v>
      </c>
      <c r="AF31" s="11"/>
      <c r="AG31" s="8">
        <v>11934378</v>
      </c>
      <c r="AH31" s="8"/>
      <c r="AI31" s="8">
        <v>26477738</v>
      </c>
      <c r="AJ31" s="8"/>
      <c r="AK31" s="8">
        <v>-7737</v>
      </c>
      <c r="AL31" s="8"/>
      <c r="AM31" s="8">
        <f>+'Gen rev'!U31-'Gen exp'!AC31-AG31+'Gen rev'!W31+AI31+AK31-'Gen Bal'!W31-'Gen exp'!AE31</f>
        <v>0</v>
      </c>
      <c r="AN31" s="7"/>
      <c r="AO31" s="7"/>
      <c r="AP31" s="7"/>
      <c r="AQ31" s="7"/>
    </row>
    <row r="32" spans="1:45" s="12" customFormat="1" ht="12.75" customHeight="1" x14ac:dyDescent="0.2">
      <c r="A32" s="4" t="s">
        <v>44</v>
      </c>
      <c r="C32" s="4" t="s">
        <v>45</v>
      </c>
      <c r="E32" s="8">
        <f>1298776+2639246</f>
        <v>3938022</v>
      </c>
      <c r="F32" s="8"/>
      <c r="G32" s="8">
        <f>4043274+2733769+138726</f>
        <v>6915769</v>
      </c>
      <c r="H32" s="8"/>
      <c r="I32" s="8">
        <v>599353</v>
      </c>
      <c r="J32" s="8"/>
      <c r="K32" s="8">
        <v>64680</v>
      </c>
      <c r="L32" s="8"/>
      <c r="M32" s="8">
        <v>2077903</v>
      </c>
      <c r="N32" s="8"/>
      <c r="O32" s="8">
        <v>0</v>
      </c>
      <c r="P32" s="8"/>
      <c r="Q32" s="8">
        <v>616948</v>
      </c>
      <c r="R32" s="8"/>
      <c r="S32" s="8">
        <v>0</v>
      </c>
      <c r="T32" s="8"/>
      <c r="U32" s="8">
        <v>0</v>
      </c>
      <c r="V32" s="8"/>
      <c r="W32" s="8">
        <v>60000</v>
      </c>
      <c r="X32" s="8"/>
      <c r="Y32" s="8">
        <v>10608</v>
      </c>
      <c r="Z32" s="7"/>
      <c r="AA32" s="8">
        <v>0</v>
      </c>
      <c r="AB32" s="7"/>
      <c r="AC32" s="8">
        <f t="shared" si="1"/>
        <v>14283283</v>
      </c>
      <c r="AD32" s="8"/>
      <c r="AE32" s="11">
        <v>0</v>
      </c>
      <c r="AF32" s="11"/>
      <c r="AG32" s="8">
        <v>46718</v>
      </c>
      <c r="AH32" s="8"/>
      <c r="AI32" s="8">
        <v>3408190</v>
      </c>
      <c r="AJ32" s="8"/>
      <c r="AK32" s="8">
        <v>0</v>
      </c>
      <c r="AL32" s="8"/>
      <c r="AM32" s="8">
        <f>+'Gen rev'!U32-'Gen exp'!AC32-AG32+'Gen rev'!W32+AI32+AK32-'Gen Bal'!W32-'Gen exp'!AE32</f>
        <v>0</v>
      </c>
      <c r="AN32" s="8"/>
      <c r="AO32" s="8"/>
      <c r="AP32" s="8"/>
      <c r="AQ32" s="8"/>
      <c r="AR32" s="15"/>
      <c r="AS32" s="13"/>
    </row>
    <row r="33" spans="1:45" s="12" customFormat="1" ht="12.75" customHeight="1" x14ac:dyDescent="0.2">
      <c r="A33" s="4" t="s">
        <v>46</v>
      </c>
      <c r="C33" s="4" t="s">
        <v>25</v>
      </c>
      <c r="E33" s="8">
        <f>5640650+108353</f>
        <v>5749003</v>
      </c>
      <c r="F33" s="8"/>
      <c r="G33" s="8">
        <f>4396479+16450</f>
        <v>4412929</v>
      </c>
      <c r="H33" s="8"/>
      <c r="I33" s="8">
        <v>827275</v>
      </c>
      <c r="J33" s="8"/>
      <c r="K33" s="8">
        <v>880908</v>
      </c>
      <c r="L33" s="8"/>
      <c r="M33" s="8">
        <v>1741310</v>
      </c>
      <c r="N33" s="8"/>
      <c r="O33" s="8">
        <v>0</v>
      </c>
      <c r="P33" s="8"/>
      <c r="Q33" s="8">
        <v>1938210</v>
      </c>
      <c r="R33" s="8"/>
      <c r="S33" s="8">
        <v>0</v>
      </c>
      <c r="T33" s="8"/>
      <c r="U33" s="8">
        <v>0</v>
      </c>
      <c r="V33" s="8"/>
      <c r="W33" s="8">
        <v>0</v>
      </c>
      <c r="X33" s="8"/>
      <c r="Y33" s="8">
        <v>0</v>
      </c>
      <c r="Z33" s="7"/>
      <c r="AA33" s="8">
        <v>0</v>
      </c>
      <c r="AB33" s="7"/>
      <c r="AC33" s="8">
        <f t="shared" si="1"/>
        <v>15549635</v>
      </c>
      <c r="AD33" s="8"/>
      <c r="AE33" s="11">
        <v>0</v>
      </c>
      <c r="AF33" s="11"/>
      <c r="AG33" s="8">
        <v>807250</v>
      </c>
      <c r="AH33" s="8"/>
      <c r="AI33" s="8">
        <v>8596368</v>
      </c>
      <c r="AJ33" s="8"/>
      <c r="AK33" s="8">
        <v>0</v>
      </c>
      <c r="AL33" s="8"/>
      <c r="AM33" s="8">
        <f>+'Gen rev'!U33-'Gen exp'!AC33-AG33+'Gen rev'!W33+AI33+AK33-'Gen Bal'!W33-'Gen exp'!AE33</f>
        <v>0</v>
      </c>
      <c r="AN33" s="8"/>
      <c r="AO33" s="8"/>
      <c r="AP33" s="8"/>
      <c r="AQ33" s="8"/>
      <c r="AR33" s="15"/>
      <c r="AS33" s="13"/>
    </row>
    <row r="34" spans="1:45" s="12" customFormat="1" ht="12.75" customHeight="1" x14ac:dyDescent="0.2">
      <c r="A34" s="4" t="s">
        <v>47</v>
      </c>
      <c r="C34" s="4" t="s">
        <v>25</v>
      </c>
      <c r="E34" s="8">
        <v>4251431</v>
      </c>
      <c r="F34" s="8"/>
      <c r="G34" s="8">
        <v>4283474</v>
      </c>
      <c r="H34" s="8"/>
      <c r="I34" s="8">
        <v>381043</v>
      </c>
      <c r="J34" s="8"/>
      <c r="K34" s="8">
        <v>339855</v>
      </c>
      <c r="L34" s="8"/>
      <c r="M34" s="8">
        <v>446071</v>
      </c>
      <c r="N34" s="8"/>
      <c r="O34" s="8">
        <v>268589</v>
      </c>
      <c r="P34" s="8"/>
      <c r="Q34" s="8">
        <v>945071</v>
      </c>
      <c r="R34" s="8"/>
      <c r="S34" s="8">
        <v>1000000</v>
      </c>
      <c r="T34" s="8"/>
      <c r="U34" s="8">
        <v>0</v>
      </c>
      <c r="V34" s="8"/>
      <c r="W34" s="8">
        <v>410000</v>
      </c>
      <c r="X34" s="8"/>
      <c r="Y34" s="8">
        <v>72058</v>
      </c>
      <c r="Z34" s="7"/>
      <c r="AA34" s="8">
        <v>0</v>
      </c>
      <c r="AB34" s="7"/>
      <c r="AC34" s="8">
        <f t="shared" si="1"/>
        <v>12397592</v>
      </c>
      <c r="AD34" s="8"/>
      <c r="AE34" s="11">
        <v>0</v>
      </c>
      <c r="AF34" s="11"/>
      <c r="AG34" s="8">
        <v>157000</v>
      </c>
      <c r="AH34" s="8"/>
      <c r="AI34" s="8">
        <v>3718193</v>
      </c>
      <c r="AJ34" s="8"/>
      <c r="AK34" s="8">
        <v>0</v>
      </c>
      <c r="AL34" s="8"/>
      <c r="AM34" s="8">
        <f>+'Gen rev'!U34-'Gen exp'!AC34-AG34+'Gen rev'!W34+AI34+AK34-'Gen Bal'!W34-'Gen exp'!AE34</f>
        <v>0</v>
      </c>
      <c r="AN34" s="7"/>
      <c r="AO34" s="7"/>
      <c r="AP34" s="7"/>
      <c r="AQ34" s="7"/>
    </row>
    <row r="35" spans="1:45" s="12" customFormat="1" ht="12.75" customHeight="1" x14ac:dyDescent="0.2">
      <c r="A35" s="4" t="s">
        <v>48</v>
      </c>
      <c r="C35" s="4" t="s">
        <v>25</v>
      </c>
      <c r="E35" s="8">
        <v>5363701</v>
      </c>
      <c r="F35" s="8"/>
      <c r="G35" s="8">
        <f>5832527+3864111</f>
        <v>9696638</v>
      </c>
      <c r="H35" s="8"/>
      <c r="I35" s="8">
        <v>918759</v>
      </c>
      <c r="J35" s="8"/>
      <c r="K35" s="8">
        <v>203727</v>
      </c>
      <c r="L35" s="8"/>
      <c r="M35" s="8">
        <v>413285</v>
      </c>
      <c r="N35" s="8"/>
      <c r="O35" s="8">
        <v>1900860</v>
      </c>
      <c r="P35" s="8"/>
      <c r="Q35" s="8">
        <v>2820750</v>
      </c>
      <c r="R35" s="8"/>
      <c r="S35" s="8">
        <v>0</v>
      </c>
      <c r="T35" s="8"/>
      <c r="U35" s="8">
        <v>0</v>
      </c>
      <c r="V35" s="8"/>
      <c r="W35" s="8">
        <v>0</v>
      </c>
      <c r="X35" s="8"/>
      <c r="Y35" s="8">
        <v>0</v>
      </c>
      <c r="Z35" s="7"/>
      <c r="AA35" s="8">
        <v>0</v>
      </c>
      <c r="AB35" s="7"/>
      <c r="AC35" s="8">
        <f t="shared" si="1"/>
        <v>21317720</v>
      </c>
      <c r="AD35" s="8"/>
      <c r="AE35" s="11">
        <v>0</v>
      </c>
      <c r="AF35" s="11"/>
      <c r="AG35" s="8">
        <v>1973000</v>
      </c>
      <c r="AH35" s="8"/>
      <c r="AI35" s="8">
        <v>5343172</v>
      </c>
      <c r="AJ35" s="8"/>
      <c r="AK35" s="8">
        <v>0</v>
      </c>
      <c r="AL35" s="8"/>
      <c r="AM35" s="8">
        <f>+'Gen rev'!U35-'Gen exp'!AC35-AG35+'Gen rev'!W35+AI35+AK35-'Gen Bal'!W35-'Gen exp'!AE35</f>
        <v>0</v>
      </c>
      <c r="AN35" s="8"/>
      <c r="AO35" s="8"/>
      <c r="AP35" s="8"/>
      <c r="AQ35" s="8"/>
      <c r="AR35" s="15"/>
      <c r="AS35" s="13"/>
    </row>
    <row r="36" spans="1:45" s="12" customFormat="1" ht="12.75" customHeight="1" x14ac:dyDescent="0.2">
      <c r="A36" s="4" t="s">
        <v>49</v>
      </c>
      <c r="C36" s="4" t="s">
        <v>25</v>
      </c>
      <c r="E36" s="8">
        <v>1896724</v>
      </c>
      <c r="F36" s="8"/>
      <c r="G36" s="8">
        <v>6469579</v>
      </c>
      <c r="H36" s="8"/>
      <c r="I36" s="8">
        <v>1280099</v>
      </c>
      <c r="J36" s="8"/>
      <c r="K36" s="8">
        <v>0</v>
      </c>
      <c r="L36" s="8"/>
      <c r="M36" s="8">
        <v>0</v>
      </c>
      <c r="N36" s="8"/>
      <c r="O36" s="8">
        <v>1546223</v>
      </c>
      <c r="P36" s="8"/>
      <c r="Q36" s="8">
        <v>1652918</v>
      </c>
      <c r="R36" s="8"/>
      <c r="S36" s="8">
        <v>0</v>
      </c>
      <c r="T36" s="8"/>
      <c r="U36" s="8">
        <v>0</v>
      </c>
      <c r="V36" s="8"/>
      <c r="W36" s="8">
        <v>800</v>
      </c>
      <c r="X36" s="8"/>
      <c r="Y36" s="8">
        <v>227</v>
      </c>
      <c r="Z36" s="7"/>
      <c r="AA36" s="8">
        <v>0</v>
      </c>
      <c r="AB36" s="7"/>
      <c r="AC36" s="8">
        <f t="shared" si="1"/>
        <v>12846570</v>
      </c>
      <c r="AD36" s="8"/>
      <c r="AE36" s="11">
        <v>0</v>
      </c>
      <c r="AF36" s="11"/>
      <c r="AG36" s="8">
        <v>3478769</v>
      </c>
      <c r="AH36" s="8"/>
      <c r="AI36" s="8">
        <v>13503612</v>
      </c>
      <c r="AJ36" s="8"/>
      <c r="AK36" s="8">
        <v>0</v>
      </c>
      <c r="AL36" s="8"/>
      <c r="AM36" s="8">
        <f>+'Gen rev'!U36-'Gen exp'!AC36-AG36+'Gen rev'!W36+AI36+AK36-'Gen Bal'!W36-'Gen exp'!AE36</f>
        <v>0</v>
      </c>
      <c r="AN36" s="8"/>
      <c r="AO36" s="8"/>
      <c r="AP36" s="8"/>
      <c r="AQ36" s="8"/>
      <c r="AR36" s="15"/>
      <c r="AS36" s="13"/>
    </row>
    <row r="37" spans="1:45" s="12" customFormat="1" ht="12.75" customHeight="1" x14ac:dyDescent="0.2">
      <c r="A37" s="19" t="s">
        <v>458</v>
      </c>
      <c r="B37" s="9"/>
      <c r="C37" s="19" t="s">
        <v>64</v>
      </c>
      <c r="D37" s="9"/>
      <c r="E37" s="8">
        <v>992273</v>
      </c>
      <c r="F37" s="8"/>
      <c r="G37" s="8">
        <v>2119066</v>
      </c>
      <c r="H37" s="8"/>
      <c r="I37" s="8">
        <v>0</v>
      </c>
      <c r="J37" s="8"/>
      <c r="K37" s="8">
        <v>0</v>
      </c>
      <c r="L37" s="8"/>
      <c r="M37" s="8">
        <v>0</v>
      </c>
      <c r="N37" s="8"/>
      <c r="O37" s="8">
        <v>132887</v>
      </c>
      <c r="P37" s="8"/>
      <c r="Q37" s="8">
        <v>0</v>
      </c>
      <c r="R37" s="8"/>
      <c r="S37" s="8">
        <v>161268</v>
      </c>
      <c r="T37" s="8"/>
      <c r="U37" s="8">
        <v>0</v>
      </c>
      <c r="V37" s="8"/>
      <c r="W37" s="8">
        <v>8530</v>
      </c>
      <c r="X37" s="8"/>
      <c r="Y37" s="8">
        <v>492</v>
      </c>
      <c r="Z37" s="7"/>
      <c r="AA37" s="8">
        <v>0</v>
      </c>
      <c r="AB37" s="7"/>
      <c r="AC37" s="8">
        <f t="shared" si="1"/>
        <v>3414516</v>
      </c>
      <c r="AD37" s="8"/>
      <c r="AE37" s="11">
        <v>0</v>
      </c>
      <c r="AF37" s="11"/>
      <c r="AG37" s="8">
        <v>891214</v>
      </c>
      <c r="AH37" s="8"/>
      <c r="AI37" s="8">
        <v>1627011</v>
      </c>
      <c r="AJ37" s="8"/>
      <c r="AK37" s="8">
        <v>0</v>
      </c>
      <c r="AL37" s="8"/>
      <c r="AM37" s="8">
        <f>+'Gen rev'!U37-'Gen exp'!AC37-AG37+'Gen rev'!W37+AI37+AK37-'Gen Bal'!W37-'Gen exp'!AE37</f>
        <v>0</v>
      </c>
      <c r="AN37" s="8"/>
      <c r="AO37" s="8"/>
      <c r="AP37" s="8"/>
      <c r="AQ37" s="8"/>
      <c r="AR37" s="15"/>
      <c r="AS37" s="13"/>
    </row>
    <row r="38" spans="1:45" s="12" customFormat="1" ht="12.75" customHeight="1" x14ac:dyDescent="0.2">
      <c r="A38" s="4" t="s">
        <v>50</v>
      </c>
      <c r="C38" s="4" t="s">
        <v>51</v>
      </c>
      <c r="E38" s="8">
        <v>2549325</v>
      </c>
      <c r="F38" s="8"/>
      <c r="G38" s="8">
        <v>92028</v>
      </c>
      <c r="H38" s="8"/>
      <c r="I38" s="8">
        <v>1160135</v>
      </c>
      <c r="J38" s="8"/>
      <c r="K38" s="8">
        <v>6399</v>
      </c>
      <c r="L38" s="8"/>
      <c r="M38" s="8">
        <v>0</v>
      </c>
      <c r="N38" s="8"/>
      <c r="O38" s="8">
        <v>119106</v>
      </c>
      <c r="P38" s="8"/>
      <c r="Q38" s="8">
        <v>0</v>
      </c>
      <c r="R38" s="8"/>
      <c r="S38" s="8">
        <v>0</v>
      </c>
      <c r="T38" s="8"/>
      <c r="U38" s="8">
        <v>0</v>
      </c>
      <c r="V38" s="8"/>
      <c r="W38" s="8">
        <v>0</v>
      </c>
      <c r="X38" s="8"/>
      <c r="Y38" s="8">
        <v>0</v>
      </c>
      <c r="Z38" s="7"/>
      <c r="AA38" s="8">
        <v>0</v>
      </c>
      <c r="AB38" s="7"/>
      <c r="AC38" s="8">
        <f t="shared" si="1"/>
        <v>3926993</v>
      </c>
      <c r="AD38" s="8"/>
      <c r="AE38" s="11">
        <v>0</v>
      </c>
      <c r="AF38" s="11"/>
      <c r="AG38" s="8">
        <v>1473984</v>
      </c>
      <c r="AH38" s="8"/>
      <c r="AI38" s="8">
        <v>7765286</v>
      </c>
      <c r="AJ38" s="8"/>
      <c r="AK38" s="8">
        <v>0</v>
      </c>
      <c r="AL38" s="8"/>
      <c r="AM38" s="8">
        <f>+'Gen rev'!U38-'Gen exp'!AC38-AG38+'Gen rev'!W38+AI38+AK38-'Gen Bal'!W38-'Gen exp'!AE38</f>
        <v>0</v>
      </c>
      <c r="AN38" s="8"/>
      <c r="AO38" s="8"/>
      <c r="AP38" s="8"/>
      <c r="AQ38" s="8"/>
      <c r="AR38" s="15"/>
      <c r="AS38" s="13"/>
    </row>
    <row r="39" spans="1:45" s="12" customFormat="1" ht="12.75" customHeight="1" x14ac:dyDescent="0.2">
      <c r="A39" s="4" t="s">
        <v>52</v>
      </c>
      <c r="C39" s="4" t="s">
        <v>53</v>
      </c>
      <c r="E39" s="8">
        <v>3340741</v>
      </c>
      <c r="F39" s="8"/>
      <c r="G39" s="8">
        <v>1781800</v>
      </c>
      <c r="H39" s="8"/>
      <c r="I39" s="8">
        <v>0</v>
      </c>
      <c r="J39" s="8"/>
      <c r="K39" s="8">
        <v>27937</v>
      </c>
      <c r="L39" s="8"/>
      <c r="M39" s="8">
        <v>0</v>
      </c>
      <c r="N39" s="8"/>
      <c r="O39" s="8">
        <v>885910</v>
      </c>
      <c r="P39" s="8"/>
      <c r="Q39" s="8">
        <v>0</v>
      </c>
      <c r="R39" s="8"/>
      <c r="S39" s="8">
        <v>0</v>
      </c>
      <c r="T39" s="8"/>
      <c r="U39" s="8">
        <v>0</v>
      </c>
      <c r="V39" s="8"/>
      <c r="W39" s="8">
        <v>0</v>
      </c>
      <c r="X39" s="8"/>
      <c r="Y39" s="8">
        <v>0</v>
      </c>
      <c r="Z39" s="7"/>
      <c r="AA39" s="8">
        <v>0</v>
      </c>
      <c r="AB39" s="7"/>
      <c r="AC39" s="8">
        <f t="shared" si="1"/>
        <v>6036388</v>
      </c>
      <c r="AD39" s="8"/>
      <c r="AE39" s="11">
        <v>0</v>
      </c>
      <c r="AF39" s="11"/>
      <c r="AG39" s="8">
        <v>2940113</v>
      </c>
      <c r="AH39" s="8"/>
      <c r="AI39" s="8">
        <v>7134683</v>
      </c>
      <c r="AJ39" s="8"/>
      <c r="AK39" s="8">
        <v>0</v>
      </c>
      <c r="AL39" s="8"/>
      <c r="AM39" s="8">
        <f>+'Gen rev'!U39-'Gen exp'!AC39-AG39+'Gen rev'!W39+AI39+AK39-'Gen Bal'!W39-'Gen exp'!AE39</f>
        <v>0</v>
      </c>
      <c r="AN39" s="8"/>
      <c r="AO39" s="8"/>
      <c r="AP39" s="8"/>
      <c r="AQ39" s="8"/>
      <c r="AR39" s="15"/>
      <c r="AS39" s="13"/>
    </row>
    <row r="40" spans="1:45" s="12" customFormat="1" ht="12.75" customHeight="1" x14ac:dyDescent="0.2">
      <c r="A40" s="4" t="s">
        <v>54</v>
      </c>
      <c r="C40" s="4" t="s">
        <v>55</v>
      </c>
      <c r="E40" s="8">
        <v>982492</v>
      </c>
      <c r="F40" s="8"/>
      <c r="G40" s="8">
        <f>1589353+843094+157654</f>
        <v>2590101</v>
      </c>
      <c r="H40" s="8"/>
      <c r="I40" s="8">
        <v>0</v>
      </c>
      <c r="J40" s="8"/>
      <c r="K40" s="8">
        <v>229820</v>
      </c>
      <c r="L40" s="8"/>
      <c r="M40" s="8">
        <v>31552</v>
      </c>
      <c r="N40" s="8"/>
      <c r="O40" s="8">
        <v>35831</v>
      </c>
      <c r="P40" s="8"/>
      <c r="Q40" s="8">
        <v>0</v>
      </c>
      <c r="R40" s="8"/>
      <c r="S40" s="8">
        <v>0</v>
      </c>
      <c r="T40" s="8"/>
      <c r="U40" s="8">
        <v>0</v>
      </c>
      <c r="V40" s="8"/>
      <c r="W40" s="8">
        <v>11548</v>
      </c>
      <c r="X40" s="8"/>
      <c r="Y40" s="8">
        <v>11900</v>
      </c>
      <c r="Z40" s="7"/>
      <c r="AA40" s="8">
        <v>0</v>
      </c>
      <c r="AB40" s="7"/>
      <c r="AC40" s="8">
        <f t="shared" si="1"/>
        <v>3893244</v>
      </c>
      <c r="AD40" s="8"/>
      <c r="AE40" s="11">
        <v>0</v>
      </c>
      <c r="AF40" s="11"/>
      <c r="AG40" s="8">
        <v>216314</v>
      </c>
      <c r="AH40" s="8"/>
      <c r="AI40" s="8">
        <v>686131</v>
      </c>
      <c r="AJ40" s="8"/>
      <c r="AK40" s="8">
        <v>0</v>
      </c>
      <c r="AL40" s="8"/>
      <c r="AM40" s="8">
        <f>+'Gen rev'!U40-'Gen exp'!AC40-AG40+'Gen rev'!W40+AI40+AK40-'Gen Bal'!W40-'Gen exp'!AE40</f>
        <v>0</v>
      </c>
      <c r="AN40" s="8"/>
      <c r="AO40" s="8"/>
      <c r="AP40" s="8"/>
      <c r="AQ40" s="8"/>
      <c r="AR40" s="15"/>
      <c r="AS40" s="13"/>
    </row>
    <row r="41" spans="1:45" s="12" customFormat="1" ht="12.75" customHeight="1" x14ac:dyDescent="0.2">
      <c r="A41" s="4" t="s">
        <v>56</v>
      </c>
      <c r="C41" s="4" t="s">
        <v>57</v>
      </c>
      <c r="E41" s="8">
        <v>2769997</v>
      </c>
      <c r="F41" s="8"/>
      <c r="G41" s="8">
        <v>2183096</v>
      </c>
      <c r="H41" s="8"/>
      <c r="I41" s="8">
        <v>222902</v>
      </c>
      <c r="J41" s="8"/>
      <c r="K41" s="8">
        <v>0</v>
      </c>
      <c r="L41" s="8"/>
      <c r="M41" s="8">
        <v>124000</v>
      </c>
      <c r="N41" s="8"/>
      <c r="O41" s="8">
        <v>809766</v>
      </c>
      <c r="P41" s="8"/>
      <c r="Q41" s="8">
        <v>0</v>
      </c>
      <c r="R41" s="8"/>
      <c r="S41" s="8">
        <v>30998</v>
      </c>
      <c r="T41" s="8"/>
      <c r="U41" s="8">
        <v>0</v>
      </c>
      <c r="V41" s="8"/>
      <c r="W41" s="8">
        <v>22462</v>
      </c>
      <c r="X41" s="8"/>
      <c r="Y41" s="8">
        <v>3005</v>
      </c>
      <c r="Z41" s="7"/>
      <c r="AA41" s="8">
        <v>0</v>
      </c>
      <c r="AB41" s="7"/>
      <c r="AC41" s="8">
        <f t="shared" si="1"/>
        <v>6166226</v>
      </c>
      <c r="AD41" s="8"/>
      <c r="AE41" s="11">
        <v>0</v>
      </c>
      <c r="AF41" s="11"/>
      <c r="AG41" s="8">
        <v>742690</v>
      </c>
      <c r="AH41" s="8"/>
      <c r="AI41" s="8">
        <v>1393170</v>
      </c>
      <c r="AJ41" s="8"/>
      <c r="AK41" s="8">
        <v>0</v>
      </c>
      <c r="AL41" s="8"/>
      <c r="AM41" s="8">
        <f>+'Gen rev'!U41-'Gen exp'!AC41-AG41+'Gen rev'!W41+AI41+AK41-'Gen Bal'!W41-'Gen exp'!AE41</f>
        <v>0</v>
      </c>
      <c r="AN41" s="8"/>
      <c r="AO41" s="8"/>
      <c r="AP41" s="8"/>
      <c r="AQ41" s="8"/>
      <c r="AR41" s="15"/>
      <c r="AS41" s="13"/>
    </row>
    <row r="42" spans="1:45" s="12" customFormat="1" ht="12.75" customHeight="1" x14ac:dyDescent="0.2">
      <c r="A42" s="9" t="s">
        <v>509</v>
      </c>
      <c r="B42" s="9"/>
      <c r="C42" s="19" t="s">
        <v>59</v>
      </c>
      <c r="D42" s="9"/>
      <c r="E42" s="8">
        <v>1128575</v>
      </c>
      <c r="F42" s="8"/>
      <c r="G42" s="8">
        <f>958977+470032</f>
        <v>1429009</v>
      </c>
      <c r="H42" s="8"/>
      <c r="I42" s="8">
        <v>0</v>
      </c>
      <c r="J42" s="8"/>
      <c r="K42" s="8">
        <v>0</v>
      </c>
      <c r="L42" s="8"/>
      <c r="M42" s="8">
        <v>0</v>
      </c>
      <c r="N42" s="8"/>
      <c r="O42" s="8">
        <v>0</v>
      </c>
      <c r="P42" s="8"/>
      <c r="Q42" s="8">
        <v>0</v>
      </c>
      <c r="R42" s="8"/>
      <c r="S42" s="8">
        <v>0</v>
      </c>
      <c r="T42" s="8"/>
      <c r="U42" s="8">
        <v>0</v>
      </c>
      <c r="V42" s="8"/>
      <c r="W42" s="8">
        <v>115966</v>
      </c>
      <c r="X42" s="8"/>
      <c r="Y42" s="8">
        <v>5669</v>
      </c>
      <c r="Z42" s="7"/>
      <c r="AA42" s="8">
        <v>0</v>
      </c>
      <c r="AB42" s="7"/>
      <c r="AC42" s="8">
        <f t="shared" ref="AC42" si="3">SUM(E42:AA42)</f>
        <v>2679219</v>
      </c>
      <c r="AD42" s="8"/>
      <c r="AE42" s="11">
        <v>0</v>
      </c>
      <c r="AF42" s="11"/>
      <c r="AG42" s="8">
        <v>55000</v>
      </c>
      <c r="AH42" s="8"/>
      <c r="AI42" s="8">
        <v>1046754</v>
      </c>
      <c r="AJ42" s="8"/>
      <c r="AK42" s="8">
        <v>0</v>
      </c>
      <c r="AL42" s="8"/>
      <c r="AM42" s="8">
        <f>+'Gen rev'!U42-'Gen exp'!AC42-AG42+'Gen rev'!W42+AI42+AK42-'Gen Bal'!W42-'Gen exp'!AE42</f>
        <v>0</v>
      </c>
      <c r="AN42" s="8"/>
      <c r="AO42" s="8"/>
      <c r="AP42" s="8"/>
      <c r="AQ42" s="8"/>
      <c r="AR42" s="15"/>
      <c r="AS42" s="13"/>
    </row>
    <row r="43" spans="1:45" s="12" customFormat="1" ht="12.75" customHeight="1" x14ac:dyDescent="0.2">
      <c r="A43" s="9" t="s">
        <v>470</v>
      </c>
      <c r="B43" s="9"/>
      <c r="C43" s="19" t="s">
        <v>13</v>
      </c>
      <c r="D43" s="9"/>
      <c r="E43" s="8">
        <v>619642</v>
      </c>
      <c r="F43" s="8"/>
      <c r="G43" s="8">
        <v>0</v>
      </c>
      <c r="H43" s="8"/>
      <c r="I43" s="8">
        <v>0</v>
      </c>
      <c r="J43" s="8"/>
      <c r="K43" s="8">
        <v>0</v>
      </c>
      <c r="L43" s="8"/>
      <c r="M43" s="8">
        <v>13805</v>
      </c>
      <c r="N43" s="8"/>
      <c r="O43" s="8">
        <v>68833</v>
      </c>
      <c r="P43" s="8"/>
      <c r="Q43" s="8">
        <v>0</v>
      </c>
      <c r="R43" s="8"/>
      <c r="S43" s="8">
        <v>0</v>
      </c>
      <c r="T43" s="8"/>
      <c r="U43" s="8">
        <v>0</v>
      </c>
      <c r="V43" s="8"/>
      <c r="W43" s="8">
        <v>0</v>
      </c>
      <c r="X43" s="8"/>
      <c r="Y43" s="8">
        <v>0</v>
      </c>
      <c r="Z43" s="7"/>
      <c r="AA43" s="8">
        <v>0</v>
      </c>
      <c r="AB43" s="7"/>
      <c r="AC43" s="8">
        <f t="shared" si="1"/>
        <v>702280</v>
      </c>
      <c r="AD43" s="8"/>
      <c r="AE43" s="11">
        <v>0</v>
      </c>
      <c r="AF43" s="11"/>
      <c r="AG43" s="8">
        <v>1350000</v>
      </c>
      <c r="AH43" s="8"/>
      <c r="AI43" s="8">
        <v>727058</v>
      </c>
      <c r="AJ43" s="8"/>
      <c r="AK43" s="8">
        <v>0</v>
      </c>
      <c r="AL43" s="8"/>
      <c r="AM43" s="8">
        <f>+'Gen rev'!U43-'Gen exp'!AC43-AG43+'Gen rev'!W43+AI43+AK43-'Gen Bal'!W43-'Gen exp'!AE43</f>
        <v>0</v>
      </c>
      <c r="AN43" s="8"/>
      <c r="AO43" s="8"/>
      <c r="AP43" s="8"/>
      <c r="AQ43" s="8"/>
      <c r="AR43" s="15"/>
      <c r="AS43" s="13"/>
    </row>
    <row r="44" spans="1:45" s="12" customFormat="1" ht="12.75" customHeight="1" x14ac:dyDescent="0.2">
      <c r="A44" s="7" t="s">
        <v>493</v>
      </c>
      <c r="B44" s="10"/>
      <c r="C44" s="7" t="s">
        <v>41</v>
      </c>
      <c r="D44" s="9"/>
      <c r="E44" s="8">
        <v>1914340</v>
      </c>
      <c r="F44" s="8"/>
      <c r="G44" s="8">
        <v>1023658</v>
      </c>
      <c r="H44" s="8"/>
      <c r="I44" s="8">
        <v>532875</v>
      </c>
      <c r="J44" s="8"/>
      <c r="K44" s="8">
        <v>37494</v>
      </c>
      <c r="L44" s="8"/>
      <c r="M44" s="8">
        <v>439036</v>
      </c>
      <c r="N44" s="8"/>
      <c r="O44" s="8">
        <v>441260</v>
      </c>
      <c r="P44" s="8"/>
      <c r="Q44" s="8">
        <v>0</v>
      </c>
      <c r="R44" s="8"/>
      <c r="S44" s="8">
        <v>529871</v>
      </c>
      <c r="T44" s="8"/>
      <c r="U44" s="8">
        <v>0</v>
      </c>
      <c r="V44" s="8"/>
      <c r="W44" s="8">
        <v>223347</v>
      </c>
      <c r="X44" s="8"/>
      <c r="Y44" s="8">
        <v>6015</v>
      </c>
      <c r="Z44" s="7"/>
      <c r="AA44" s="8">
        <v>0</v>
      </c>
      <c r="AB44" s="7"/>
      <c r="AC44" s="8">
        <f t="shared" ref="AC44" si="4">SUM(E44:AA44)</f>
        <v>5147896</v>
      </c>
      <c r="AD44" s="8"/>
      <c r="AE44" s="11">
        <v>0</v>
      </c>
      <c r="AF44" s="11"/>
      <c r="AG44" s="8">
        <v>992693</v>
      </c>
      <c r="AH44" s="8"/>
      <c r="AI44" s="8">
        <v>3202918</v>
      </c>
      <c r="AJ44" s="8"/>
      <c r="AK44" s="8">
        <v>0</v>
      </c>
      <c r="AL44" s="8"/>
      <c r="AM44" s="8">
        <f>+'Gen rev'!U44-'Gen exp'!AC44-AG44+'Gen rev'!W44+AI44+AK44-'Gen Bal'!W44-'Gen exp'!AE44</f>
        <v>0</v>
      </c>
      <c r="AN44" s="8"/>
      <c r="AO44" s="8"/>
      <c r="AP44" s="8"/>
      <c r="AQ44" s="8"/>
      <c r="AR44" s="15"/>
      <c r="AS44" s="13"/>
    </row>
    <row r="45" spans="1:45" s="12" customFormat="1" ht="12.75" customHeight="1" x14ac:dyDescent="0.2">
      <c r="A45" s="4" t="s">
        <v>58</v>
      </c>
      <c r="C45" s="4" t="s">
        <v>59</v>
      </c>
      <c r="E45" s="8">
        <v>935853</v>
      </c>
      <c r="F45" s="8"/>
      <c r="G45" s="8">
        <v>2536303</v>
      </c>
      <c r="H45" s="8"/>
      <c r="I45" s="8">
        <v>111546</v>
      </c>
      <c r="J45" s="8"/>
      <c r="K45" s="8">
        <v>55306</v>
      </c>
      <c r="L45" s="8"/>
      <c r="M45" s="8">
        <v>0</v>
      </c>
      <c r="N45" s="8"/>
      <c r="O45" s="8">
        <v>0</v>
      </c>
      <c r="P45" s="8"/>
      <c r="Q45" s="8">
        <v>0</v>
      </c>
      <c r="R45" s="8"/>
      <c r="S45" s="8">
        <v>150693</v>
      </c>
      <c r="T45" s="8"/>
      <c r="U45" s="8">
        <v>0</v>
      </c>
      <c r="V45" s="8"/>
      <c r="W45" s="8">
        <v>0</v>
      </c>
      <c r="X45" s="8"/>
      <c r="Y45" s="8">
        <v>0</v>
      </c>
      <c r="Z45" s="7"/>
      <c r="AA45" s="8">
        <v>0</v>
      </c>
      <c r="AB45" s="7"/>
      <c r="AC45" s="8">
        <f t="shared" si="1"/>
        <v>3789701</v>
      </c>
      <c r="AD45" s="8"/>
      <c r="AE45" s="11">
        <v>0</v>
      </c>
      <c r="AF45" s="11"/>
      <c r="AG45" s="8">
        <v>94704</v>
      </c>
      <c r="AH45" s="8"/>
      <c r="AI45" s="8">
        <v>1878016</v>
      </c>
      <c r="AJ45" s="8"/>
      <c r="AK45" s="8">
        <v>0</v>
      </c>
      <c r="AL45" s="8"/>
      <c r="AM45" s="8">
        <f>+'Gen rev'!U45-'Gen exp'!AC45-AG45+'Gen rev'!W45+AI45+AK45-'Gen Bal'!W45-'Gen exp'!AE45</f>
        <v>0</v>
      </c>
      <c r="AN45" s="8"/>
      <c r="AO45" s="8"/>
      <c r="AP45" s="8"/>
      <c r="AQ45" s="8"/>
      <c r="AR45" s="15"/>
      <c r="AS45" s="13"/>
    </row>
    <row r="46" spans="1:45" s="12" customFormat="1" ht="12.75" hidden="1" customHeight="1" x14ac:dyDescent="0.2">
      <c r="A46" s="9" t="s">
        <v>60</v>
      </c>
      <c r="B46" s="9"/>
      <c r="C46" s="19" t="s">
        <v>13</v>
      </c>
      <c r="D46" s="9"/>
      <c r="E46" s="8">
        <v>16679302</v>
      </c>
      <c r="F46" s="8"/>
      <c r="G46" s="8">
        <v>31956388</v>
      </c>
      <c r="H46" s="8"/>
      <c r="I46" s="8">
        <v>0</v>
      </c>
      <c r="J46" s="8"/>
      <c r="K46" s="8">
        <v>2502121</v>
      </c>
      <c r="L46" s="8"/>
      <c r="M46" s="8">
        <v>1269930</v>
      </c>
      <c r="N46" s="8"/>
      <c r="O46" s="8">
        <v>1400681</v>
      </c>
      <c r="P46" s="8"/>
      <c r="Q46" s="8">
        <v>0</v>
      </c>
      <c r="R46" s="8"/>
      <c r="S46" s="8">
        <v>0</v>
      </c>
      <c r="T46" s="8"/>
      <c r="U46" s="8">
        <v>0</v>
      </c>
      <c r="V46" s="8"/>
      <c r="W46" s="8">
        <v>405000</v>
      </c>
      <c r="X46" s="8"/>
      <c r="Y46" s="8">
        <v>130003</v>
      </c>
      <c r="Z46" s="7"/>
      <c r="AA46" s="8">
        <v>0</v>
      </c>
      <c r="AB46" s="7"/>
      <c r="AC46" s="8">
        <f t="shared" si="1"/>
        <v>54343425</v>
      </c>
      <c r="AD46" s="8"/>
      <c r="AE46" s="11">
        <v>0</v>
      </c>
      <c r="AF46" s="11"/>
      <c r="AG46" s="8">
        <v>65000</v>
      </c>
      <c r="AH46" s="8"/>
      <c r="AI46" s="8">
        <v>6291527</v>
      </c>
      <c r="AJ46" s="8"/>
      <c r="AK46" s="8">
        <v>0</v>
      </c>
      <c r="AL46" s="8"/>
      <c r="AM46" s="8">
        <f>+'Gen rev'!U46-'Gen exp'!AC46-AG46+'Gen rev'!W46+AI46+AK46-'Gen Bal'!W46-'Gen exp'!AE46</f>
        <v>0</v>
      </c>
      <c r="AN46" s="7"/>
      <c r="AO46" s="8"/>
      <c r="AP46" s="8"/>
      <c r="AQ46" s="8"/>
      <c r="AR46" s="15"/>
      <c r="AS46" s="13"/>
    </row>
    <row r="47" spans="1:45" s="12" customFormat="1" ht="12.75" hidden="1" customHeight="1" x14ac:dyDescent="0.2">
      <c r="A47" s="4" t="s">
        <v>479</v>
      </c>
      <c r="C47" s="4" t="s">
        <v>109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7"/>
      <c r="AA47" s="8"/>
      <c r="AB47" s="7"/>
      <c r="AC47" s="8">
        <f t="shared" si="1"/>
        <v>0</v>
      </c>
      <c r="AD47" s="8"/>
      <c r="AE47" s="11"/>
      <c r="AF47" s="11"/>
      <c r="AG47" s="8"/>
      <c r="AH47" s="8"/>
      <c r="AI47" s="8"/>
      <c r="AJ47" s="8"/>
      <c r="AK47" s="8"/>
      <c r="AL47" s="8"/>
      <c r="AM47" s="8">
        <f>+'Gen rev'!U47-'Gen exp'!AC47-AG47+'Gen rev'!W47+AI47+AK47-'Gen Bal'!W47-'Gen exp'!AE47</f>
        <v>0</v>
      </c>
      <c r="AN47" s="7"/>
      <c r="AO47" s="11"/>
      <c r="AP47" s="11"/>
      <c r="AQ47" s="11"/>
      <c r="AR47" s="15"/>
      <c r="AS47" s="13"/>
    </row>
    <row r="48" spans="1:45" s="12" customFormat="1" ht="12.75" customHeight="1" x14ac:dyDescent="0.2">
      <c r="A48" s="4" t="s">
        <v>61</v>
      </c>
      <c r="C48" s="4" t="s">
        <v>62</v>
      </c>
      <c r="E48" s="8">
        <v>1245314</v>
      </c>
      <c r="F48" s="8"/>
      <c r="G48" s="8">
        <v>3053326</v>
      </c>
      <c r="H48" s="8"/>
      <c r="I48" s="8">
        <v>13821</v>
      </c>
      <c r="J48" s="8"/>
      <c r="K48" s="8">
        <v>79768</v>
      </c>
      <c r="L48" s="8"/>
      <c r="M48" s="8">
        <v>159033</v>
      </c>
      <c r="N48" s="8"/>
      <c r="O48" s="8">
        <v>65493</v>
      </c>
      <c r="P48" s="8"/>
      <c r="Q48" s="8">
        <v>196959</v>
      </c>
      <c r="R48" s="8"/>
      <c r="S48" s="8">
        <v>0</v>
      </c>
      <c r="T48" s="8"/>
      <c r="U48" s="8">
        <v>0</v>
      </c>
      <c r="V48" s="8"/>
      <c r="W48" s="8">
        <v>0</v>
      </c>
      <c r="X48" s="8"/>
      <c r="Y48" s="8">
        <v>0</v>
      </c>
      <c r="Z48" s="7"/>
      <c r="AA48" s="8">
        <v>0</v>
      </c>
      <c r="AB48" s="7"/>
      <c r="AC48" s="8">
        <f t="shared" si="1"/>
        <v>4813714</v>
      </c>
      <c r="AD48" s="8"/>
      <c r="AE48" s="11">
        <v>0</v>
      </c>
      <c r="AF48" s="11"/>
      <c r="AG48" s="8">
        <v>1284544</v>
      </c>
      <c r="AH48" s="8"/>
      <c r="AI48" s="8">
        <v>1532234</v>
      </c>
      <c r="AJ48" s="8"/>
      <c r="AK48" s="8">
        <v>0</v>
      </c>
      <c r="AL48" s="8"/>
      <c r="AM48" s="8">
        <f>+'Gen rev'!U48-'Gen exp'!AC48-AG48+'Gen rev'!W48+AI48+AK48-'Gen Bal'!W48-'Gen exp'!AE48</f>
        <v>0</v>
      </c>
      <c r="AN48" s="11"/>
      <c r="AO48" s="11"/>
      <c r="AP48" s="11"/>
      <c r="AQ48" s="11"/>
      <c r="AR48" s="15"/>
      <c r="AS48" s="13"/>
    </row>
    <row r="49" spans="1:45" s="12" customFormat="1" ht="12.75" customHeight="1" x14ac:dyDescent="0.2">
      <c r="A49" s="4" t="s">
        <v>63</v>
      </c>
      <c r="C49" s="4" t="s">
        <v>64</v>
      </c>
      <c r="E49" s="8">
        <v>4646451</v>
      </c>
      <c r="F49" s="8"/>
      <c r="G49" s="8">
        <v>6080245</v>
      </c>
      <c r="H49" s="8"/>
      <c r="I49" s="8">
        <v>236503</v>
      </c>
      <c r="J49" s="8"/>
      <c r="K49" s="8">
        <v>0</v>
      </c>
      <c r="L49" s="8"/>
      <c r="M49" s="8">
        <v>0</v>
      </c>
      <c r="N49" s="8"/>
      <c r="O49" s="8">
        <v>233255</v>
      </c>
      <c r="P49" s="8"/>
      <c r="Q49" s="8">
        <v>0</v>
      </c>
      <c r="R49" s="8"/>
      <c r="S49" s="8">
        <v>151842</v>
      </c>
      <c r="T49" s="8"/>
      <c r="U49" s="8">
        <v>0</v>
      </c>
      <c r="V49" s="8"/>
      <c r="W49" s="8">
        <v>0</v>
      </c>
      <c r="X49" s="8"/>
      <c r="Y49" s="8">
        <v>0</v>
      </c>
      <c r="Z49" s="7"/>
      <c r="AA49" s="8">
        <v>0</v>
      </c>
      <c r="AB49" s="7"/>
      <c r="AC49" s="8">
        <f t="shared" si="1"/>
        <v>11348296</v>
      </c>
      <c r="AD49" s="8"/>
      <c r="AE49" s="11">
        <v>0</v>
      </c>
      <c r="AF49" s="11"/>
      <c r="AG49" s="8">
        <v>6095000</v>
      </c>
      <c r="AH49" s="8"/>
      <c r="AI49" s="8">
        <v>13111837</v>
      </c>
      <c r="AJ49" s="8"/>
      <c r="AK49" s="8">
        <v>-1413</v>
      </c>
      <c r="AL49" s="8"/>
      <c r="AM49" s="8">
        <f>+'Gen rev'!U49-'Gen exp'!AC49-AG49+'Gen rev'!W49+AI49+AK49-'Gen Bal'!W49-'Gen exp'!AE49</f>
        <v>0</v>
      </c>
      <c r="AN49" s="8"/>
      <c r="AO49" s="8"/>
      <c r="AP49" s="8"/>
      <c r="AQ49" s="8"/>
      <c r="AR49" s="15"/>
      <c r="AS49" s="13"/>
    </row>
    <row r="50" spans="1:45" s="12" customFormat="1" ht="12.75" hidden="1" customHeight="1" x14ac:dyDescent="0.2">
      <c r="A50" s="4" t="s">
        <v>65</v>
      </c>
      <c r="C50" s="4" t="s">
        <v>373</v>
      </c>
      <c r="E50" s="8">
        <v>2504004</v>
      </c>
      <c r="F50" s="8"/>
      <c r="G50" s="8">
        <v>1287305</v>
      </c>
      <c r="H50" s="8"/>
      <c r="I50" s="8">
        <v>150604</v>
      </c>
      <c r="J50" s="8"/>
      <c r="K50" s="8">
        <v>14150</v>
      </c>
      <c r="L50" s="8"/>
      <c r="M50" s="8">
        <v>1551172</v>
      </c>
      <c r="N50" s="8"/>
      <c r="O50" s="8">
        <v>0</v>
      </c>
      <c r="P50" s="8"/>
      <c r="Q50" s="8">
        <v>0</v>
      </c>
      <c r="R50" s="8"/>
      <c r="S50" s="8">
        <v>96596</v>
      </c>
      <c r="T50" s="8"/>
      <c r="U50" s="8">
        <v>0</v>
      </c>
      <c r="V50" s="8"/>
      <c r="W50" s="8">
        <v>66304</v>
      </c>
      <c r="X50" s="8"/>
      <c r="Y50" s="8">
        <v>0</v>
      </c>
      <c r="Z50" s="7"/>
      <c r="AA50" s="8">
        <v>0</v>
      </c>
      <c r="AB50" s="7"/>
      <c r="AC50" s="8">
        <f t="shared" si="1"/>
        <v>5670135</v>
      </c>
      <c r="AD50" s="8"/>
      <c r="AE50" s="11">
        <v>0</v>
      </c>
      <c r="AF50" s="11"/>
      <c r="AG50" s="8">
        <v>1310000</v>
      </c>
      <c r="AH50" s="8"/>
      <c r="AI50" s="8">
        <v>2413178</v>
      </c>
      <c r="AJ50" s="8"/>
      <c r="AK50" s="8">
        <v>0</v>
      </c>
      <c r="AL50" s="8"/>
      <c r="AM50" s="8">
        <f>+'Gen rev'!U50-'Gen exp'!AC50-AG50+'Gen rev'!W50+AI50+AK50-'Gen Bal'!W50-'Gen exp'!AE50</f>
        <v>0</v>
      </c>
      <c r="AN50" s="8"/>
      <c r="AO50" s="8"/>
      <c r="AP50" s="8"/>
      <c r="AQ50" s="8"/>
      <c r="AR50" s="15"/>
      <c r="AS50" s="13"/>
    </row>
    <row r="51" spans="1:45" s="12" customFormat="1" ht="12.75" customHeight="1" x14ac:dyDescent="0.2">
      <c r="A51" s="4" t="s">
        <v>66</v>
      </c>
      <c r="C51" s="4" t="s">
        <v>43</v>
      </c>
      <c r="E51" s="8">
        <v>1410411</v>
      </c>
      <c r="F51" s="8"/>
      <c r="G51" s="8">
        <v>2024519</v>
      </c>
      <c r="H51" s="8"/>
      <c r="I51" s="8">
        <v>0</v>
      </c>
      <c r="J51" s="8"/>
      <c r="K51" s="8">
        <v>7221</v>
      </c>
      <c r="L51" s="8"/>
      <c r="M51" s="8">
        <v>100871</v>
      </c>
      <c r="N51" s="8"/>
      <c r="O51" s="8">
        <v>272346</v>
      </c>
      <c r="P51" s="8"/>
      <c r="Q51" s="8">
        <v>355606</v>
      </c>
      <c r="R51" s="8"/>
      <c r="S51" s="8">
        <v>0</v>
      </c>
      <c r="T51" s="8"/>
      <c r="U51" s="8">
        <v>0</v>
      </c>
      <c r="V51" s="8"/>
      <c r="W51" s="8">
        <v>0</v>
      </c>
      <c r="X51" s="8"/>
      <c r="Y51" s="8">
        <v>0</v>
      </c>
      <c r="Z51" s="7"/>
      <c r="AA51" s="8">
        <v>0</v>
      </c>
      <c r="AB51" s="7"/>
      <c r="AC51" s="8">
        <f t="shared" si="1"/>
        <v>4170974</v>
      </c>
      <c r="AD51" s="8"/>
      <c r="AE51" s="11">
        <v>0</v>
      </c>
      <c r="AF51" s="11"/>
      <c r="AG51" s="8">
        <v>8000</v>
      </c>
      <c r="AH51" s="8"/>
      <c r="AI51" s="8">
        <v>821059</v>
      </c>
      <c r="AJ51" s="8"/>
      <c r="AK51" s="8">
        <v>1142</v>
      </c>
      <c r="AL51" s="8"/>
      <c r="AM51" s="8">
        <f>+'Gen rev'!U51-'Gen exp'!AC51-AG51+'Gen rev'!W51+AI51+AK51-'Gen Bal'!W51-'Gen exp'!AE51</f>
        <v>0</v>
      </c>
      <c r="AN51" s="8"/>
      <c r="AO51" s="8"/>
      <c r="AP51" s="8"/>
      <c r="AQ51" s="8"/>
      <c r="AR51" s="15"/>
      <c r="AS51" s="13"/>
    </row>
    <row r="52" spans="1:45" s="12" customFormat="1" ht="12.75" hidden="1" customHeight="1" x14ac:dyDescent="0.2">
      <c r="A52" s="4" t="s">
        <v>67</v>
      </c>
      <c r="C52" s="4" t="s">
        <v>68</v>
      </c>
      <c r="E52" s="8">
        <v>5604348</v>
      </c>
      <c r="F52" s="8"/>
      <c r="G52" s="8">
        <f>4708481+4421878</f>
        <v>9130359</v>
      </c>
      <c r="H52" s="8"/>
      <c r="I52" s="8">
        <v>47594</v>
      </c>
      <c r="J52" s="8"/>
      <c r="K52" s="8">
        <v>0</v>
      </c>
      <c r="L52" s="8"/>
      <c r="M52" s="8">
        <v>262999</v>
      </c>
      <c r="N52" s="8"/>
      <c r="O52" s="8">
        <v>101114</v>
      </c>
      <c r="P52" s="8"/>
      <c r="Q52" s="8">
        <v>685053</v>
      </c>
      <c r="R52" s="8"/>
      <c r="S52" s="8">
        <v>59045</v>
      </c>
      <c r="T52" s="8"/>
      <c r="U52" s="8">
        <v>0</v>
      </c>
      <c r="V52" s="8"/>
      <c r="W52" s="8">
        <v>38523</v>
      </c>
      <c r="X52" s="8"/>
      <c r="Y52" s="8">
        <v>45769</v>
      </c>
      <c r="Z52" s="7"/>
      <c r="AA52" s="8">
        <v>0</v>
      </c>
      <c r="AB52" s="7"/>
      <c r="AC52" s="8">
        <f t="shared" si="1"/>
        <v>15974804</v>
      </c>
      <c r="AD52" s="8"/>
      <c r="AE52" s="11">
        <v>0</v>
      </c>
      <c r="AF52" s="11"/>
      <c r="AG52" s="8">
        <v>1599956</v>
      </c>
      <c r="AH52" s="8"/>
      <c r="AI52" s="8">
        <v>1583510</v>
      </c>
      <c r="AJ52" s="8"/>
      <c r="AK52" s="8">
        <v>0</v>
      </c>
      <c r="AL52" s="8"/>
      <c r="AM52" s="8">
        <f>+'Gen rev'!U52-'Gen exp'!AC52-AG52+'Gen rev'!W52+AI52+AK52-'Gen Bal'!W52-'Gen exp'!AE52</f>
        <v>0</v>
      </c>
      <c r="AN52" s="8"/>
      <c r="AO52" s="8"/>
      <c r="AP52" s="8"/>
      <c r="AQ52" s="8"/>
      <c r="AR52" s="15"/>
      <c r="AS52" s="13"/>
    </row>
    <row r="53" spans="1:45" s="12" customFormat="1" ht="12.75" customHeight="1" x14ac:dyDescent="0.2">
      <c r="A53" s="4" t="s">
        <v>69</v>
      </c>
      <c r="C53" s="4" t="s">
        <v>43</v>
      </c>
      <c r="E53" s="8">
        <v>40180000</v>
      </c>
      <c r="F53" s="8"/>
      <c r="G53" s="8">
        <v>164916000</v>
      </c>
      <c r="H53" s="8"/>
      <c r="I53" s="8">
        <v>4731000</v>
      </c>
      <c r="J53" s="8"/>
      <c r="K53" s="8">
        <v>14490000</v>
      </c>
      <c r="L53" s="8"/>
      <c r="M53" s="8">
        <v>3577000</v>
      </c>
      <c r="N53" s="8"/>
      <c r="O53" s="8">
        <v>18681000</v>
      </c>
      <c r="P53" s="8"/>
      <c r="Q53" s="8">
        <f>15290000+90377000</f>
        <v>105667000</v>
      </c>
      <c r="R53" s="8"/>
      <c r="S53" s="8">
        <v>0</v>
      </c>
      <c r="T53" s="8"/>
      <c r="U53" s="8">
        <v>0</v>
      </c>
      <c r="V53" s="8"/>
      <c r="W53" s="8">
        <v>0</v>
      </c>
      <c r="X53" s="8"/>
      <c r="Y53" s="8">
        <v>0</v>
      </c>
      <c r="Z53" s="7"/>
      <c r="AA53" s="8">
        <v>0</v>
      </c>
      <c r="AB53" s="7"/>
      <c r="AC53" s="8">
        <f t="shared" si="1"/>
        <v>352242000</v>
      </c>
      <c r="AD53" s="8"/>
      <c r="AE53" s="11">
        <v>0</v>
      </c>
      <c r="AF53" s="11"/>
      <c r="AG53" s="8">
        <v>4780000</v>
      </c>
      <c r="AH53" s="8"/>
      <c r="AI53" s="8">
        <v>98211000</v>
      </c>
      <c r="AJ53" s="8"/>
      <c r="AK53" s="8">
        <v>0</v>
      </c>
      <c r="AL53" s="8"/>
      <c r="AM53" s="8">
        <f>+'Gen rev'!U53-'Gen exp'!AC53-AG53+'Gen rev'!W53+AI53+AK53-'Gen Bal'!W53-'Gen exp'!AE53</f>
        <v>0</v>
      </c>
      <c r="AN53" s="8"/>
      <c r="AO53" s="8"/>
      <c r="AP53" s="8"/>
      <c r="AQ53" s="8"/>
      <c r="AR53" s="15"/>
      <c r="AS53" s="13"/>
    </row>
    <row r="54" spans="1:45" s="12" customFormat="1" ht="12.75" customHeight="1" x14ac:dyDescent="0.2">
      <c r="A54" s="10" t="s">
        <v>459</v>
      </c>
      <c r="C54" s="10" t="s">
        <v>460</v>
      </c>
      <c r="E54" s="8">
        <v>2146132</v>
      </c>
      <c r="F54" s="8"/>
      <c r="G54" s="8">
        <f>1261128+700562+93225</f>
        <v>2054915</v>
      </c>
      <c r="H54" s="8"/>
      <c r="I54" s="8">
        <v>8625</v>
      </c>
      <c r="J54" s="8"/>
      <c r="K54" s="8">
        <v>182914</v>
      </c>
      <c r="L54" s="8"/>
      <c r="M54" s="8">
        <v>315594</v>
      </c>
      <c r="N54" s="8"/>
      <c r="O54" s="8">
        <f>76723+23150+25341</f>
        <v>125214</v>
      </c>
      <c r="P54" s="8"/>
      <c r="Q54" s="8">
        <v>0</v>
      </c>
      <c r="R54" s="8"/>
      <c r="S54" s="8">
        <v>0</v>
      </c>
      <c r="T54" s="8"/>
      <c r="U54" s="8">
        <v>0</v>
      </c>
      <c r="V54" s="8"/>
      <c r="W54" s="8">
        <v>7374</v>
      </c>
      <c r="X54" s="8"/>
      <c r="Y54" s="8">
        <v>1138</v>
      </c>
      <c r="Z54" s="7"/>
      <c r="AA54" s="8">
        <v>0</v>
      </c>
      <c r="AB54" s="7"/>
      <c r="AC54" s="8">
        <f t="shared" si="1"/>
        <v>4841906</v>
      </c>
      <c r="AD54" s="8"/>
      <c r="AE54" s="11">
        <v>0</v>
      </c>
      <c r="AF54" s="11"/>
      <c r="AG54" s="8">
        <v>0</v>
      </c>
      <c r="AH54" s="8"/>
      <c r="AI54" s="8">
        <v>1056754</v>
      </c>
      <c r="AJ54" s="8"/>
      <c r="AK54" s="8">
        <v>0</v>
      </c>
      <c r="AL54" s="8"/>
      <c r="AM54" s="8">
        <f>+'Gen rev'!U54-'Gen exp'!AC54-AG54+'Gen rev'!W54+AI54+AK54-'Gen Bal'!W54-'Gen exp'!AE54</f>
        <v>0</v>
      </c>
      <c r="AN54" s="8"/>
      <c r="AO54" s="8"/>
      <c r="AP54" s="8"/>
      <c r="AQ54" s="8"/>
      <c r="AR54" s="15"/>
      <c r="AS54" s="13"/>
    </row>
    <row r="55" spans="1:45" s="12" customFormat="1" ht="12.75" customHeight="1" x14ac:dyDescent="0.2">
      <c r="A55" s="4" t="s">
        <v>70</v>
      </c>
      <c r="C55" s="4" t="s">
        <v>64</v>
      </c>
      <c r="E55" s="8">
        <v>2076253</v>
      </c>
      <c r="F55" s="8"/>
      <c r="G55" s="8">
        <v>0</v>
      </c>
      <c r="H55" s="8"/>
      <c r="I55" s="8">
        <v>0</v>
      </c>
      <c r="J55" s="8"/>
      <c r="K55" s="8">
        <v>0</v>
      </c>
      <c r="L55" s="8"/>
      <c r="M55" s="8">
        <v>0</v>
      </c>
      <c r="N55" s="8"/>
      <c r="O55" s="8">
        <v>0</v>
      </c>
      <c r="P55" s="8"/>
      <c r="Q55" s="8">
        <v>0</v>
      </c>
      <c r="R55" s="8"/>
      <c r="S55" s="8">
        <v>45</v>
      </c>
      <c r="T55" s="8"/>
      <c r="U55" s="8">
        <v>0</v>
      </c>
      <c r="V55" s="8"/>
      <c r="W55" s="8">
        <v>0</v>
      </c>
      <c r="X55" s="8"/>
      <c r="Y55" s="8">
        <v>0</v>
      </c>
      <c r="Z55" s="7"/>
      <c r="AA55" s="8">
        <v>0</v>
      </c>
      <c r="AB55" s="7"/>
      <c r="AC55" s="8">
        <f t="shared" si="1"/>
        <v>2076298</v>
      </c>
      <c r="AD55" s="8"/>
      <c r="AE55" s="11">
        <v>0</v>
      </c>
      <c r="AF55" s="11"/>
      <c r="AG55" s="8">
        <v>1007861</v>
      </c>
      <c r="AH55" s="8"/>
      <c r="AI55" s="8">
        <v>3826802</v>
      </c>
      <c r="AJ55" s="8"/>
      <c r="AK55" s="8">
        <v>0</v>
      </c>
      <c r="AL55" s="8"/>
      <c r="AM55" s="8">
        <f>+'Gen rev'!U55-'Gen exp'!AC55-AG55+'Gen rev'!W55+AI55+AK55-'Gen Bal'!W55-'Gen exp'!AE55</f>
        <v>0</v>
      </c>
      <c r="AN55" s="8"/>
      <c r="AO55" s="8"/>
      <c r="AP55" s="8"/>
      <c r="AQ55" s="8"/>
      <c r="AR55" s="15"/>
      <c r="AS55" s="13"/>
    </row>
    <row r="56" spans="1:45" s="12" customFormat="1" ht="12.75" customHeight="1" x14ac:dyDescent="0.2">
      <c r="A56" s="4" t="s">
        <v>71</v>
      </c>
      <c r="C56" s="4" t="s">
        <v>25</v>
      </c>
      <c r="E56" s="8">
        <v>76966000</v>
      </c>
      <c r="F56" s="8"/>
      <c r="G56" s="8">
        <v>294955000</v>
      </c>
      <c r="H56" s="8"/>
      <c r="I56" s="8">
        <f>157000+7836000+1407000</f>
        <v>9400000</v>
      </c>
      <c r="J56" s="8"/>
      <c r="K56" s="8">
        <v>5326000</v>
      </c>
      <c r="L56" s="8"/>
      <c r="M56" s="8">
        <v>0</v>
      </c>
      <c r="N56" s="8"/>
      <c r="O56" s="8">
        <v>0</v>
      </c>
      <c r="P56" s="8"/>
      <c r="Q56" s="8">
        <f>63622000+10992000</f>
        <v>74614000</v>
      </c>
      <c r="R56" s="8"/>
      <c r="S56" s="8">
        <v>2302000</v>
      </c>
      <c r="T56" s="8"/>
      <c r="U56" s="8">
        <v>0</v>
      </c>
      <c r="V56" s="8"/>
      <c r="W56" s="8">
        <v>0</v>
      </c>
      <c r="X56" s="8"/>
      <c r="Y56" s="8">
        <v>0</v>
      </c>
      <c r="Z56" s="7"/>
      <c r="AA56" s="8">
        <v>0</v>
      </c>
      <c r="AB56" s="7"/>
      <c r="AC56" s="8">
        <f t="shared" si="1"/>
        <v>463563000</v>
      </c>
      <c r="AD56" s="8"/>
      <c r="AE56" s="11">
        <v>0</v>
      </c>
      <c r="AF56" s="11"/>
      <c r="AG56" s="8">
        <v>16941000</v>
      </c>
      <c r="AH56" s="8"/>
      <c r="AI56" s="8">
        <v>51594000</v>
      </c>
      <c r="AJ56" s="8"/>
      <c r="AK56" s="8">
        <v>0</v>
      </c>
      <c r="AL56" s="8"/>
      <c r="AM56" s="8">
        <f>+'Gen rev'!U56-'Gen exp'!AC56-AG56+'Gen rev'!W56+AI56+AK56-'Gen Bal'!W56-'Gen exp'!AE56</f>
        <v>0</v>
      </c>
      <c r="AN56" s="8"/>
      <c r="AO56" s="8"/>
      <c r="AP56" s="8"/>
      <c r="AQ56" s="8"/>
      <c r="AR56" s="15"/>
      <c r="AS56" s="13"/>
    </row>
    <row r="57" spans="1:45" s="12" customFormat="1" ht="12.75" customHeight="1" x14ac:dyDescent="0.2">
      <c r="A57" s="4" t="s">
        <v>72</v>
      </c>
      <c r="C57" s="4" t="s">
        <v>25</v>
      </c>
      <c r="E57" s="8">
        <v>13765295</v>
      </c>
      <c r="F57" s="8"/>
      <c r="G57" s="8">
        <v>15840190</v>
      </c>
      <c r="H57" s="8"/>
      <c r="I57" s="8">
        <v>2821804</v>
      </c>
      <c r="J57" s="8"/>
      <c r="K57" s="8">
        <v>339741</v>
      </c>
      <c r="L57" s="8"/>
      <c r="M57" s="8">
        <v>3283021</v>
      </c>
      <c r="N57" s="8"/>
      <c r="O57" s="8">
        <v>1838947</v>
      </c>
      <c r="P57" s="8"/>
      <c r="Q57" s="8">
        <v>2419903</v>
      </c>
      <c r="R57" s="8"/>
      <c r="S57" s="8">
        <v>0</v>
      </c>
      <c r="T57" s="8"/>
      <c r="U57" s="8">
        <v>0</v>
      </c>
      <c r="V57" s="8"/>
      <c r="W57" s="8">
        <v>87728</v>
      </c>
      <c r="X57" s="8"/>
      <c r="Y57" s="8">
        <v>7662</v>
      </c>
      <c r="Z57" s="7"/>
      <c r="AA57" s="8">
        <v>0</v>
      </c>
      <c r="AB57" s="7"/>
      <c r="AC57" s="8">
        <f t="shared" si="1"/>
        <v>40404291</v>
      </c>
      <c r="AD57" s="8"/>
      <c r="AE57" s="11">
        <v>0</v>
      </c>
      <c r="AF57" s="11"/>
      <c r="AG57" s="8">
        <v>4459452</v>
      </c>
      <c r="AH57" s="8"/>
      <c r="AI57" s="8">
        <v>8024661</v>
      </c>
      <c r="AJ57" s="8"/>
      <c r="AK57" s="8">
        <v>0</v>
      </c>
      <c r="AL57" s="8"/>
      <c r="AM57" s="8">
        <f>+'Gen rev'!U57-'Gen exp'!AC57-AG57+'Gen rev'!W57+AI57+AK57-'Gen Bal'!W57-'Gen exp'!AE57</f>
        <v>0</v>
      </c>
      <c r="AN57" s="11"/>
      <c r="AO57" s="11"/>
      <c r="AP57" s="11"/>
      <c r="AQ57" s="11"/>
      <c r="AR57" s="15"/>
      <c r="AS57" s="13"/>
    </row>
    <row r="58" spans="1:45" s="12" customFormat="1" ht="12.75" customHeight="1" x14ac:dyDescent="0.2">
      <c r="A58" s="4" t="s">
        <v>73</v>
      </c>
      <c r="C58" s="4" t="s">
        <v>74</v>
      </c>
      <c r="E58" s="8">
        <v>1041545</v>
      </c>
      <c r="F58" s="8"/>
      <c r="G58" s="8">
        <v>1887245</v>
      </c>
      <c r="H58" s="8"/>
      <c r="I58" s="8">
        <v>231145</v>
      </c>
      <c r="J58" s="8"/>
      <c r="K58" s="8">
        <v>516980</v>
      </c>
      <c r="L58" s="8"/>
      <c r="M58" s="8">
        <v>0</v>
      </c>
      <c r="N58" s="8"/>
      <c r="O58" s="8">
        <v>0</v>
      </c>
      <c r="P58" s="8"/>
      <c r="Q58" s="8">
        <v>0</v>
      </c>
      <c r="R58" s="8"/>
      <c r="S58" s="8">
        <v>232487</v>
      </c>
      <c r="T58" s="8"/>
      <c r="U58" s="8">
        <v>0</v>
      </c>
      <c r="V58" s="8"/>
      <c r="W58" s="8">
        <v>100378</v>
      </c>
      <c r="X58" s="8"/>
      <c r="Y58" s="8">
        <v>7315</v>
      </c>
      <c r="Z58" s="7"/>
      <c r="AA58" s="8">
        <v>0</v>
      </c>
      <c r="AB58" s="7"/>
      <c r="AC58" s="8">
        <f t="shared" si="1"/>
        <v>4017095</v>
      </c>
      <c r="AD58" s="8"/>
      <c r="AE58" s="11">
        <v>0</v>
      </c>
      <c r="AF58" s="11"/>
      <c r="AG58" s="8">
        <v>111000</v>
      </c>
      <c r="AH58" s="8"/>
      <c r="AI58" s="8">
        <v>1228760</v>
      </c>
      <c r="AJ58" s="8"/>
      <c r="AK58" s="8">
        <v>0</v>
      </c>
      <c r="AL58" s="8"/>
      <c r="AM58" s="8">
        <f>+'Gen rev'!U58-'Gen exp'!AC58-AG58+'Gen rev'!W58+AI58+AK58-'Gen Bal'!W58-'Gen exp'!AE58</f>
        <v>0</v>
      </c>
      <c r="AN58" s="8"/>
      <c r="AO58" s="8"/>
      <c r="AP58" s="8"/>
      <c r="AQ58" s="8"/>
      <c r="AR58" s="15"/>
      <c r="AS58" s="13"/>
    </row>
    <row r="59" spans="1:45" s="12" customFormat="1" ht="12.75" hidden="1" customHeight="1" x14ac:dyDescent="0.2">
      <c r="A59" s="4" t="s">
        <v>75</v>
      </c>
      <c r="C59" s="4" t="s">
        <v>41</v>
      </c>
      <c r="E59" s="8">
        <v>95829000</v>
      </c>
      <c r="F59" s="8"/>
      <c r="G59" s="8">
        <v>500933000</v>
      </c>
      <c r="H59" s="8"/>
      <c r="I59" s="8">
        <v>28498000</v>
      </c>
      <c r="J59" s="8"/>
      <c r="K59" s="8">
        <v>18858000</v>
      </c>
      <c r="L59" s="8"/>
      <c r="M59" s="8">
        <v>0</v>
      </c>
      <c r="N59" s="8"/>
      <c r="O59" s="8">
        <v>28672000</v>
      </c>
      <c r="P59" s="8"/>
      <c r="Q59" s="8">
        <v>48905000</v>
      </c>
      <c r="R59" s="8"/>
      <c r="S59" s="8">
        <v>7084000</v>
      </c>
      <c r="T59" s="8"/>
      <c r="U59" s="8">
        <v>0</v>
      </c>
      <c r="V59" s="8"/>
      <c r="W59" s="8">
        <v>0</v>
      </c>
      <c r="X59" s="8"/>
      <c r="Y59" s="8">
        <v>0</v>
      </c>
      <c r="Z59" s="7"/>
      <c r="AA59" s="8">
        <v>0</v>
      </c>
      <c r="AB59" s="7"/>
      <c r="AC59" s="8">
        <f t="shared" si="1"/>
        <v>728779000</v>
      </c>
      <c r="AD59" s="8"/>
      <c r="AE59" s="11">
        <v>0</v>
      </c>
      <c r="AF59" s="11"/>
      <c r="AG59" s="8">
        <v>507000</v>
      </c>
      <c r="AH59" s="8"/>
      <c r="AI59" s="8">
        <v>114779000</v>
      </c>
      <c r="AJ59" s="8"/>
      <c r="AK59" s="8">
        <v>0</v>
      </c>
      <c r="AL59" s="8"/>
      <c r="AM59" s="8">
        <f>+'Gen rev'!U59-'Gen exp'!AC59-AG59+'Gen rev'!W59+AI59+AK59-'Gen Bal'!W59-'Gen exp'!AE59</f>
        <v>0</v>
      </c>
      <c r="AN59" s="6"/>
      <c r="AO59" s="6"/>
      <c r="AP59" s="6"/>
      <c r="AQ59" s="6"/>
      <c r="AR59" s="13"/>
      <c r="AS59" s="13"/>
    </row>
    <row r="60" spans="1:45" s="12" customFormat="1" ht="12.75" customHeight="1" x14ac:dyDescent="0.2">
      <c r="A60" s="4" t="s">
        <v>92</v>
      </c>
      <c r="C60" s="4" t="s">
        <v>92</v>
      </c>
      <c r="E60" s="8">
        <v>309161</v>
      </c>
      <c r="F60" s="8"/>
      <c r="G60" s="8">
        <v>1162555</v>
      </c>
      <c r="H60" s="8"/>
      <c r="I60" s="8">
        <v>0</v>
      </c>
      <c r="J60" s="8"/>
      <c r="K60" s="8">
        <v>14755</v>
      </c>
      <c r="L60" s="8"/>
      <c r="M60" s="8">
        <v>0</v>
      </c>
      <c r="N60" s="8"/>
      <c r="O60" s="8">
        <v>342057</v>
      </c>
      <c r="P60" s="8"/>
      <c r="Q60" s="8">
        <v>0</v>
      </c>
      <c r="R60" s="8"/>
      <c r="S60" s="8">
        <v>0</v>
      </c>
      <c r="T60" s="8"/>
      <c r="U60" s="8">
        <v>0</v>
      </c>
      <c r="V60" s="8"/>
      <c r="W60" s="8">
        <v>0</v>
      </c>
      <c r="X60" s="8"/>
      <c r="Y60" s="8">
        <v>0</v>
      </c>
      <c r="Z60" s="7"/>
      <c r="AA60" s="8">
        <v>0</v>
      </c>
      <c r="AB60" s="7"/>
      <c r="AC60" s="8">
        <f t="shared" si="1"/>
        <v>1828528</v>
      </c>
      <c r="AD60" s="8"/>
      <c r="AE60" s="11">
        <v>0</v>
      </c>
      <c r="AF60" s="11"/>
      <c r="AG60" s="8">
        <v>1039000</v>
      </c>
      <c r="AH60" s="8"/>
      <c r="AI60" s="8">
        <v>1328256</v>
      </c>
      <c r="AJ60" s="8"/>
      <c r="AK60" s="8">
        <v>-543</v>
      </c>
      <c r="AL60" s="8"/>
      <c r="AM60" s="8">
        <f>+'Gen rev'!U60-'Gen exp'!AC60-AG60+'Gen rev'!W60+AI60+AK60-'Gen Bal'!W60-'Gen exp'!AE60</f>
        <v>0</v>
      </c>
      <c r="AN60" s="7"/>
      <c r="AO60" s="7"/>
      <c r="AP60" s="7"/>
      <c r="AQ60" s="7"/>
    </row>
    <row r="61" spans="1:45" s="12" customFormat="1" ht="12.75" customHeight="1" x14ac:dyDescent="0.2">
      <c r="A61" s="4" t="s">
        <v>76</v>
      </c>
      <c r="C61" s="4" t="s">
        <v>17</v>
      </c>
      <c r="E61" s="8">
        <v>1103708</v>
      </c>
      <c r="F61" s="8"/>
      <c r="G61" s="8">
        <v>2191756</v>
      </c>
      <c r="H61" s="8"/>
      <c r="I61" s="8">
        <v>25946</v>
      </c>
      <c r="J61" s="8"/>
      <c r="K61" s="8">
        <v>174435</v>
      </c>
      <c r="L61" s="8"/>
      <c r="M61" s="8">
        <v>0</v>
      </c>
      <c r="N61" s="8"/>
      <c r="O61" s="8">
        <v>42511</v>
      </c>
      <c r="P61" s="8"/>
      <c r="Q61" s="8">
        <v>0</v>
      </c>
      <c r="R61" s="8"/>
      <c r="S61" s="8">
        <v>0</v>
      </c>
      <c r="T61" s="8"/>
      <c r="U61" s="8">
        <v>0</v>
      </c>
      <c r="V61" s="8"/>
      <c r="W61" s="8">
        <v>0</v>
      </c>
      <c r="X61" s="8"/>
      <c r="Y61" s="8">
        <v>1675</v>
      </c>
      <c r="Z61" s="7"/>
      <c r="AA61" s="8">
        <v>0</v>
      </c>
      <c r="AB61" s="7"/>
      <c r="AC61" s="8">
        <f t="shared" si="1"/>
        <v>3540031</v>
      </c>
      <c r="AD61" s="8"/>
      <c r="AE61" s="11">
        <v>0</v>
      </c>
      <c r="AF61" s="11"/>
      <c r="AG61" s="8">
        <v>200750</v>
      </c>
      <c r="AH61" s="8"/>
      <c r="AI61" s="8">
        <v>1093873</v>
      </c>
      <c r="AJ61" s="8"/>
      <c r="AK61" s="8">
        <v>0</v>
      </c>
      <c r="AL61" s="8"/>
      <c r="AM61" s="8">
        <f>+'Gen rev'!U61-'Gen exp'!AC61-AG61+'Gen rev'!W61+AI61+AK61-'Gen Bal'!W61-'Gen exp'!AE61</f>
        <v>0</v>
      </c>
      <c r="AN61" s="7"/>
      <c r="AO61" s="7"/>
      <c r="AP61" s="7"/>
      <c r="AQ61" s="7"/>
    </row>
    <row r="62" spans="1:45" s="12" customFormat="1" ht="12.75" customHeight="1" x14ac:dyDescent="0.2">
      <c r="A62" s="4" t="s">
        <v>77</v>
      </c>
      <c r="C62" s="4" t="s">
        <v>78</v>
      </c>
      <c r="E62" s="8">
        <v>587700</v>
      </c>
      <c r="F62" s="8"/>
      <c r="G62" s="8">
        <v>47813</v>
      </c>
      <c r="H62" s="8"/>
      <c r="I62" s="8">
        <v>52948</v>
      </c>
      <c r="J62" s="8"/>
      <c r="K62" s="8">
        <v>0</v>
      </c>
      <c r="L62" s="8"/>
      <c r="M62" s="8">
        <v>0</v>
      </c>
      <c r="N62" s="8"/>
      <c r="O62" s="8">
        <v>14217</v>
      </c>
      <c r="P62" s="8"/>
      <c r="Q62" s="8">
        <v>193353</v>
      </c>
      <c r="R62" s="8"/>
      <c r="S62" s="8">
        <v>193827</v>
      </c>
      <c r="T62" s="8"/>
      <c r="U62" s="8">
        <v>0</v>
      </c>
      <c r="V62" s="8"/>
      <c r="W62" s="8">
        <v>0</v>
      </c>
      <c r="X62" s="8"/>
      <c r="Y62" s="8">
        <v>0</v>
      </c>
      <c r="Z62" s="7"/>
      <c r="AA62" s="8">
        <v>0</v>
      </c>
      <c r="AB62" s="7"/>
      <c r="AC62" s="8">
        <f t="shared" si="1"/>
        <v>1089858</v>
      </c>
      <c r="AD62" s="8"/>
      <c r="AE62" s="11">
        <v>0</v>
      </c>
      <c r="AF62" s="11"/>
      <c r="AG62" s="8">
        <v>60000</v>
      </c>
      <c r="AH62" s="8"/>
      <c r="AI62" s="8">
        <v>514543</v>
      </c>
      <c r="AJ62" s="8"/>
      <c r="AK62" s="8">
        <v>0</v>
      </c>
      <c r="AL62" s="8"/>
      <c r="AM62" s="8">
        <f>+'Gen rev'!U62-'Gen exp'!AC62-AG62+'Gen rev'!W62+AI62+AK62-'Gen Bal'!W62-'Gen exp'!AE62</f>
        <v>0</v>
      </c>
      <c r="AN62" s="7"/>
      <c r="AO62" s="7"/>
      <c r="AP62" s="7"/>
      <c r="AQ62" s="7"/>
    </row>
    <row r="63" spans="1:45" s="12" customFormat="1" ht="12.75" customHeight="1" x14ac:dyDescent="0.2">
      <c r="A63" s="4" t="s">
        <v>79</v>
      </c>
      <c r="C63" s="4" t="s">
        <v>79</v>
      </c>
      <c r="E63" s="8">
        <v>1456646</v>
      </c>
      <c r="F63" s="8"/>
      <c r="G63" s="8">
        <v>1873554</v>
      </c>
      <c r="H63" s="8"/>
      <c r="I63" s="8">
        <v>15383</v>
      </c>
      <c r="J63" s="8"/>
      <c r="K63" s="8">
        <v>402776</v>
      </c>
      <c r="L63" s="8"/>
      <c r="M63" s="8">
        <v>0</v>
      </c>
      <c r="N63" s="8"/>
      <c r="O63" s="8">
        <v>148132</v>
      </c>
      <c r="P63" s="8"/>
      <c r="Q63" s="8">
        <v>0</v>
      </c>
      <c r="R63" s="8"/>
      <c r="S63" s="8">
        <v>6348</v>
      </c>
      <c r="T63" s="8"/>
      <c r="U63" s="8">
        <v>0</v>
      </c>
      <c r="V63" s="8"/>
      <c r="W63" s="8">
        <v>857</v>
      </c>
      <c r="X63" s="8"/>
      <c r="Y63" s="8">
        <v>217</v>
      </c>
      <c r="Z63" s="7"/>
      <c r="AA63" s="8">
        <v>0</v>
      </c>
      <c r="AB63" s="7"/>
      <c r="AC63" s="8">
        <f t="shared" si="1"/>
        <v>3903913</v>
      </c>
      <c r="AD63" s="8"/>
      <c r="AE63" s="11">
        <v>0</v>
      </c>
      <c r="AF63" s="11"/>
      <c r="AG63" s="8">
        <v>0</v>
      </c>
      <c r="AH63" s="8"/>
      <c r="AI63" s="8">
        <v>400422</v>
      </c>
      <c r="AJ63" s="8"/>
      <c r="AK63" s="8">
        <v>0</v>
      </c>
      <c r="AL63" s="8"/>
      <c r="AM63" s="8">
        <f>+'Gen rev'!U63-'Gen exp'!AC63-AG63+'Gen rev'!W63+AI63+AK63-'Gen Bal'!W63-'Gen exp'!AE63</f>
        <v>0</v>
      </c>
      <c r="AN63" s="7"/>
      <c r="AO63" s="7"/>
      <c r="AP63" s="7"/>
      <c r="AQ63" s="7"/>
    </row>
    <row r="64" spans="1:45" s="9" customFormat="1" ht="12.75" hidden="1" customHeight="1" x14ac:dyDescent="0.2">
      <c r="A64" s="10" t="s">
        <v>461</v>
      </c>
      <c r="B64" s="10"/>
      <c r="C64" s="10" t="s">
        <v>55</v>
      </c>
      <c r="D64" s="12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7"/>
      <c r="AA64" s="8"/>
      <c r="AB64" s="7"/>
      <c r="AC64" s="8">
        <f t="shared" si="1"/>
        <v>0</v>
      </c>
      <c r="AD64" s="8"/>
      <c r="AE64" s="11"/>
      <c r="AF64" s="11"/>
      <c r="AG64" s="8"/>
      <c r="AH64" s="8"/>
      <c r="AI64" s="8"/>
      <c r="AJ64" s="8"/>
      <c r="AK64" s="8"/>
      <c r="AL64" s="8"/>
      <c r="AM64" s="8">
        <f>+'Gen rev'!U64-'Gen exp'!AC64-AG64+'Gen rev'!W64+AI64+AK64-'Gen Bal'!W64-'Gen exp'!AE64</f>
        <v>0</v>
      </c>
    </row>
    <row r="65" spans="1:45" s="12" customFormat="1" ht="12.75" hidden="1" customHeight="1" x14ac:dyDescent="0.2">
      <c r="A65" s="4" t="s">
        <v>80</v>
      </c>
      <c r="C65" s="4" t="s">
        <v>11</v>
      </c>
      <c r="E65" s="8">
        <v>6249313</v>
      </c>
      <c r="F65" s="8"/>
      <c r="G65" s="8">
        <v>16032181</v>
      </c>
      <c r="H65" s="8"/>
      <c r="I65" s="8">
        <v>1167064</v>
      </c>
      <c r="J65" s="8"/>
      <c r="K65" s="8">
        <v>0</v>
      </c>
      <c r="L65" s="8"/>
      <c r="M65" s="8">
        <v>0</v>
      </c>
      <c r="N65" s="8"/>
      <c r="O65" s="8">
        <v>2099591</v>
      </c>
      <c r="P65" s="8"/>
      <c r="Q65" s="8">
        <v>0</v>
      </c>
      <c r="R65" s="8"/>
      <c r="S65" s="8">
        <v>0</v>
      </c>
      <c r="T65" s="8"/>
      <c r="U65" s="8">
        <v>0</v>
      </c>
      <c r="V65" s="8"/>
      <c r="W65" s="8">
        <v>35608</v>
      </c>
      <c r="X65" s="8"/>
      <c r="Y65" s="8">
        <v>5566</v>
      </c>
      <c r="Z65" s="7"/>
      <c r="AA65" s="8">
        <v>0</v>
      </c>
      <c r="AB65" s="7"/>
      <c r="AC65" s="8">
        <f t="shared" si="1"/>
        <v>25589323</v>
      </c>
      <c r="AD65" s="8"/>
      <c r="AE65" s="11">
        <v>0</v>
      </c>
      <c r="AF65" s="11"/>
      <c r="AG65" s="8">
        <v>6068075</v>
      </c>
      <c r="AH65" s="8"/>
      <c r="AI65" s="8">
        <v>9135730</v>
      </c>
      <c r="AJ65" s="8"/>
      <c r="AK65" s="8">
        <f>3224+3788</f>
        <v>7012</v>
      </c>
      <c r="AL65" s="8"/>
      <c r="AM65" s="8">
        <f>+'Gen rev'!U65-'Gen exp'!AC65-AG65+'Gen rev'!W65+AI65+AK65-'Gen Bal'!W65-'Gen exp'!AE65</f>
        <v>0</v>
      </c>
      <c r="AN65" s="7"/>
      <c r="AO65" s="7"/>
      <c r="AP65" s="7"/>
      <c r="AQ65" s="7"/>
    </row>
    <row r="66" spans="1:45" s="12" customFormat="1" ht="12.75" customHeight="1" x14ac:dyDescent="0.2">
      <c r="A66" s="19" t="s">
        <v>81</v>
      </c>
      <c r="B66" s="9"/>
      <c r="C66" s="19" t="s">
        <v>64</v>
      </c>
      <c r="D66" s="9"/>
      <c r="E66" s="8">
        <v>13149649</v>
      </c>
      <c r="F66" s="8"/>
      <c r="G66" s="8">
        <v>89726024</v>
      </c>
      <c r="H66" s="8"/>
      <c r="I66" s="8">
        <f>12520883+4954457</f>
        <v>17475340</v>
      </c>
      <c r="J66" s="8"/>
      <c r="K66" s="8">
        <v>43914</v>
      </c>
      <c r="L66" s="8"/>
      <c r="M66" s="8">
        <v>0</v>
      </c>
      <c r="N66" s="8"/>
      <c r="O66" s="8">
        <v>0</v>
      </c>
      <c r="P66" s="8"/>
      <c r="Q66" s="8">
        <f>2781643+18857810</f>
        <v>21639453</v>
      </c>
      <c r="R66" s="8"/>
      <c r="S66" s="8">
        <v>0</v>
      </c>
      <c r="T66" s="8"/>
      <c r="U66" s="8">
        <v>0</v>
      </c>
      <c r="V66" s="8"/>
      <c r="W66" s="8">
        <v>297157</v>
      </c>
      <c r="X66" s="8"/>
      <c r="Y66" s="8">
        <v>192883</v>
      </c>
      <c r="Z66" s="7"/>
      <c r="AA66" s="8">
        <v>0</v>
      </c>
      <c r="AB66" s="7"/>
      <c r="AC66" s="8">
        <f t="shared" si="1"/>
        <v>142524420</v>
      </c>
      <c r="AD66" s="8"/>
      <c r="AE66" s="11">
        <v>0</v>
      </c>
      <c r="AF66" s="11"/>
      <c r="AG66" s="8">
        <v>8161416</v>
      </c>
      <c r="AH66" s="8"/>
      <c r="AI66" s="8">
        <v>55430150</v>
      </c>
      <c r="AJ66" s="8"/>
      <c r="AK66" s="8">
        <v>0</v>
      </c>
      <c r="AL66" s="8"/>
      <c r="AM66" s="8">
        <f>+'Gen rev'!U66-'Gen exp'!AC66-AG66+'Gen rev'!W66+AI66+AK66-'Gen Bal'!W66-'Gen exp'!AE66</f>
        <v>0</v>
      </c>
      <c r="AN66" s="7"/>
      <c r="AO66" s="7"/>
      <c r="AP66" s="7"/>
      <c r="AQ66" s="7"/>
    </row>
    <row r="67" spans="1:45" s="12" customFormat="1" ht="12.75" customHeight="1" x14ac:dyDescent="0.2">
      <c r="A67" s="19" t="s">
        <v>82</v>
      </c>
      <c r="B67" s="9"/>
      <c r="C67" s="19" t="s">
        <v>43</v>
      </c>
      <c r="D67" s="9"/>
      <c r="E67" s="8">
        <v>956459</v>
      </c>
      <c r="F67" s="8"/>
      <c r="G67" s="8">
        <v>1137386</v>
      </c>
      <c r="H67" s="8"/>
      <c r="I67" s="8">
        <v>479</v>
      </c>
      <c r="J67" s="8"/>
      <c r="K67" s="8">
        <v>0</v>
      </c>
      <c r="L67" s="8"/>
      <c r="M67" s="8">
        <v>32114</v>
      </c>
      <c r="N67" s="8"/>
      <c r="O67" s="8">
        <v>35270</v>
      </c>
      <c r="P67" s="8"/>
      <c r="Q67" s="8">
        <v>0</v>
      </c>
      <c r="R67" s="8"/>
      <c r="S67" s="8">
        <v>870</v>
      </c>
      <c r="T67" s="8"/>
      <c r="U67" s="8">
        <v>0</v>
      </c>
      <c r="V67" s="8"/>
      <c r="W67" s="8">
        <v>26018</v>
      </c>
      <c r="X67" s="8"/>
      <c r="Y67" s="8">
        <v>745</v>
      </c>
      <c r="Z67" s="7"/>
      <c r="AA67" s="8">
        <v>0</v>
      </c>
      <c r="AB67" s="7"/>
      <c r="AC67" s="8">
        <f t="shared" si="1"/>
        <v>2189341</v>
      </c>
      <c r="AD67" s="8"/>
      <c r="AE67" s="11">
        <v>0</v>
      </c>
      <c r="AF67" s="11"/>
      <c r="AG67" s="8">
        <v>178883</v>
      </c>
      <c r="AH67" s="8"/>
      <c r="AI67" s="8">
        <v>1415907</v>
      </c>
      <c r="AJ67" s="8"/>
      <c r="AK67" s="8">
        <v>0</v>
      </c>
      <c r="AL67" s="8"/>
      <c r="AM67" s="8">
        <f>+'Gen rev'!U67-'Gen exp'!AC67-AG67+'Gen rev'!W67+AI67+AK67-'Gen Bal'!W67-'Gen exp'!AE67</f>
        <v>0</v>
      </c>
      <c r="AN67" s="7"/>
      <c r="AO67" s="7"/>
      <c r="AP67" s="7"/>
      <c r="AQ67" s="7"/>
    </row>
    <row r="68" spans="1:45" s="9" customFormat="1" ht="12.75" customHeight="1" x14ac:dyDescent="0.2">
      <c r="A68" s="19" t="s">
        <v>83</v>
      </c>
      <c r="C68" s="19" t="s">
        <v>83</v>
      </c>
      <c r="E68" s="8">
        <v>2140209</v>
      </c>
      <c r="F68" s="8"/>
      <c r="G68" s="8">
        <v>4343798</v>
      </c>
      <c r="H68" s="8"/>
      <c r="I68" s="8">
        <f>506585+84095</f>
        <v>590680</v>
      </c>
      <c r="J68" s="8"/>
      <c r="K68" s="8">
        <v>207560</v>
      </c>
      <c r="L68" s="8"/>
      <c r="M68" s="8">
        <v>0</v>
      </c>
      <c r="N68" s="8"/>
      <c r="O68" s="8">
        <v>595366</v>
      </c>
      <c r="P68" s="8"/>
      <c r="Q68" s="8">
        <v>0</v>
      </c>
      <c r="R68" s="8"/>
      <c r="S68" s="8">
        <v>0</v>
      </c>
      <c r="T68" s="8"/>
      <c r="U68" s="8">
        <v>0</v>
      </c>
      <c r="V68" s="8"/>
      <c r="W68" s="8">
        <v>0</v>
      </c>
      <c r="X68" s="8"/>
      <c r="Y68" s="8">
        <v>0</v>
      </c>
      <c r="Z68" s="7"/>
      <c r="AA68" s="7">
        <v>0</v>
      </c>
      <c r="AB68" s="7"/>
      <c r="AC68" s="8">
        <f>SUM(E68:AA68)</f>
        <v>7877613</v>
      </c>
      <c r="AD68" s="8"/>
      <c r="AE68" s="11">
        <v>0</v>
      </c>
      <c r="AF68" s="11"/>
      <c r="AG68" s="8">
        <v>410000</v>
      </c>
      <c r="AH68" s="40"/>
      <c r="AI68" s="8">
        <v>1619890</v>
      </c>
      <c r="AJ68" s="8"/>
      <c r="AK68" s="8">
        <v>0</v>
      </c>
      <c r="AL68" s="40"/>
      <c r="AM68" s="40">
        <f>+'Gen rev'!U68-'Gen exp'!AC68-AG68+'Gen rev'!W68+AI68+AK68-'Gen Bal'!W68-'Gen exp'!AE68</f>
        <v>0</v>
      </c>
      <c r="AN68" s="40"/>
      <c r="AO68" s="40"/>
      <c r="AP68" s="40"/>
      <c r="AQ68" s="40"/>
      <c r="AR68" s="36"/>
      <c r="AS68" s="19"/>
    </row>
    <row r="69" spans="1:45" s="7" customFormat="1" ht="12.75" hidden="1" customHeight="1" x14ac:dyDescent="0.2">
      <c r="A69" s="6" t="s">
        <v>84</v>
      </c>
      <c r="C69" s="6" t="s">
        <v>84</v>
      </c>
      <c r="E69" s="8">
        <v>4144239</v>
      </c>
      <c r="F69" s="8"/>
      <c r="G69" s="8">
        <f>6162613+628891</f>
        <v>6791504</v>
      </c>
      <c r="H69" s="8"/>
      <c r="I69" s="8">
        <v>169725</v>
      </c>
      <c r="J69" s="8"/>
      <c r="K69" s="8">
        <v>0</v>
      </c>
      <c r="L69" s="8"/>
      <c r="M69" s="8">
        <v>0</v>
      </c>
      <c r="N69" s="8"/>
      <c r="O69" s="8">
        <v>1310817</v>
      </c>
      <c r="P69" s="8"/>
      <c r="Q69" s="8">
        <v>0</v>
      </c>
      <c r="R69" s="8"/>
      <c r="S69" s="8">
        <v>0</v>
      </c>
      <c r="T69" s="8"/>
      <c r="U69" s="8">
        <v>0</v>
      </c>
      <c r="V69" s="8"/>
      <c r="W69" s="8">
        <v>0</v>
      </c>
      <c r="X69" s="8"/>
      <c r="Y69" s="8">
        <v>0</v>
      </c>
      <c r="AA69" s="8">
        <v>0</v>
      </c>
      <c r="AC69" s="8">
        <f>SUM(E69:AA69)</f>
        <v>12416285</v>
      </c>
      <c r="AD69" s="8"/>
      <c r="AE69" s="11">
        <v>0</v>
      </c>
      <c r="AF69" s="11"/>
      <c r="AG69" s="8">
        <v>2395388</v>
      </c>
      <c r="AH69" s="8"/>
      <c r="AI69" s="8">
        <v>5233107</v>
      </c>
      <c r="AJ69" s="8"/>
      <c r="AK69" s="8">
        <v>0</v>
      </c>
      <c r="AL69" s="8"/>
      <c r="AM69" s="8">
        <f>+'Gen rev'!U69-'Gen exp'!AC69-AG69+'Gen rev'!W69+AI69+AK69-'Gen Bal'!W69-'Gen exp'!AE69</f>
        <v>0</v>
      </c>
    </row>
    <row r="70" spans="1:45" s="9" customFormat="1" ht="12.75" customHeight="1" x14ac:dyDescent="0.2">
      <c r="A70" s="19" t="s">
        <v>85</v>
      </c>
      <c r="C70" s="19" t="s">
        <v>86</v>
      </c>
      <c r="E70" s="40">
        <v>247138</v>
      </c>
      <c r="F70" s="40"/>
      <c r="G70" s="40">
        <v>2310262</v>
      </c>
      <c r="H70" s="40"/>
      <c r="I70" s="40">
        <v>0</v>
      </c>
      <c r="J70" s="40"/>
      <c r="K70" s="8">
        <v>48106</v>
      </c>
      <c r="L70" s="8"/>
      <c r="M70" s="8">
        <v>0</v>
      </c>
      <c r="N70" s="8"/>
      <c r="O70" s="8">
        <v>429767</v>
      </c>
      <c r="P70" s="8"/>
      <c r="Q70" s="8">
        <v>0</v>
      </c>
      <c r="R70" s="8"/>
      <c r="S70" s="8">
        <v>0</v>
      </c>
      <c r="T70" s="8"/>
      <c r="U70" s="8">
        <v>0</v>
      </c>
      <c r="V70" s="8"/>
      <c r="W70" s="8">
        <v>9999</v>
      </c>
      <c r="X70" s="8"/>
      <c r="Y70" s="8">
        <v>0</v>
      </c>
      <c r="Z70" s="7"/>
      <c r="AA70" s="7">
        <v>0</v>
      </c>
      <c r="AB70" s="7"/>
      <c r="AC70" s="8">
        <f>SUM(E70:AA70)</f>
        <v>3045272</v>
      </c>
      <c r="AD70" s="8"/>
      <c r="AE70" s="11">
        <v>0</v>
      </c>
      <c r="AF70" s="11"/>
      <c r="AG70" s="8">
        <v>132000</v>
      </c>
      <c r="AH70" s="40"/>
      <c r="AI70" s="40">
        <v>798014</v>
      </c>
      <c r="AJ70" s="40"/>
      <c r="AK70" s="40">
        <v>0</v>
      </c>
      <c r="AL70" s="40"/>
      <c r="AM70" s="40">
        <f>+'Gen rev'!U70-'Gen exp'!AC70-AG70+'Gen rev'!W70+AI70+AK70-'Gen Bal'!W70-'Gen exp'!AE70</f>
        <v>0</v>
      </c>
    </row>
    <row r="71" spans="1:45" s="7" customFormat="1" ht="12.75" customHeight="1" x14ac:dyDescent="0.2">
      <c r="A71" s="6" t="s">
        <v>392</v>
      </c>
      <c r="C71" s="6" t="s">
        <v>87</v>
      </c>
      <c r="E71" s="8">
        <v>1717237</v>
      </c>
      <c r="F71" s="8"/>
      <c r="G71" s="8">
        <v>3856878</v>
      </c>
      <c r="H71" s="8"/>
      <c r="I71" s="8">
        <v>124415</v>
      </c>
      <c r="J71" s="8"/>
      <c r="K71" s="8">
        <v>9016</v>
      </c>
      <c r="L71" s="8"/>
      <c r="M71" s="8">
        <v>0</v>
      </c>
      <c r="N71" s="8"/>
      <c r="O71" s="8">
        <v>913126</v>
      </c>
      <c r="P71" s="8"/>
      <c r="Q71" s="8">
        <v>629555</v>
      </c>
      <c r="R71" s="8"/>
      <c r="S71" s="8">
        <v>0</v>
      </c>
      <c r="T71" s="8"/>
      <c r="U71" s="8">
        <v>0</v>
      </c>
      <c r="V71" s="8"/>
      <c r="W71" s="8">
        <v>0</v>
      </c>
      <c r="X71" s="8"/>
      <c r="Y71" s="8">
        <v>0</v>
      </c>
      <c r="AA71" s="7">
        <v>0</v>
      </c>
      <c r="AC71" s="8">
        <f t="shared" ref="AC71" si="5">SUM(E71:AA71)</f>
        <v>7250227</v>
      </c>
      <c r="AD71" s="8"/>
      <c r="AE71" s="11">
        <v>0</v>
      </c>
      <c r="AF71" s="11"/>
      <c r="AG71" s="8">
        <v>0</v>
      </c>
      <c r="AH71" s="8"/>
      <c r="AI71" s="8">
        <v>2105546</v>
      </c>
      <c r="AJ71" s="8"/>
      <c r="AK71" s="8">
        <v>0</v>
      </c>
      <c r="AL71" s="8"/>
      <c r="AM71" s="8">
        <f>+'Gen rev'!U71-'Gen exp'!AC71-AG71+'Gen rev'!W71+AI71+AK71-'Gen Bal'!W71-'Gen exp'!AE71</f>
        <v>0</v>
      </c>
    </row>
    <row r="72" spans="1:45" s="12" customFormat="1" ht="12.75" customHeight="1" x14ac:dyDescent="0.2">
      <c r="A72" s="4" t="s">
        <v>88</v>
      </c>
      <c r="C72" s="4" t="s">
        <v>41</v>
      </c>
      <c r="E72" s="8">
        <v>22407702</v>
      </c>
      <c r="F72" s="8"/>
      <c r="G72" s="8">
        <v>294950</v>
      </c>
      <c r="H72" s="8"/>
      <c r="I72" s="8">
        <v>5737048</v>
      </c>
      <c r="J72" s="8"/>
      <c r="K72" s="8">
        <v>239233</v>
      </c>
      <c r="L72" s="8"/>
      <c r="M72" s="8">
        <v>0</v>
      </c>
      <c r="N72" s="8"/>
      <c r="O72" s="8">
        <v>6339984</v>
      </c>
      <c r="P72" s="8"/>
      <c r="Q72" s="8">
        <v>3293155</v>
      </c>
      <c r="R72" s="8"/>
      <c r="S72" s="8">
        <v>1928767</v>
      </c>
      <c r="T72" s="8"/>
      <c r="U72" s="8">
        <v>0</v>
      </c>
      <c r="V72" s="8"/>
      <c r="W72" s="8">
        <v>0</v>
      </c>
      <c r="X72" s="8"/>
      <c r="Y72" s="8">
        <v>0</v>
      </c>
      <c r="Z72" s="7"/>
      <c r="AA72" s="8">
        <v>0</v>
      </c>
      <c r="AB72" s="7"/>
      <c r="AC72" s="8">
        <f t="shared" ref="AC72:AC86" si="6">SUM(E72:AA72)</f>
        <v>40240839</v>
      </c>
      <c r="AD72" s="8"/>
      <c r="AE72" s="11">
        <v>0</v>
      </c>
      <c r="AF72" s="11"/>
      <c r="AG72" s="8">
        <v>14775000</v>
      </c>
      <c r="AH72" s="8"/>
      <c r="AI72" s="8">
        <v>45430372</v>
      </c>
      <c r="AJ72" s="8"/>
      <c r="AK72" s="8">
        <v>0</v>
      </c>
      <c r="AL72" s="8"/>
      <c r="AM72" s="8">
        <f>+'Gen rev'!U72-'Gen exp'!AC72-AG72+'Gen rev'!W72+AI72+AK72-'Gen Bal'!W72-'Gen exp'!AE72</f>
        <v>0</v>
      </c>
      <c r="AN72" s="7"/>
      <c r="AO72" s="7"/>
      <c r="AP72" s="7"/>
      <c r="AQ72" s="7"/>
    </row>
    <row r="73" spans="1:45" s="12" customFormat="1" ht="12.75" customHeight="1" x14ac:dyDescent="0.2">
      <c r="A73" s="10" t="s">
        <v>482</v>
      </c>
      <c r="B73" s="10"/>
      <c r="C73" s="10" t="s">
        <v>25</v>
      </c>
      <c r="E73" s="8">
        <v>4729610</v>
      </c>
      <c r="F73" s="8"/>
      <c r="G73" s="8">
        <v>9443946</v>
      </c>
      <c r="H73" s="8"/>
      <c r="I73" s="8">
        <v>323969</v>
      </c>
      <c r="J73" s="8"/>
      <c r="K73" s="8">
        <v>0</v>
      </c>
      <c r="L73" s="8"/>
      <c r="M73" s="8">
        <v>1181796</v>
      </c>
      <c r="N73" s="8"/>
      <c r="O73" s="8">
        <v>696928</v>
      </c>
      <c r="P73" s="8"/>
      <c r="Q73" s="8">
        <v>941025</v>
      </c>
      <c r="R73" s="8"/>
      <c r="S73" s="8">
        <v>0</v>
      </c>
      <c r="T73" s="8"/>
      <c r="U73" s="8">
        <v>0</v>
      </c>
      <c r="V73" s="8"/>
      <c r="W73" s="8">
        <v>8784</v>
      </c>
      <c r="X73" s="8"/>
      <c r="Y73" s="8">
        <v>36576</v>
      </c>
      <c r="Z73" s="7"/>
      <c r="AA73" s="8">
        <v>0</v>
      </c>
      <c r="AB73" s="7"/>
      <c r="AC73" s="8">
        <f t="shared" si="6"/>
        <v>17362634</v>
      </c>
      <c r="AD73" s="8"/>
      <c r="AE73" s="11">
        <v>0</v>
      </c>
      <c r="AF73" s="11"/>
      <c r="AG73" s="8">
        <v>77970</v>
      </c>
      <c r="AH73" s="8"/>
      <c r="AI73" s="8">
        <v>-1053166</v>
      </c>
      <c r="AJ73" s="8"/>
      <c r="AK73" s="8">
        <v>0</v>
      </c>
      <c r="AL73" s="8"/>
      <c r="AM73" s="8">
        <f>+'Gen rev'!U73-'Gen exp'!AC73-AG73+'Gen rev'!W73+AI73+AK73-'Gen Bal'!W73-'Gen exp'!AE73</f>
        <v>0</v>
      </c>
      <c r="AN73" s="7"/>
      <c r="AO73" s="7"/>
      <c r="AP73" s="7"/>
      <c r="AQ73" s="7"/>
    </row>
    <row r="74" spans="1:45" s="12" customFormat="1" ht="12.75" customHeight="1" x14ac:dyDescent="0.2">
      <c r="A74" s="7" t="s">
        <v>91</v>
      </c>
      <c r="B74" s="10"/>
      <c r="C74" s="7" t="s">
        <v>92</v>
      </c>
      <c r="E74" s="8">
        <v>1258368</v>
      </c>
      <c r="F74" s="8"/>
      <c r="G74" s="8">
        <v>0</v>
      </c>
      <c r="H74" s="8"/>
      <c r="I74" s="8">
        <v>104729</v>
      </c>
      <c r="J74" s="8"/>
      <c r="K74" s="8">
        <v>143685</v>
      </c>
      <c r="L74" s="8"/>
      <c r="M74" s="8">
        <v>0</v>
      </c>
      <c r="N74" s="8"/>
      <c r="O74" s="8">
        <v>124606</v>
      </c>
      <c r="P74" s="8"/>
      <c r="Q74" s="8">
        <v>0</v>
      </c>
      <c r="R74" s="8"/>
      <c r="S74" s="8">
        <v>12480</v>
      </c>
      <c r="T74" s="8"/>
      <c r="U74" s="8">
        <v>0</v>
      </c>
      <c r="V74" s="8"/>
      <c r="W74" s="8">
        <v>4610</v>
      </c>
      <c r="X74" s="8"/>
      <c r="Y74" s="8">
        <v>1434</v>
      </c>
      <c r="Z74" s="7"/>
      <c r="AA74" s="8">
        <v>0</v>
      </c>
      <c r="AB74" s="7"/>
      <c r="AC74" s="8">
        <f t="shared" si="6"/>
        <v>1649912</v>
      </c>
      <c r="AD74" s="8"/>
      <c r="AE74" s="11">
        <v>-1018000</v>
      </c>
      <c r="AF74" s="11"/>
      <c r="AG74" s="8">
        <v>2448348</v>
      </c>
      <c r="AH74" s="8"/>
      <c r="AI74" s="8">
        <v>427680</v>
      </c>
      <c r="AJ74" s="8"/>
      <c r="AK74" s="8">
        <v>0</v>
      </c>
      <c r="AL74" s="8"/>
      <c r="AM74" s="8">
        <f>+'Gen rev'!U74-'Gen exp'!AC74-AG74+'Gen rev'!W74+AI74+AK74-'Gen Bal'!W74-'Gen exp'!AE74</f>
        <v>0</v>
      </c>
      <c r="AN74" s="7"/>
      <c r="AO74" s="7"/>
      <c r="AP74" s="7"/>
      <c r="AQ74" s="7"/>
    </row>
    <row r="75" spans="1:45" s="9" customFormat="1" ht="12.75" hidden="1" customHeight="1" x14ac:dyDescent="0.2">
      <c r="A75" s="19" t="s">
        <v>93</v>
      </c>
      <c r="C75" s="19" t="s">
        <v>92</v>
      </c>
      <c r="E75" s="8">
        <v>434076</v>
      </c>
      <c r="F75" s="8"/>
      <c r="G75" s="8">
        <v>879378</v>
      </c>
      <c r="H75" s="8"/>
      <c r="I75" s="8">
        <v>0</v>
      </c>
      <c r="J75" s="8"/>
      <c r="K75" s="8">
        <v>28095</v>
      </c>
      <c r="L75" s="8"/>
      <c r="M75" s="8">
        <v>0</v>
      </c>
      <c r="N75" s="8"/>
      <c r="O75" s="8">
        <v>0</v>
      </c>
      <c r="P75" s="8"/>
      <c r="Q75" s="8">
        <v>0</v>
      </c>
      <c r="R75" s="8"/>
      <c r="S75" s="8">
        <v>0</v>
      </c>
      <c r="T75" s="8"/>
      <c r="U75" s="8">
        <v>0</v>
      </c>
      <c r="V75" s="8"/>
      <c r="W75" s="8">
        <v>2472</v>
      </c>
      <c r="X75" s="8"/>
      <c r="Y75" s="8">
        <v>2724</v>
      </c>
      <c r="Z75" s="7"/>
      <c r="AA75" s="8">
        <v>0</v>
      </c>
      <c r="AB75" s="7"/>
      <c r="AC75" s="8">
        <f t="shared" si="6"/>
        <v>1346745</v>
      </c>
      <c r="AD75" s="8"/>
      <c r="AE75" s="11">
        <v>0</v>
      </c>
      <c r="AF75" s="11"/>
      <c r="AG75" s="8">
        <v>91341</v>
      </c>
      <c r="AH75" s="8"/>
      <c r="AI75" s="8">
        <v>-482741</v>
      </c>
      <c r="AJ75" s="8"/>
      <c r="AK75" s="8">
        <v>0</v>
      </c>
      <c r="AL75" s="8"/>
      <c r="AM75" s="8">
        <f>+'Gen rev'!U75-'Gen exp'!AC75-AG75+'Gen rev'!W75+AI75+AK75-'Gen Bal'!W75-'Gen exp'!AE75</f>
        <v>0</v>
      </c>
    </row>
    <row r="76" spans="1:45" s="12" customFormat="1" ht="12.75" customHeight="1" x14ac:dyDescent="0.2">
      <c r="A76" s="4" t="s">
        <v>89</v>
      </c>
      <c r="C76" s="4" t="s">
        <v>90</v>
      </c>
      <c r="E76" s="8">
        <v>4139337</v>
      </c>
      <c r="F76" s="8"/>
      <c r="G76" s="8">
        <v>4703372</v>
      </c>
      <c r="H76" s="8"/>
      <c r="I76" s="8">
        <v>230267</v>
      </c>
      <c r="J76" s="8"/>
      <c r="K76" s="8">
        <v>168937</v>
      </c>
      <c r="L76" s="8"/>
      <c r="M76" s="8">
        <v>131182</v>
      </c>
      <c r="N76" s="8"/>
      <c r="O76" s="8">
        <v>564987</v>
      </c>
      <c r="P76" s="8"/>
      <c r="Q76" s="8">
        <v>293837</v>
      </c>
      <c r="R76" s="8"/>
      <c r="S76" s="8">
        <v>0</v>
      </c>
      <c r="T76" s="8"/>
      <c r="U76" s="8">
        <v>0</v>
      </c>
      <c r="V76" s="8"/>
      <c r="W76" s="8">
        <v>12881</v>
      </c>
      <c r="X76" s="8"/>
      <c r="Y76" s="8">
        <v>1135</v>
      </c>
      <c r="Z76" s="7"/>
      <c r="AA76" s="8">
        <v>0</v>
      </c>
      <c r="AB76" s="7"/>
      <c r="AC76" s="8">
        <f t="shared" si="6"/>
        <v>10245935</v>
      </c>
      <c r="AD76" s="8"/>
      <c r="AE76" s="11">
        <v>0</v>
      </c>
      <c r="AF76" s="11"/>
      <c r="AG76" s="8">
        <v>631400</v>
      </c>
      <c r="AH76" s="8"/>
      <c r="AI76" s="8">
        <v>890670</v>
      </c>
      <c r="AJ76" s="8"/>
      <c r="AK76" s="8">
        <v>0</v>
      </c>
      <c r="AL76" s="8"/>
      <c r="AM76" s="8">
        <f>+'Gen rev'!U76-'Gen exp'!AC76-AG76+'Gen rev'!W76+AI76+AK76-'Gen Bal'!W76-'Gen exp'!AE76</f>
        <v>0</v>
      </c>
      <c r="AN76" s="7"/>
      <c r="AO76" s="7"/>
      <c r="AP76" s="7"/>
      <c r="AQ76" s="7"/>
    </row>
    <row r="77" spans="1:45" s="12" customFormat="1" ht="12.75" customHeight="1" x14ac:dyDescent="0.2">
      <c r="A77" s="4" t="s">
        <v>94</v>
      </c>
      <c r="C77" s="4" t="s">
        <v>95</v>
      </c>
      <c r="E77" s="8">
        <v>1416201</v>
      </c>
      <c r="F77" s="8"/>
      <c r="G77" s="8">
        <v>1231652</v>
      </c>
      <c r="H77" s="8"/>
      <c r="I77" s="8">
        <v>200724</v>
      </c>
      <c r="J77" s="8"/>
      <c r="K77" s="8">
        <v>25486</v>
      </c>
      <c r="L77" s="8"/>
      <c r="M77" s="8">
        <v>249219</v>
      </c>
      <c r="N77" s="8"/>
      <c r="O77" s="8">
        <v>104817</v>
      </c>
      <c r="P77" s="8"/>
      <c r="Q77" s="8">
        <v>0</v>
      </c>
      <c r="R77" s="8"/>
      <c r="S77" s="8">
        <v>0</v>
      </c>
      <c r="T77" s="8"/>
      <c r="U77" s="8">
        <v>0</v>
      </c>
      <c r="V77" s="8"/>
      <c r="W77" s="8">
        <v>0</v>
      </c>
      <c r="X77" s="8"/>
      <c r="Y77" s="8">
        <v>0</v>
      </c>
      <c r="Z77" s="7"/>
      <c r="AA77" s="8">
        <v>0</v>
      </c>
      <c r="AB77" s="7"/>
      <c r="AC77" s="8">
        <f t="shared" si="6"/>
        <v>3228099</v>
      </c>
      <c r="AD77" s="8"/>
      <c r="AE77" s="11">
        <v>0</v>
      </c>
      <c r="AF77" s="11"/>
      <c r="AG77" s="8">
        <v>75000</v>
      </c>
      <c r="AH77" s="8"/>
      <c r="AI77" s="8">
        <v>1700806</v>
      </c>
      <c r="AJ77" s="8"/>
      <c r="AK77" s="8">
        <v>0</v>
      </c>
      <c r="AL77" s="8"/>
      <c r="AM77" s="8">
        <f>+'Gen rev'!U77-'Gen exp'!AC77-AG77+'Gen rev'!W77+AI77+AK77-'Gen Bal'!W77-'Gen exp'!AE77</f>
        <v>0</v>
      </c>
      <c r="AN77" s="7"/>
      <c r="AO77" s="7"/>
      <c r="AP77" s="7"/>
      <c r="AQ77" s="7"/>
    </row>
    <row r="78" spans="1:45" s="12" customFormat="1" ht="12.75" customHeight="1" x14ac:dyDescent="0.2">
      <c r="A78" s="4" t="s">
        <v>96</v>
      </c>
      <c r="C78" s="4" t="s">
        <v>15</v>
      </c>
      <c r="E78" s="8">
        <v>6304588</v>
      </c>
      <c r="F78" s="8"/>
      <c r="G78" s="8">
        <v>14215697</v>
      </c>
      <c r="H78" s="8"/>
      <c r="I78" s="8">
        <v>783129</v>
      </c>
      <c r="J78" s="8"/>
      <c r="K78" s="8">
        <v>1605010</v>
      </c>
      <c r="L78" s="8"/>
      <c r="M78" s="8">
        <v>0</v>
      </c>
      <c r="N78" s="8"/>
      <c r="O78" s="8">
        <v>1477239</v>
      </c>
      <c r="P78" s="8"/>
      <c r="Q78" s="8">
        <v>0</v>
      </c>
      <c r="R78" s="8"/>
      <c r="S78" s="8">
        <v>239876</v>
      </c>
      <c r="T78" s="8"/>
      <c r="U78" s="8">
        <v>0</v>
      </c>
      <c r="V78" s="8"/>
      <c r="W78" s="8">
        <v>0</v>
      </c>
      <c r="X78" s="8"/>
      <c r="Y78" s="8">
        <v>0</v>
      </c>
      <c r="Z78" s="7"/>
      <c r="AA78" s="8">
        <v>0</v>
      </c>
      <c r="AB78" s="7"/>
      <c r="AC78" s="8">
        <f t="shared" si="6"/>
        <v>24625539</v>
      </c>
      <c r="AD78" s="8"/>
      <c r="AE78" s="11">
        <v>0</v>
      </c>
      <c r="AF78" s="11"/>
      <c r="AG78" s="8">
        <v>440000</v>
      </c>
      <c r="AH78" s="8"/>
      <c r="AI78" s="8">
        <v>3896051</v>
      </c>
      <c r="AJ78" s="8"/>
      <c r="AK78" s="8">
        <v>0</v>
      </c>
      <c r="AL78" s="8"/>
      <c r="AM78" s="8">
        <f>+'Gen rev'!U78-'Gen exp'!AC78-AG78+'Gen rev'!W78+AI78+AK78-'Gen Bal'!W78-'Gen exp'!AE78</f>
        <v>0</v>
      </c>
      <c r="AN78" s="7"/>
      <c r="AO78" s="7"/>
      <c r="AP78" s="7"/>
      <c r="AQ78" s="7"/>
    </row>
    <row r="79" spans="1:45" s="12" customFormat="1" ht="12.75" customHeight="1" x14ac:dyDescent="0.2">
      <c r="A79" s="4" t="s">
        <v>97</v>
      </c>
      <c r="C79" s="4" t="s">
        <v>64</v>
      </c>
      <c r="E79" s="8">
        <v>1044274</v>
      </c>
      <c r="F79" s="8"/>
      <c r="G79" s="8">
        <v>0</v>
      </c>
      <c r="H79" s="8"/>
      <c r="I79" s="8">
        <v>463851</v>
      </c>
      <c r="J79" s="8"/>
      <c r="K79" s="8">
        <v>5738</v>
      </c>
      <c r="L79" s="8"/>
      <c r="M79" s="8">
        <v>224717</v>
      </c>
      <c r="N79" s="8"/>
      <c r="O79" s="8">
        <v>367076</v>
      </c>
      <c r="P79" s="8"/>
      <c r="Q79" s="8">
        <v>0</v>
      </c>
      <c r="R79" s="8"/>
      <c r="S79" s="8">
        <v>0</v>
      </c>
      <c r="T79" s="8"/>
      <c r="U79" s="8">
        <v>0</v>
      </c>
      <c r="V79" s="8"/>
      <c r="W79" s="8">
        <v>0</v>
      </c>
      <c r="X79" s="8"/>
      <c r="Y79" s="8">
        <v>0</v>
      </c>
      <c r="Z79" s="7"/>
      <c r="AA79" s="8">
        <v>0</v>
      </c>
      <c r="AB79" s="7"/>
      <c r="AC79" s="8">
        <f t="shared" si="6"/>
        <v>2105656</v>
      </c>
      <c r="AD79" s="8"/>
      <c r="AE79" s="11">
        <v>0</v>
      </c>
      <c r="AF79" s="11"/>
      <c r="AG79" s="8">
        <v>4877348</v>
      </c>
      <c r="AH79" s="8"/>
      <c r="AI79" s="8">
        <v>5069038</v>
      </c>
      <c r="AJ79" s="8"/>
      <c r="AK79" s="8">
        <v>0</v>
      </c>
      <c r="AL79" s="8"/>
      <c r="AM79" s="8">
        <f>+'Gen rev'!U79-'Gen exp'!AC79-AG79+'Gen rev'!W79+AI79+AK79-'Gen Bal'!W79-'Gen exp'!AE79</f>
        <v>0</v>
      </c>
      <c r="AN79" s="7"/>
      <c r="AO79" s="7"/>
      <c r="AP79" s="7"/>
      <c r="AQ79" s="7"/>
    </row>
    <row r="80" spans="1:45" s="12" customFormat="1" ht="12.75" customHeight="1" x14ac:dyDescent="0.2">
      <c r="A80" s="4" t="s">
        <v>98</v>
      </c>
      <c r="C80" s="4" t="s">
        <v>25</v>
      </c>
      <c r="E80" s="8">
        <v>10863195</v>
      </c>
      <c r="F80" s="8"/>
      <c r="G80" s="8">
        <v>19952756</v>
      </c>
      <c r="H80" s="8"/>
      <c r="I80" s="8">
        <v>1373694</v>
      </c>
      <c r="J80" s="8"/>
      <c r="K80" s="8">
        <v>275451</v>
      </c>
      <c r="L80" s="8"/>
      <c r="M80" s="8">
        <v>0</v>
      </c>
      <c r="N80" s="8"/>
      <c r="O80" s="8">
        <v>698871</v>
      </c>
      <c r="P80" s="8"/>
      <c r="Q80" s="8">
        <v>2067356</v>
      </c>
      <c r="R80" s="8"/>
      <c r="S80" s="8">
        <v>0</v>
      </c>
      <c r="T80" s="8"/>
      <c r="U80" s="8">
        <v>0</v>
      </c>
      <c r="V80" s="8"/>
      <c r="W80" s="8">
        <v>270100</v>
      </c>
      <c r="X80" s="8"/>
      <c r="Y80" s="8">
        <v>60423</v>
      </c>
      <c r="Z80" s="7"/>
      <c r="AA80" s="8">
        <v>0</v>
      </c>
      <c r="AB80" s="7"/>
      <c r="AC80" s="8">
        <f t="shared" si="6"/>
        <v>35561846</v>
      </c>
      <c r="AD80" s="8"/>
      <c r="AE80" s="11">
        <v>0</v>
      </c>
      <c r="AF80" s="11"/>
      <c r="AG80" s="8">
        <v>989675</v>
      </c>
      <c r="AH80" s="8"/>
      <c r="AI80" s="8">
        <v>8541302</v>
      </c>
      <c r="AJ80" s="8"/>
      <c r="AK80" s="8">
        <v>0</v>
      </c>
      <c r="AL80" s="8"/>
      <c r="AM80" s="8">
        <f>+'Gen rev'!U80-'Gen exp'!AC80-AG80+'Gen rev'!W80+AI80+AK80-'Gen Bal'!W80-'Gen exp'!AE80</f>
        <v>0</v>
      </c>
      <c r="AN80" s="7"/>
      <c r="AO80" s="7"/>
      <c r="AP80" s="7"/>
      <c r="AQ80" s="7"/>
    </row>
    <row r="81" spans="1:45" s="12" customFormat="1" ht="12.75" customHeight="1" x14ac:dyDescent="0.2">
      <c r="A81" s="4" t="s">
        <v>99</v>
      </c>
      <c r="C81" s="4" t="s">
        <v>28</v>
      </c>
      <c r="E81" s="8">
        <v>5534114</v>
      </c>
      <c r="F81" s="8"/>
      <c r="G81" s="8">
        <v>316424</v>
      </c>
      <c r="H81" s="8"/>
      <c r="I81" s="8">
        <v>663949</v>
      </c>
      <c r="J81" s="8"/>
      <c r="K81" s="8">
        <v>0</v>
      </c>
      <c r="L81" s="8"/>
      <c r="M81" s="8">
        <v>0</v>
      </c>
      <c r="N81" s="8"/>
      <c r="O81" s="8">
        <v>165552</v>
      </c>
      <c r="P81" s="8"/>
      <c r="Q81" s="8">
        <v>0</v>
      </c>
      <c r="R81" s="8"/>
      <c r="S81" s="8">
        <v>27720</v>
      </c>
      <c r="T81" s="8"/>
      <c r="U81" s="8">
        <v>0</v>
      </c>
      <c r="V81" s="8"/>
      <c r="W81" s="8">
        <v>11050</v>
      </c>
      <c r="X81" s="8"/>
      <c r="Y81" s="8">
        <v>2718</v>
      </c>
      <c r="Z81" s="7"/>
      <c r="AA81" s="8">
        <v>0</v>
      </c>
      <c r="AB81" s="7"/>
      <c r="AC81" s="8">
        <f t="shared" si="6"/>
        <v>6721527</v>
      </c>
      <c r="AD81" s="8"/>
      <c r="AE81" s="11">
        <v>0</v>
      </c>
      <c r="AF81" s="11"/>
      <c r="AG81" s="8">
        <v>5162188</v>
      </c>
      <c r="AH81" s="8"/>
      <c r="AI81" s="8">
        <v>3645214</v>
      </c>
      <c r="AJ81" s="8"/>
      <c r="AK81" s="8">
        <v>0</v>
      </c>
      <c r="AL81" s="8"/>
      <c r="AM81" s="8">
        <f>+'Gen rev'!U81-'Gen exp'!AC81-AG81+'Gen rev'!W81+AI81+AK81-'Gen Bal'!W81-'Gen exp'!AE81</f>
        <v>0</v>
      </c>
      <c r="AN81" s="8"/>
      <c r="AO81" s="8"/>
      <c r="AP81" s="8"/>
      <c r="AQ81" s="8"/>
      <c r="AR81" s="15"/>
      <c r="AS81" s="13"/>
    </row>
    <row r="82" spans="1:45" s="12" customFormat="1" ht="12.75" customHeight="1" x14ac:dyDescent="0.2">
      <c r="A82" s="4" t="s">
        <v>100</v>
      </c>
      <c r="C82" s="4" t="s">
        <v>101</v>
      </c>
      <c r="E82" s="8">
        <v>7042645</v>
      </c>
      <c r="F82" s="8"/>
      <c r="G82" s="8">
        <v>9745728</v>
      </c>
      <c r="H82" s="8"/>
      <c r="I82" s="8">
        <v>1304371</v>
      </c>
      <c r="J82" s="8"/>
      <c r="K82" s="8">
        <v>21784</v>
      </c>
      <c r="L82" s="8"/>
      <c r="M82" s="8">
        <v>0</v>
      </c>
      <c r="N82" s="8"/>
      <c r="O82" s="8">
        <v>2279421</v>
      </c>
      <c r="P82" s="8"/>
      <c r="Q82" s="8">
        <v>412238</v>
      </c>
      <c r="R82" s="8"/>
      <c r="S82" s="8">
        <v>44623</v>
      </c>
      <c r="T82" s="8"/>
      <c r="U82" s="8">
        <v>0</v>
      </c>
      <c r="V82" s="8"/>
      <c r="W82" s="8">
        <v>81763</v>
      </c>
      <c r="X82" s="8"/>
      <c r="Y82" s="8">
        <v>8521</v>
      </c>
      <c r="Z82" s="7"/>
      <c r="AA82" s="8">
        <v>0</v>
      </c>
      <c r="AB82" s="7"/>
      <c r="AC82" s="8">
        <f t="shared" si="6"/>
        <v>20941094</v>
      </c>
      <c r="AD82" s="8"/>
      <c r="AE82" s="11">
        <v>0</v>
      </c>
      <c r="AF82" s="11"/>
      <c r="AG82" s="8">
        <v>1290000</v>
      </c>
      <c r="AH82" s="8"/>
      <c r="AI82" s="8">
        <v>10412877</v>
      </c>
      <c r="AJ82" s="8"/>
      <c r="AK82" s="8">
        <v>0</v>
      </c>
      <c r="AL82" s="8"/>
      <c r="AM82" s="8">
        <f>+'Gen rev'!U82-'Gen exp'!AC82-AG82+'Gen rev'!W82+AI82+AK82-'Gen Bal'!W82-'Gen exp'!AE82</f>
        <v>0</v>
      </c>
      <c r="AN82" s="8"/>
      <c r="AO82" s="8"/>
      <c r="AP82" s="8"/>
      <c r="AQ82" s="8"/>
      <c r="AR82" s="15"/>
      <c r="AS82" s="13"/>
    </row>
    <row r="83" spans="1:45" s="12" customFormat="1" ht="12.75" customHeight="1" x14ac:dyDescent="0.2">
      <c r="A83" s="4" t="s">
        <v>102</v>
      </c>
      <c r="C83" s="4" t="s">
        <v>11</v>
      </c>
      <c r="E83" s="8">
        <v>2639186</v>
      </c>
      <c r="F83" s="8"/>
      <c r="G83" s="8">
        <v>5358420</v>
      </c>
      <c r="H83" s="8"/>
      <c r="I83" s="8">
        <f>351400+10000</f>
        <v>361400</v>
      </c>
      <c r="J83" s="8"/>
      <c r="K83" s="8">
        <v>118910</v>
      </c>
      <c r="L83" s="8"/>
      <c r="M83" s="8">
        <v>1871835</v>
      </c>
      <c r="N83" s="8"/>
      <c r="O83" s="8">
        <v>367426</v>
      </c>
      <c r="P83" s="8"/>
      <c r="Q83" s="8">
        <v>190053</v>
      </c>
      <c r="R83" s="8"/>
      <c r="S83" s="8">
        <v>0</v>
      </c>
      <c r="T83" s="8"/>
      <c r="U83" s="8">
        <v>0</v>
      </c>
      <c r="V83" s="8"/>
      <c r="W83" s="8">
        <v>0</v>
      </c>
      <c r="X83" s="8"/>
      <c r="Y83" s="8">
        <v>0</v>
      </c>
      <c r="Z83" s="7"/>
      <c r="AA83" s="8">
        <v>0</v>
      </c>
      <c r="AB83" s="7"/>
      <c r="AC83" s="8">
        <f t="shared" si="6"/>
        <v>10907230</v>
      </c>
      <c r="AD83" s="8"/>
      <c r="AE83" s="11">
        <v>0</v>
      </c>
      <c r="AF83" s="11"/>
      <c r="AG83" s="8">
        <f>50000+322500</f>
        <v>372500</v>
      </c>
      <c r="AH83" s="8"/>
      <c r="AI83" s="8">
        <v>11905632</v>
      </c>
      <c r="AJ83" s="8"/>
      <c r="AK83" s="8">
        <v>-45101</v>
      </c>
      <c r="AL83" s="8"/>
      <c r="AM83" s="8">
        <f>+'Gen rev'!U83-'Gen exp'!AC83-AG83+'Gen rev'!W83+AI83+AK83-'Gen Bal'!W83-'Gen exp'!AE83</f>
        <v>0</v>
      </c>
      <c r="AN83" s="8"/>
      <c r="AO83" s="8"/>
      <c r="AP83" s="8"/>
      <c r="AQ83" s="8"/>
      <c r="AR83" s="15"/>
      <c r="AS83" s="13"/>
    </row>
    <row r="84" spans="1:45" s="12" customFormat="1" ht="12.75" customHeight="1" x14ac:dyDescent="0.2">
      <c r="A84" s="4" t="s">
        <v>103</v>
      </c>
      <c r="C84" s="4" t="s">
        <v>25</v>
      </c>
      <c r="E84" s="8">
        <v>1957320</v>
      </c>
      <c r="F84" s="8"/>
      <c r="G84" s="8">
        <v>4612230</v>
      </c>
      <c r="H84" s="8"/>
      <c r="I84" s="8">
        <v>297151</v>
      </c>
      <c r="J84" s="8"/>
      <c r="K84" s="8">
        <v>1505</v>
      </c>
      <c r="L84" s="8"/>
      <c r="M84" s="8">
        <v>362134</v>
      </c>
      <c r="N84" s="8"/>
      <c r="O84" s="8">
        <v>873388</v>
      </c>
      <c r="P84" s="8"/>
      <c r="Q84" s="8">
        <v>1136269</v>
      </c>
      <c r="R84" s="8"/>
      <c r="S84" s="8">
        <v>0</v>
      </c>
      <c r="T84" s="8"/>
      <c r="U84" s="8">
        <v>0</v>
      </c>
      <c r="V84" s="8"/>
      <c r="W84" s="8">
        <v>45000</v>
      </c>
      <c r="X84" s="8"/>
      <c r="Y84" s="8">
        <v>0</v>
      </c>
      <c r="Z84" s="7"/>
      <c r="AA84" s="8">
        <v>0</v>
      </c>
      <c r="AB84" s="7"/>
      <c r="AC84" s="8">
        <f t="shared" si="6"/>
        <v>9284997</v>
      </c>
      <c r="AD84" s="8"/>
      <c r="AE84" s="11">
        <v>0</v>
      </c>
      <c r="AF84" s="11"/>
      <c r="AG84" s="8">
        <v>647500</v>
      </c>
      <c r="AH84" s="8"/>
      <c r="AI84" s="8">
        <v>2157736</v>
      </c>
      <c r="AJ84" s="8"/>
      <c r="AK84" s="8">
        <v>0</v>
      </c>
      <c r="AL84" s="8"/>
      <c r="AM84" s="8">
        <f>+'Gen rev'!U84-'Gen exp'!AC84-AG84+'Gen rev'!W84+AI84+AK84-'Gen Bal'!W84-'Gen exp'!AE84</f>
        <v>0</v>
      </c>
      <c r="AN84" s="7"/>
      <c r="AO84" s="7"/>
      <c r="AP84" s="7"/>
      <c r="AQ84" s="7"/>
    </row>
    <row r="85" spans="1:45" s="12" customFormat="1" ht="12.75" customHeight="1" x14ac:dyDescent="0.2">
      <c r="A85" s="4" t="s">
        <v>104</v>
      </c>
      <c r="C85" s="4" t="s">
        <v>105</v>
      </c>
      <c r="E85" s="8">
        <v>8346578</v>
      </c>
      <c r="F85" s="8"/>
      <c r="G85" s="8">
        <v>14905844</v>
      </c>
      <c r="H85" s="8"/>
      <c r="I85" s="8">
        <v>0</v>
      </c>
      <c r="J85" s="8"/>
      <c r="K85" s="8">
        <v>1946022</v>
      </c>
      <c r="L85" s="8"/>
      <c r="M85" s="8">
        <v>0</v>
      </c>
      <c r="N85" s="8"/>
      <c r="O85" s="8">
        <v>1221237</v>
      </c>
      <c r="P85" s="8"/>
      <c r="Q85" s="8">
        <v>0</v>
      </c>
      <c r="R85" s="8"/>
      <c r="S85" s="8">
        <v>554081</v>
      </c>
      <c r="T85" s="8"/>
      <c r="U85" s="8">
        <v>0</v>
      </c>
      <c r="V85" s="8"/>
      <c r="W85" s="8">
        <v>0</v>
      </c>
      <c r="X85" s="8"/>
      <c r="Y85" s="8">
        <v>0</v>
      </c>
      <c r="Z85" s="7"/>
      <c r="AA85" s="8">
        <v>0</v>
      </c>
      <c r="AB85" s="7"/>
      <c r="AC85" s="8">
        <f t="shared" si="6"/>
        <v>26973762</v>
      </c>
      <c r="AD85" s="8"/>
      <c r="AE85" s="11">
        <v>0</v>
      </c>
      <c r="AF85" s="11"/>
      <c r="AG85" s="8">
        <v>2153814</v>
      </c>
      <c r="AH85" s="8"/>
      <c r="AI85" s="8">
        <v>9243166</v>
      </c>
      <c r="AJ85" s="8"/>
      <c r="AK85" s="8">
        <v>1304</v>
      </c>
      <c r="AL85" s="8"/>
      <c r="AM85" s="8">
        <f>+'Gen rev'!U85-'Gen exp'!AC85-AG85+'Gen rev'!W85+AI85+AK85-'Gen Bal'!W85-'Gen exp'!AE85</f>
        <v>0</v>
      </c>
      <c r="AN85" s="11"/>
      <c r="AO85" s="11"/>
      <c r="AP85" s="11"/>
      <c r="AQ85" s="11"/>
      <c r="AR85" s="15"/>
      <c r="AS85" s="13"/>
    </row>
    <row r="86" spans="1:45" s="12" customFormat="1" ht="12.75" customHeight="1" x14ac:dyDescent="0.2">
      <c r="A86" s="4" t="s">
        <v>106</v>
      </c>
      <c r="C86" s="4" t="s">
        <v>43</v>
      </c>
      <c r="E86" s="8">
        <v>2120966</v>
      </c>
      <c r="F86" s="8"/>
      <c r="G86" s="8">
        <v>5163733</v>
      </c>
      <c r="H86" s="8"/>
      <c r="I86" s="8">
        <v>614720</v>
      </c>
      <c r="J86" s="8"/>
      <c r="K86" s="8">
        <v>20764</v>
      </c>
      <c r="L86" s="8"/>
      <c r="M86" s="8">
        <v>1059788</v>
      </c>
      <c r="N86" s="8"/>
      <c r="O86" s="8">
        <v>267494</v>
      </c>
      <c r="P86" s="8"/>
      <c r="Q86" s="8">
        <v>0</v>
      </c>
      <c r="R86" s="8"/>
      <c r="S86" s="8">
        <v>0</v>
      </c>
      <c r="T86" s="8"/>
      <c r="U86" s="8">
        <v>0</v>
      </c>
      <c r="V86" s="8"/>
      <c r="W86" s="8">
        <v>0</v>
      </c>
      <c r="X86" s="8"/>
      <c r="Y86" s="8">
        <v>0</v>
      </c>
      <c r="Z86" s="7"/>
      <c r="AA86" s="8">
        <v>0</v>
      </c>
      <c r="AB86" s="7"/>
      <c r="AC86" s="8">
        <f t="shared" si="6"/>
        <v>9247465</v>
      </c>
      <c r="AD86" s="8"/>
      <c r="AE86" s="11">
        <v>0</v>
      </c>
      <c r="AF86" s="11"/>
      <c r="AG86" s="8">
        <v>620000</v>
      </c>
      <c r="AH86" s="8"/>
      <c r="AI86" s="8">
        <v>3555412</v>
      </c>
      <c r="AJ86" s="8"/>
      <c r="AK86" s="8">
        <v>0</v>
      </c>
      <c r="AL86" s="8"/>
      <c r="AM86" s="8">
        <f>+'Gen rev'!U86-'Gen exp'!AC86-AG86+'Gen rev'!W86+AI86+AK86-'Gen Bal'!W86-'Gen exp'!AE86</f>
        <v>0</v>
      </c>
      <c r="AN86" s="7"/>
      <c r="AO86" s="7"/>
      <c r="AP86" s="7"/>
      <c r="AQ86" s="7"/>
    </row>
    <row r="87" spans="1:45" s="9" customFormat="1" ht="12.75" customHeight="1" x14ac:dyDescent="0.2">
      <c r="A87" s="19"/>
      <c r="C87" s="19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7"/>
      <c r="AA87" s="8"/>
      <c r="AB87" s="7"/>
      <c r="AC87" s="8"/>
      <c r="AD87" s="8"/>
      <c r="AE87" s="11"/>
      <c r="AF87" s="11"/>
      <c r="AG87" s="11" t="s">
        <v>478</v>
      </c>
      <c r="AH87" s="8"/>
      <c r="AI87" s="8"/>
      <c r="AJ87" s="8"/>
      <c r="AK87" s="11"/>
      <c r="AL87" s="8"/>
      <c r="AM87" s="8"/>
    </row>
    <row r="88" spans="1:45" s="74" customFormat="1" ht="12.75" customHeight="1" x14ac:dyDescent="0.2">
      <c r="A88" s="38" t="s">
        <v>386</v>
      </c>
      <c r="C88" s="75"/>
      <c r="D88" s="10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8"/>
      <c r="AS88" s="78"/>
    </row>
    <row r="89" spans="1:45" s="74" customFormat="1" ht="12.75" customHeight="1" x14ac:dyDescent="0.2">
      <c r="A89" s="38" t="s">
        <v>505</v>
      </c>
      <c r="C89" s="75"/>
      <c r="D89" s="10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8"/>
      <c r="AS89" s="78"/>
    </row>
    <row r="90" spans="1:45" ht="12.75" customHeight="1" x14ac:dyDescent="0.2">
      <c r="A90" s="75" t="s">
        <v>287</v>
      </c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4"/>
      <c r="AS90" s="4"/>
    </row>
    <row r="91" spans="1:45" ht="12.75" customHeight="1" x14ac:dyDescent="0.2">
      <c r="A91" s="75" t="s">
        <v>478</v>
      </c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4"/>
      <c r="AS91" s="4"/>
    </row>
    <row r="93" spans="1:45" s="43" customFormat="1" ht="12.75" customHeight="1" x14ac:dyDescent="0.2">
      <c r="A93" s="3"/>
      <c r="C93" s="3"/>
      <c r="E93" s="3"/>
      <c r="F93" s="3"/>
      <c r="G93" s="3" t="s">
        <v>394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AC93" s="3" t="s">
        <v>415</v>
      </c>
      <c r="AD93" s="3"/>
      <c r="AE93" s="3"/>
      <c r="AF93" s="3"/>
      <c r="AG93" s="3"/>
      <c r="AH93" s="3"/>
      <c r="AI93" s="3" t="s">
        <v>323</v>
      </c>
      <c r="AJ93" s="3"/>
      <c r="AK93" s="3" t="s">
        <v>451</v>
      </c>
      <c r="AL93" s="3"/>
      <c r="AM93" s="3"/>
      <c r="AN93" s="3"/>
      <c r="AO93" s="3"/>
      <c r="AP93" s="3"/>
      <c r="AQ93" s="3"/>
      <c r="AR93" s="2"/>
      <c r="AS93" s="2"/>
    </row>
    <row r="94" spans="1:45" s="44" customFormat="1" ht="12.75" customHeight="1" x14ac:dyDescent="0.2">
      <c r="A94" s="3"/>
      <c r="C94" s="3"/>
      <c r="D94" s="3"/>
      <c r="E94" s="3" t="s">
        <v>294</v>
      </c>
      <c r="F94" s="3"/>
      <c r="G94" s="44" t="s">
        <v>420</v>
      </c>
      <c r="H94" s="3"/>
      <c r="I94" s="3" t="s">
        <v>331</v>
      </c>
      <c r="J94" s="3"/>
      <c r="K94" s="3"/>
      <c r="L94" s="3"/>
      <c r="M94" s="3"/>
      <c r="N94" s="3"/>
      <c r="O94" s="3" t="s">
        <v>304</v>
      </c>
      <c r="P94" s="3"/>
      <c r="Q94" s="3" t="s">
        <v>332</v>
      </c>
      <c r="R94" s="3"/>
      <c r="S94" s="3" t="s">
        <v>3</v>
      </c>
      <c r="T94" s="3"/>
      <c r="U94" s="3" t="s">
        <v>325</v>
      </c>
      <c r="V94" s="3"/>
      <c r="W94" s="3"/>
      <c r="X94" s="3"/>
      <c r="Y94" s="3" t="s">
        <v>342</v>
      </c>
      <c r="AA94" s="44" t="s">
        <v>292</v>
      </c>
      <c r="AC94" s="3" t="s">
        <v>416</v>
      </c>
      <c r="AD94" s="3"/>
      <c r="AE94" s="3" t="s">
        <v>444</v>
      </c>
      <c r="AF94" s="3"/>
      <c r="AG94" s="3" t="s">
        <v>429</v>
      </c>
      <c r="AH94" s="3"/>
      <c r="AI94" s="3" t="s">
        <v>449</v>
      </c>
      <c r="AJ94" s="3"/>
      <c r="AK94" s="3" t="s">
        <v>452</v>
      </c>
      <c r="AL94" s="3"/>
      <c r="AM94" s="3" t="s">
        <v>425</v>
      </c>
      <c r="AN94" s="3"/>
      <c r="AO94" s="3"/>
      <c r="AP94" s="3"/>
      <c r="AQ94" s="3"/>
      <c r="AR94" s="3"/>
      <c r="AS94" s="3"/>
    </row>
    <row r="95" spans="1:45" s="44" customFormat="1" ht="12.75" customHeight="1" x14ac:dyDescent="0.2">
      <c r="A95" s="45" t="s">
        <v>6</v>
      </c>
      <c r="C95" s="45" t="s">
        <v>7</v>
      </c>
      <c r="D95" s="3"/>
      <c r="E95" s="46" t="s">
        <v>312</v>
      </c>
      <c r="F95" s="3"/>
      <c r="G95" s="46" t="s">
        <v>291</v>
      </c>
      <c r="H95" s="3"/>
      <c r="I95" s="46" t="s">
        <v>333</v>
      </c>
      <c r="J95" s="3"/>
      <c r="K95" s="46" t="s">
        <v>307</v>
      </c>
      <c r="L95" s="3"/>
      <c r="M95" s="46" t="s">
        <v>310</v>
      </c>
      <c r="N95" s="3"/>
      <c r="O95" s="46" t="s">
        <v>334</v>
      </c>
      <c r="P95" s="3"/>
      <c r="Q95" s="46" t="s">
        <v>335</v>
      </c>
      <c r="R95" s="3"/>
      <c r="S95" s="46" t="s">
        <v>336</v>
      </c>
      <c r="T95" s="3"/>
      <c r="U95" s="46" t="s">
        <v>329</v>
      </c>
      <c r="V95" s="3"/>
      <c r="W95" s="46" t="s">
        <v>337</v>
      </c>
      <c r="X95" s="3"/>
      <c r="Y95" s="46" t="s">
        <v>338</v>
      </c>
      <c r="AA95" s="45" t="s">
        <v>335</v>
      </c>
      <c r="AC95" s="45" t="s">
        <v>335</v>
      </c>
      <c r="AD95" s="3"/>
      <c r="AE95" s="45" t="s">
        <v>440</v>
      </c>
      <c r="AF95" s="3"/>
      <c r="AG95" s="45" t="s">
        <v>430</v>
      </c>
      <c r="AH95" s="3"/>
      <c r="AI95" s="45" t="s">
        <v>450</v>
      </c>
      <c r="AJ95" s="3"/>
      <c r="AK95" s="45" t="s">
        <v>428</v>
      </c>
      <c r="AL95" s="3"/>
      <c r="AM95" s="47" t="s">
        <v>426</v>
      </c>
      <c r="AN95" s="3"/>
      <c r="AO95" s="3"/>
      <c r="AP95" s="3"/>
      <c r="AQ95" s="3"/>
      <c r="AR95" s="3"/>
      <c r="AS95" s="3"/>
    </row>
    <row r="96" spans="1:45" s="44" customFormat="1" ht="12.75" customHeight="1" x14ac:dyDescent="0.2">
      <c r="A96" s="3"/>
      <c r="C96" s="3"/>
      <c r="D96" s="3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3"/>
      <c r="AS96" s="3"/>
    </row>
    <row r="97" spans="1:45" s="7" customFormat="1" ht="12.75" customHeight="1" x14ac:dyDescent="0.2">
      <c r="A97" s="6" t="s">
        <v>107</v>
      </c>
      <c r="C97" s="6" t="s">
        <v>108</v>
      </c>
      <c r="E97" s="40">
        <v>1412081</v>
      </c>
      <c r="F97" s="40"/>
      <c r="G97" s="40">
        <v>4278281</v>
      </c>
      <c r="H97" s="40"/>
      <c r="I97" s="40">
        <v>97171</v>
      </c>
      <c r="J97" s="40"/>
      <c r="K97" s="40">
        <v>172527</v>
      </c>
      <c r="L97" s="40"/>
      <c r="M97" s="40">
        <v>133523</v>
      </c>
      <c r="N97" s="40"/>
      <c r="O97" s="40">
        <v>0</v>
      </c>
      <c r="P97" s="40"/>
      <c r="Q97" s="40">
        <v>0</v>
      </c>
      <c r="R97" s="40"/>
      <c r="S97" s="40">
        <v>0</v>
      </c>
      <c r="T97" s="40"/>
      <c r="U97" s="40">
        <v>0</v>
      </c>
      <c r="V97" s="40"/>
      <c r="W97" s="40">
        <v>0</v>
      </c>
      <c r="X97" s="40"/>
      <c r="Y97" s="40">
        <v>0</v>
      </c>
      <c r="Z97" s="9"/>
      <c r="AA97" s="40">
        <v>0</v>
      </c>
      <c r="AB97" s="9"/>
      <c r="AC97" s="40">
        <f t="shared" ref="AC97:AC133" si="7">SUM(E97:AA97)</f>
        <v>6093583</v>
      </c>
      <c r="AD97" s="40"/>
      <c r="AE97" s="22">
        <v>0</v>
      </c>
      <c r="AF97" s="22"/>
      <c r="AG97" s="40">
        <v>570000</v>
      </c>
      <c r="AH97" s="8"/>
      <c r="AI97" s="8">
        <v>669705</v>
      </c>
      <c r="AJ97" s="8"/>
      <c r="AK97" s="8">
        <v>0</v>
      </c>
      <c r="AL97" s="8"/>
      <c r="AM97" s="8">
        <f>+'Gen rev'!U96-'Gen exp'!AC97-AG97+'Gen rev'!W96+AI97+AK97-'Gen Bal'!W97-'Gen exp'!AE97</f>
        <v>0</v>
      </c>
    </row>
    <row r="98" spans="1:45" s="12" customFormat="1" ht="12.75" customHeight="1" x14ac:dyDescent="0.2">
      <c r="A98" s="4" t="s">
        <v>41</v>
      </c>
      <c r="C98" s="4" t="s">
        <v>109</v>
      </c>
      <c r="E98" s="8">
        <v>2302118</v>
      </c>
      <c r="F98" s="8"/>
      <c r="G98" s="8">
        <f>3046454+167527</f>
        <v>3213981</v>
      </c>
      <c r="H98" s="8"/>
      <c r="I98" s="8">
        <v>0</v>
      </c>
      <c r="J98" s="8"/>
      <c r="K98" s="8">
        <v>0</v>
      </c>
      <c r="L98" s="8"/>
      <c r="M98" s="8">
        <v>0</v>
      </c>
      <c r="N98" s="8"/>
      <c r="O98" s="8">
        <v>35942</v>
      </c>
      <c r="P98" s="8"/>
      <c r="Q98" s="8">
        <v>0</v>
      </c>
      <c r="R98" s="8"/>
      <c r="S98" s="8">
        <v>171883</v>
      </c>
      <c r="T98" s="8"/>
      <c r="U98" s="8">
        <v>0</v>
      </c>
      <c r="V98" s="8"/>
      <c r="W98" s="8">
        <v>0</v>
      </c>
      <c r="X98" s="8"/>
      <c r="Y98" s="8">
        <v>2777</v>
      </c>
      <c r="Z98" s="7"/>
      <c r="AA98" s="8">
        <v>0</v>
      </c>
      <c r="AB98" s="7"/>
      <c r="AC98" s="8">
        <f t="shared" si="7"/>
        <v>5726701</v>
      </c>
      <c r="AD98" s="8"/>
      <c r="AE98" s="11">
        <v>0</v>
      </c>
      <c r="AF98" s="11"/>
      <c r="AG98" s="8">
        <v>3309136</v>
      </c>
      <c r="AH98" s="8"/>
      <c r="AI98" s="8">
        <v>4007844</v>
      </c>
      <c r="AJ98" s="8"/>
      <c r="AK98" s="8">
        <v>0</v>
      </c>
      <c r="AL98" s="8"/>
      <c r="AM98" s="8">
        <f>+'Gen rev'!U97-'Gen exp'!AC98-AG98+'Gen rev'!W97+AI98+AK98-'Gen Bal'!W98-'Gen exp'!AE98</f>
        <v>0</v>
      </c>
      <c r="AN98" s="8"/>
      <c r="AO98" s="8"/>
      <c r="AP98" s="8"/>
      <c r="AQ98" s="8"/>
      <c r="AR98" s="15"/>
      <c r="AS98" s="13"/>
    </row>
    <row r="99" spans="1:45" s="12" customFormat="1" ht="12.75" customHeight="1" x14ac:dyDescent="0.2">
      <c r="A99" s="4" t="s">
        <v>110</v>
      </c>
      <c r="C99" s="4" t="s">
        <v>74</v>
      </c>
      <c r="E99" s="8">
        <v>2218558</v>
      </c>
      <c r="F99" s="8"/>
      <c r="G99" s="8">
        <v>5308636</v>
      </c>
      <c r="H99" s="8"/>
      <c r="I99" s="8">
        <f>70227+118875</f>
        <v>189102</v>
      </c>
      <c r="J99" s="8"/>
      <c r="K99" s="8">
        <v>3768</v>
      </c>
      <c r="L99" s="8"/>
      <c r="M99" s="8">
        <v>0</v>
      </c>
      <c r="N99" s="8"/>
      <c r="O99" s="8">
        <v>651527</v>
      </c>
      <c r="P99" s="8"/>
      <c r="Q99" s="8">
        <v>0</v>
      </c>
      <c r="R99" s="8"/>
      <c r="S99" s="8">
        <v>5165</v>
      </c>
      <c r="T99" s="8"/>
      <c r="U99" s="8">
        <v>0</v>
      </c>
      <c r="V99" s="8"/>
      <c r="W99" s="8">
        <v>0</v>
      </c>
      <c r="X99" s="8"/>
      <c r="Y99" s="8">
        <v>0</v>
      </c>
      <c r="Z99" s="7"/>
      <c r="AA99" s="8">
        <v>0</v>
      </c>
      <c r="AB99" s="7"/>
      <c r="AC99" s="8">
        <f t="shared" si="7"/>
        <v>8376756</v>
      </c>
      <c r="AD99" s="8"/>
      <c r="AE99" s="11">
        <v>0</v>
      </c>
      <c r="AF99" s="11"/>
      <c r="AG99" s="8">
        <v>1728000</v>
      </c>
      <c r="AH99" s="8"/>
      <c r="AI99" s="8">
        <v>6044891</v>
      </c>
      <c r="AJ99" s="8"/>
      <c r="AK99" s="8">
        <v>0</v>
      </c>
      <c r="AL99" s="8"/>
      <c r="AM99" s="8">
        <f>+'Gen rev'!U98-'Gen exp'!AC99-AG99+'Gen rev'!W98+AI99+AK99-'Gen Bal'!W99-'Gen exp'!AE99</f>
        <v>0</v>
      </c>
      <c r="AN99" s="7"/>
      <c r="AO99" s="7"/>
      <c r="AP99" s="7"/>
      <c r="AQ99" s="7"/>
    </row>
    <row r="100" spans="1:45" s="12" customFormat="1" ht="12.75" hidden="1" customHeight="1" x14ac:dyDescent="0.2">
      <c r="A100" s="4" t="s">
        <v>111</v>
      </c>
      <c r="C100" s="4" t="s">
        <v>41</v>
      </c>
      <c r="E100" s="8">
        <v>3960128</v>
      </c>
      <c r="F100" s="8"/>
      <c r="G100" s="8">
        <v>7622069</v>
      </c>
      <c r="H100" s="8"/>
      <c r="I100" s="8">
        <v>2642554</v>
      </c>
      <c r="J100" s="8"/>
      <c r="K100" s="8">
        <v>215060</v>
      </c>
      <c r="L100" s="8"/>
      <c r="M100" s="8">
        <v>935741</v>
      </c>
      <c r="N100" s="8"/>
      <c r="O100" s="8">
        <v>2601027</v>
      </c>
      <c r="P100" s="8"/>
      <c r="Q100" s="8">
        <v>2378727</v>
      </c>
      <c r="R100" s="8"/>
      <c r="S100" s="8">
        <v>1002470</v>
      </c>
      <c r="T100" s="8"/>
      <c r="U100" s="8">
        <v>0</v>
      </c>
      <c r="V100" s="8"/>
      <c r="W100" s="8">
        <v>0</v>
      </c>
      <c r="X100" s="8"/>
      <c r="Y100" s="8">
        <v>0</v>
      </c>
      <c r="Z100" s="7"/>
      <c r="AA100" s="8">
        <v>0</v>
      </c>
      <c r="AB100" s="7"/>
      <c r="AC100" s="8">
        <f t="shared" si="7"/>
        <v>21357776</v>
      </c>
      <c r="AD100" s="8"/>
      <c r="AE100" s="11">
        <v>0</v>
      </c>
      <c r="AF100" s="11"/>
      <c r="AG100" s="8">
        <v>1691158</v>
      </c>
      <c r="AH100" s="8"/>
      <c r="AI100" s="8">
        <v>20259907</v>
      </c>
      <c r="AJ100" s="8"/>
      <c r="AK100" s="8">
        <v>0</v>
      </c>
      <c r="AL100" s="8"/>
      <c r="AM100" s="8">
        <f>+'Gen rev'!U99-'Gen exp'!AC100-AG100+'Gen rev'!W99+AI100+AK100-'Gen Bal'!W100-'Gen exp'!AE100</f>
        <v>0</v>
      </c>
      <c r="AN100" s="7"/>
      <c r="AO100" s="7"/>
      <c r="AP100" s="7"/>
      <c r="AQ100" s="7"/>
    </row>
    <row r="101" spans="1:45" s="12" customFormat="1" ht="12.75" customHeight="1" x14ac:dyDescent="0.2">
      <c r="A101" s="19" t="s">
        <v>484</v>
      </c>
      <c r="B101" s="9"/>
      <c r="C101" s="19" t="s">
        <v>55</v>
      </c>
      <c r="D101" s="9"/>
      <c r="E101" s="8">
        <v>1239947</v>
      </c>
      <c r="F101" s="8"/>
      <c r="G101" s="8">
        <f>793163+1017807</f>
        <v>1810970</v>
      </c>
      <c r="H101" s="8"/>
      <c r="I101" s="8">
        <v>0</v>
      </c>
      <c r="J101" s="8"/>
      <c r="K101" s="8">
        <v>485327</v>
      </c>
      <c r="L101" s="8"/>
      <c r="M101" s="8">
        <v>0</v>
      </c>
      <c r="N101" s="8"/>
      <c r="O101" s="8">
        <v>0</v>
      </c>
      <c r="P101" s="8"/>
      <c r="Q101" s="8">
        <v>0</v>
      </c>
      <c r="R101" s="8"/>
      <c r="S101" s="8">
        <v>0</v>
      </c>
      <c r="T101" s="8"/>
      <c r="U101" s="8">
        <v>0</v>
      </c>
      <c r="V101" s="8"/>
      <c r="W101" s="8">
        <v>0</v>
      </c>
      <c r="X101" s="8"/>
      <c r="Y101" s="8">
        <v>13739</v>
      </c>
      <c r="Z101" s="7"/>
      <c r="AA101" s="8">
        <v>0</v>
      </c>
      <c r="AB101" s="7"/>
      <c r="AC101" s="8">
        <f t="shared" si="7"/>
        <v>3549983</v>
      </c>
      <c r="AD101" s="8"/>
      <c r="AE101" s="11">
        <v>0</v>
      </c>
      <c r="AF101" s="11"/>
      <c r="AG101" s="8">
        <v>2041633</v>
      </c>
      <c r="AH101" s="8"/>
      <c r="AI101" s="8">
        <v>5921921</v>
      </c>
      <c r="AJ101" s="8"/>
      <c r="AK101" s="8">
        <v>0</v>
      </c>
      <c r="AL101" s="8"/>
      <c r="AM101" s="8">
        <f>+'Gen rev'!U100-'Gen exp'!AC101-AG101+'Gen rev'!W100+AI101+AK101-'Gen Bal'!W101-'Gen exp'!AE101</f>
        <v>0</v>
      </c>
      <c r="AN101" s="8"/>
      <c r="AO101" s="8"/>
      <c r="AP101" s="8"/>
      <c r="AQ101" s="8"/>
      <c r="AR101" s="15"/>
      <c r="AS101" s="13"/>
    </row>
    <row r="102" spans="1:45" s="12" customFormat="1" ht="12.75" customHeight="1" x14ac:dyDescent="0.2">
      <c r="A102" s="4" t="s">
        <v>112</v>
      </c>
      <c r="C102" s="4" t="s">
        <v>25</v>
      </c>
      <c r="E102" s="8">
        <v>6608474</v>
      </c>
      <c r="F102" s="8"/>
      <c r="G102" s="8">
        <v>10413558</v>
      </c>
      <c r="H102" s="8"/>
      <c r="I102" s="8">
        <v>444202</v>
      </c>
      <c r="J102" s="8"/>
      <c r="K102" s="8">
        <v>207883</v>
      </c>
      <c r="L102" s="8"/>
      <c r="M102" s="8">
        <v>0</v>
      </c>
      <c r="N102" s="8"/>
      <c r="O102" s="8">
        <v>724405</v>
      </c>
      <c r="P102" s="8"/>
      <c r="Q102" s="8">
        <v>1886642</v>
      </c>
      <c r="R102" s="8"/>
      <c r="S102" s="8">
        <v>0</v>
      </c>
      <c r="T102" s="8"/>
      <c r="U102" s="8">
        <v>0</v>
      </c>
      <c r="V102" s="8"/>
      <c r="W102" s="8">
        <v>0</v>
      </c>
      <c r="X102" s="8"/>
      <c r="Y102" s="8">
        <v>86468</v>
      </c>
      <c r="Z102" s="7"/>
      <c r="AA102" s="8">
        <v>0</v>
      </c>
      <c r="AB102" s="7"/>
      <c r="AC102" s="8">
        <f t="shared" si="7"/>
        <v>20371632</v>
      </c>
      <c r="AD102" s="8"/>
      <c r="AE102" s="11">
        <v>0</v>
      </c>
      <c r="AF102" s="11"/>
      <c r="AG102" s="8">
        <v>1404664</v>
      </c>
      <c r="AH102" s="8"/>
      <c r="AI102" s="8">
        <v>-4095171</v>
      </c>
      <c r="AJ102" s="8"/>
      <c r="AK102" s="8">
        <v>0</v>
      </c>
      <c r="AL102" s="8"/>
      <c r="AM102" s="8">
        <f>+'Gen rev'!U101-'Gen exp'!AC102-AG102+'Gen rev'!W101+AI102+AK102-'Gen Bal'!W102-'Gen exp'!AE102</f>
        <v>0</v>
      </c>
      <c r="AN102" s="8"/>
      <c r="AO102" s="8"/>
      <c r="AP102" s="8"/>
      <c r="AQ102" s="8"/>
      <c r="AR102" s="15"/>
      <c r="AS102" s="13"/>
    </row>
    <row r="103" spans="1:45" s="12" customFormat="1" ht="12.75" customHeight="1" x14ac:dyDescent="0.2">
      <c r="A103" s="4" t="s">
        <v>113</v>
      </c>
      <c r="C103" s="4" t="s">
        <v>17</v>
      </c>
      <c r="E103" s="8">
        <v>1036737</v>
      </c>
      <c r="F103" s="8"/>
      <c r="G103" s="8">
        <v>1891021</v>
      </c>
      <c r="H103" s="8"/>
      <c r="I103" s="8">
        <v>66112</v>
      </c>
      <c r="J103" s="8"/>
      <c r="K103" s="8">
        <v>0</v>
      </c>
      <c r="L103" s="8"/>
      <c r="M103" s="8">
        <v>0</v>
      </c>
      <c r="N103" s="8"/>
      <c r="O103" s="8">
        <v>167573</v>
      </c>
      <c r="P103" s="8"/>
      <c r="Q103" s="8">
        <v>0</v>
      </c>
      <c r="R103" s="8"/>
      <c r="S103" s="8">
        <v>1760</v>
      </c>
      <c r="T103" s="8"/>
      <c r="U103" s="8">
        <v>0</v>
      </c>
      <c r="V103" s="8"/>
      <c r="W103" s="8">
        <v>45467</v>
      </c>
      <c r="X103" s="8"/>
      <c r="Y103" s="8">
        <v>3129</v>
      </c>
      <c r="Z103" s="7"/>
      <c r="AA103" s="8">
        <v>0</v>
      </c>
      <c r="AB103" s="7"/>
      <c r="AC103" s="8">
        <f t="shared" si="7"/>
        <v>3211799</v>
      </c>
      <c r="AD103" s="8"/>
      <c r="AE103" s="11">
        <v>0</v>
      </c>
      <c r="AF103" s="11"/>
      <c r="AG103" s="8">
        <v>947351</v>
      </c>
      <c r="AH103" s="8"/>
      <c r="AI103" s="8">
        <v>1713157</v>
      </c>
      <c r="AJ103" s="8"/>
      <c r="AK103" s="8">
        <v>0</v>
      </c>
      <c r="AL103" s="8"/>
      <c r="AM103" s="8">
        <f>+'Gen rev'!U102-'Gen exp'!AC103-AG103+'Gen rev'!W102+AI103+AK103-'Gen Bal'!W103-'Gen exp'!AE103</f>
        <v>0</v>
      </c>
      <c r="AN103" s="8"/>
      <c r="AO103" s="8"/>
      <c r="AP103" s="8"/>
      <c r="AQ103" s="8"/>
      <c r="AR103" s="15"/>
      <c r="AS103" s="13"/>
    </row>
    <row r="104" spans="1:45" s="12" customFormat="1" ht="12.75" customHeight="1" x14ac:dyDescent="0.2">
      <c r="A104" s="19" t="s">
        <v>114</v>
      </c>
      <c r="B104" s="9"/>
      <c r="C104" s="19" t="s">
        <v>78</v>
      </c>
      <c r="D104" s="9"/>
      <c r="E104" s="8">
        <v>1832094</v>
      </c>
      <c r="F104" s="8"/>
      <c r="G104" s="8">
        <v>3034874</v>
      </c>
      <c r="H104" s="8"/>
      <c r="I104" s="8">
        <v>0</v>
      </c>
      <c r="J104" s="8"/>
      <c r="K104" s="8">
        <v>136401</v>
      </c>
      <c r="L104" s="8"/>
      <c r="M104" s="8">
        <v>15339</v>
      </c>
      <c r="N104" s="8"/>
      <c r="O104" s="8">
        <v>74776</v>
      </c>
      <c r="P104" s="8"/>
      <c r="Q104" s="8">
        <v>673984</v>
      </c>
      <c r="R104" s="8"/>
      <c r="S104" s="8">
        <v>0</v>
      </c>
      <c r="T104" s="8"/>
      <c r="U104" s="8">
        <v>0</v>
      </c>
      <c r="V104" s="8"/>
      <c r="W104" s="8">
        <v>0</v>
      </c>
      <c r="X104" s="8"/>
      <c r="Y104" s="8">
        <v>0</v>
      </c>
      <c r="Z104" s="7"/>
      <c r="AA104" s="8">
        <v>0</v>
      </c>
      <c r="AB104" s="7"/>
      <c r="AC104" s="8">
        <f t="shared" si="7"/>
        <v>5767468</v>
      </c>
      <c r="AD104" s="8"/>
      <c r="AE104" s="11">
        <v>0</v>
      </c>
      <c r="AF104" s="11"/>
      <c r="AG104" s="8">
        <v>0</v>
      </c>
      <c r="AH104" s="8"/>
      <c r="AI104" s="8">
        <v>665399</v>
      </c>
      <c r="AJ104" s="8"/>
      <c r="AK104" s="8">
        <v>0</v>
      </c>
      <c r="AL104" s="8"/>
      <c r="AM104" s="8">
        <f>+'Gen rev'!U103-'Gen exp'!AC104-AG104+'Gen rev'!W103+AI104+AK104-'Gen Bal'!W104-'Gen exp'!AE104</f>
        <v>0</v>
      </c>
      <c r="AN104" s="8"/>
      <c r="AO104" s="8"/>
      <c r="AP104" s="8"/>
      <c r="AQ104" s="8"/>
      <c r="AR104" s="15"/>
      <c r="AS104" s="13"/>
    </row>
    <row r="105" spans="1:45" s="12" customFormat="1" ht="12.75" customHeight="1" x14ac:dyDescent="0.2">
      <c r="A105" s="10" t="s">
        <v>115</v>
      </c>
      <c r="C105" s="4" t="s">
        <v>41</v>
      </c>
      <c r="E105" s="8">
        <v>2312232</v>
      </c>
      <c r="F105" s="8"/>
      <c r="G105" s="8">
        <v>4353294</v>
      </c>
      <c r="H105" s="8"/>
      <c r="I105" s="8">
        <v>343958</v>
      </c>
      <c r="J105" s="8"/>
      <c r="K105" s="8">
        <v>42352</v>
      </c>
      <c r="L105" s="8"/>
      <c r="M105" s="8">
        <v>402107</v>
      </c>
      <c r="N105" s="8"/>
      <c r="O105" s="8">
        <v>835205</v>
      </c>
      <c r="P105" s="8"/>
      <c r="Q105" s="8">
        <v>616344</v>
      </c>
      <c r="R105" s="8"/>
      <c r="S105" s="8">
        <v>36113</v>
      </c>
      <c r="T105" s="8"/>
      <c r="U105" s="8">
        <v>0</v>
      </c>
      <c r="V105" s="8"/>
      <c r="W105" s="8">
        <v>0</v>
      </c>
      <c r="X105" s="8"/>
      <c r="Y105" s="8">
        <v>0</v>
      </c>
      <c r="Z105" s="7"/>
      <c r="AA105" s="8">
        <v>0</v>
      </c>
      <c r="AB105" s="7"/>
      <c r="AC105" s="8">
        <f t="shared" si="7"/>
        <v>8941605</v>
      </c>
      <c r="AD105" s="8"/>
      <c r="AE105" s="11">
        <v>0</v>
      </c>
      <c r="AF105" s="11"/>
      <c r="AG105" s="8">
        <v>0</v>
      </c>
      <c r="AH105" s="8"/>
      <c r="AI105" s="8">
        <v>3475407</v>
      </c>
      <c r="AJ105" s="8"/>
      <c r="AK105" s="8">
        <v>0</v>
      </c>
      <c r="AL105" s="8"/>
      <c r="AM105" s="8">
        <f>+'Gen rev'!U104-'Gen exp'!AC105-AG105+'Gen rev'!W104+AI105+AK105-'Gen Bal'!W105-'Gen exp'!AE105</f>
        <v>0</v>
      </c>
      <c r="AN105" s="8"/>
      <c r="AO105" s="8"/>
      <c r="AP105" s="8"/>
      <c r="AQ105" s="8"/>
      <c r="AR105" s="15"/>
      <c r="AS105" s="13"/>
    </row>
    <row r="106" spans="1:45" s="12" customFormat="1" ht="12.75" customHeight="1" x14ac:dyDescent="0.2">
      <c r="A106" s="4" t="s">
        <v>116</v>
      </c>
      <c r="C106" s="4" t="s">
        <v>11</v>
      </c>
      <c r="E106" s="8">
        <v>5355841</v>
      </c>
      <c r="F106" s="8"/>
      <c r="G106" s="8">
        <v>7089555</v>
      </c>
      <c r="H106" s="8"/>
      <c r="I106" s="8">
        <v>983120</v>
      </c>
      <c r="J106" s="8"/>
      <c r="K106" s="8">
        <v>244581</v>
      </c>
      <c r="L106" s="8"/>
      <c r="M106" s="8">
        <v>0</v>
      </c>
      <c r="N106" s="8"/>
      <c r="O106" s="8">
        <v>778079</v>
      </c>
      <c r="P106" s="8"/>
      <c r="Q106" s="8">
        <v>0</v>
      </c>
      <c r="R106" s="8"/>
      <c r="S106" s="8">
        <v>0</v>
      </c>
      <c r="T106" s="8"/>
      <c r="U106" s="8">
        <v>0</v>
      </c>
      <c r="V106" s="8"/>
      <c r="W106" s="8">
        <v>700599</v>
      </c>
      <c r="X106" s="8"/>
      <c r="Y106" s="8">
        <v>299401</v>
      </c>
      <c r="Z106" s="7"/>
      <c r="AA106" s="8">
        <v>0</v>
      </c>
      <c r="AB106" s="7"/>
      <c r="AC106" s="8">
        <f t="shared" si="7"/>
        <v>15451176</v>
      </c>
      <c r="AD106" s="8"/>
      <c r="AE106" s="11">
        <v>0</v>
      </c>
      <c r="AF106" s="11"/>
      <c r="AG106" s="8">
        <v>7405500</v>
      </c>
      <c r="AH106" s="8"/>
      <c r="AI106" s="8">
        <v>33448783</v>
      </c>
      <c r="AJ106" s="8"/>
      <c r="AK106" s="8">
        <v>0</v>
      </c>
      <c r="AL106" s="8"/>
      <c r="AM106" s="8">
        <f>+'Gen rev'!U105-'Gen exp'!AC106-AG106+'Gen rev'!W105+AI106+AK106-'Gen Bal'!W106-'Gen exp'!AE106</f>
        <v>0</v>
      </c>
      <c r="AN106" s="8"/>
      <c r="AO106" s="8"/>
      <c r="AP106" s="8"/>
      <c r="AQ106" s="8"/>
      <c r="AR106" s="15"/>
      <c r="AS106" s="13"/>
    </row>
    <row r="107" spans="1:45" s="12" customFormat="1" ht="12.75" customHeight="1" x14ac:dyDescent="0.2">
      <c r="A107" s="4" t="s">
        <v>118</v>
      </c>
      <c r="C107" s="4" t="s">
        <v>119</v>
      </c>
      <c r="E107" s="8">
        <v>1852699</v>
      </c>
      <c r="F107" s="8"/>
      <c r="G107" s="8">
        <v>3709913</v>
      </c>
      <c r="H107" s="8"/>
      <c r="I107" s="8">
        <v>0</v>
      </c>
      <c r="J107" s="8"/>
      <c r="K107" s="8">
        <v>939</v>
      </c>
      <c r="L107" s="8"/>
      <c r="M107" s="8">
        <v>65779</v>
      </c>
      <c r="N107" s="8"/>
      <c r="O107" s="8">
        <v>210573</v>
      </c>
      <c r="P107" s="8"/>
      <c r="Q107" s="8">
        <v>155964</v>
      </c>
      <c r="R107" s="8"/>
      <c r="S107" s="8">
        <v>136494</v>
      </c>
      <c r="T107" s="8"/>
      <c r="U107" s="8">
        <v>0</v>
      </c>
      <c r="V107" s="8"/>
      <c r="W107" s="8">
        <v>70841</v>
      </c>
      <c r="X107" s="8"/>
      <c r="Y107" s="8">
        <v>18553</v>
      </c>
      <c r="Z107" s="7"/>
      <c r="AA107" s="8">
        <v>0</v>
      </c>
      <c r="AB107" s="7"/>
      <c r="AC107" s="8">
        <f t="shared" si="7"/>
        <v>6221755</v>
      </c>
      <c r="AD107" s="8"/>
      <c r="AE107" s="11">
        <v>0</v>
      </c>
      <c r="AF107" s="11"/>
      <c r="AG107" s="8">
        <v>1265808</v>
      </c>
      <c r="AH107" s="8"/>
      <c r="AI107" s="8">
        <v>2739615</v>
      </c>
      <c r="AJ107" s="8"/>
      <c r="AK107" s="8">
        <v>0</v>
      </c>
      <c r="AL107" s="8"/>
      <c r="AM107" s="8">
        <f>+'Gen rev'!U106-'Gen exp'!AC107-AG107+'Gen rev'!W106+AI107+AK107-'Gen Bal'!W107-'Gen exp'!AE107</f>
        <v>0</v>
      </c>
      <c r="AN107" s="8"/>
      <c r="AO107" s="8"/>
      <c r="AP107" s="8"/>
      <c r="AQ107" s="8"/>
      <c r="AR107" s="15"/>
      <c r="AS107" s="13"/>
    </row>
    <row r="108" spans="1:45" s="12" customFormat="1" ht="12.75" customHeight="1" x14ac:dyDescent="0.2">
      <c r="A108" s="4" t="s">
        <v>120</v>
      </c>
      <c r="C108" s="4" t="s">
        <v>41</v>
      </c>
      <c r="E108" s="8">
        <v>9072713</v>
      </c>
      <c r="F108" s="8"/>
      <c r="G108" s="8">
        <v>8477167</v>
      </c>
      <c r="H108" s="8"/>
      <c r="I108" s="8">
        <v>1025306</v>
      </c>
      <c r="J108" s="8"/>
      <c r="K108" s="8">
        <v>278057</v>
      </c>
      <c r="L108" s="8"/>
      <c r="M108" s="8">
        <v>0</v>
      </c>
      <c r="N108" s="8"/>
      <c r="O108" s="8">
        <v>768819</v>
      </c>
      <c r="P108" s="8"/>
      <c r="Q108" s="8">
        <v>0</v>
      </c>
      <c r="R108" s="8"/>
      <c r="S108" s="8">
        <v>2615445</v>
      </c>
      <c r="T108" s="8"/>
      <c r="U108" s="8">
        <v>0</v>
      </c>
      <c r="V108" s="8"/>
      <c r="W108" s="8">
        <v>19481</v>
      </c>
      <c r="X108" s="8"/>
      <c r="Y108" s="8">
        <v>224</v>
      </c>
      <c r="Z108" s="7"/>
      <c r="AA108" s="8">
        <v>0</v>
      </c>
      <c r="AB108" s="7"/>
      <c r="AC108" s="8">
        <f t="shared" si="7"/>
        <v>22257212</v>
      </c>
      <c r="AD108" s="8"/>
      <c r="AE108" s="11">
        <v>0</v>
      </c>
      <c r="AF108" s="11"/>
      <c r="AG108" s="8">
        <v>7399605</v>
      </c>
      <c r="AH108" s="8"/>
      <c r="AI108" s="8">
        <v>25167612</v>
      </c>
      <c r="AJ108" s="8"/>
      <c r="AK108" s="8">
        <v>0</v>
      </c>
      <c r="AL108" s="8"/>
      <c r="AM108" s="8">
        <f>+'Gen rev'!U107-'Gen exp'!AC108-AG108+'Gen rev'!W107+AI108+AK108-'Gen Bal'!W108-'Gen exp'!AE108</f>
        <v>0</v>
      </c>
      <c r="AN108" s="8"/>
      <c r="AO108" s="8"/>
      <c r="AP108" s="8"/>
      <c r="AQ108" s="8"/>
      <c r="AR108" s="15"/>
      <c r="AS108" s="13"/>
    </row>
    <row r="109" spans="1:45" s="12" customFormat="1" ht="12.75" customHeight="1" x14ac:dyDescent="0.2">
      <c r="A109" s="6" t="s">
        <v>494</v>
      </c>
      <c r="B109" s="14"/>
      <c r="C109" s="6" t="s">
        <v>41</v>
      </c>
      <c r="E109" s="8">
        <v>5253225</v>
      </c>
      <c r="F109" s="8"/>
      <c r="G109" s="8">
        <v>1689174</v>
      </c>
      <c r="H109" s="8"/>
      <c r="I109" s="8">
        <f>311174+108288</f>
        <v>419462</v>
      </c>
      <c r="J109" s="8"/>
      <c r="K109" s="8">
        <v>40199</v>
      </c>
      <c r="L109" s="8"/>
      <c r="M109" s="8">
        <v>0</v>
      </c>
      <c r="N109" s="8"/>
      <c r="O109" s="8">
        <v>3355707</v>
      </c>
      <c r="P109" s="8"/>
      <c r="Q109" s="8">
        <v>0</v>
      </c>
      <c r="R109" s="8"/>
      <c r="S109" s="8">
        <v>39841</v>
      </c>
      <c r="T109" s="8"/>
      <c r="U109" s="8">
        <v>0</v>
      </c>
      <c r="V109" s="8"/>
      <c r="W109" s="8">
        <v>27522</v>
      </c>
      <c r="X109" s="8"/>
      <c r="Y109" s="8">
        <v>5155</v>
      </c>
      <c r="Z109" s="7"/>
      <c r="AA109" s="8">
        <v>0</v>
      </c>
      <c r="AB109" s="7"/>
      <c r="AC109" s="8">
        <f t="shared" si="7"/>
        <v>10830285</v>
      </c>
      <c r="AD109" s="8"/>
      <c r="AE109" s="11">
        <v>0</v>
      </c>
      <c r="AF109" s="11"/>
      <c r="AG109" s="8">
        <v>874000</v>
      </c>
      <c r="AH109" s="8"/>
      <c r="AI109" s="8">
        <v>3199164</v>
      </c>
      <c r="AJ109" s="8"/>
      <c r="AK109" s="8">
        <v>0</v>
      </c>
      <c r="AL109" s="8"/>
      <c r="AM109" s="8">
        <f>+'Gen rev'!U108-'Gen exp'!AC109-AG109+'Gen rev'!W108+AI109+AK109-'Gen Bal'!W109-'Gen exp'!AE109</f>
        <v>0</v>
      </c>
      <c r="AN109" s="8"/>
      <c r="AO109" s="8"/>
      <c r="AP109" s="8"/>
      <c r="AQ109" s="8"/>
      <c r="AR109" s="15"/>
      <c r="AS109" s="13"/>
    </row>
    <row r="110" spans="1:45" s="12" customFormat="1" ht="12.75" customHeight="1" x14ac:dyDescent="0.2">
      <c r="A110" s="10" t="s">
        <v>43</v>
      </c>
      <c r="C110" s="4" t="s">
        <v>101</v>
      </c>
      <c r="E110" s="8">
        <v>5390527</v>
      </c>
      <c r="F110" s="8"/>
      <c r="G110" s="8">
        <v>23283319</v>
      </c>
      <c r="H110" s="8"/>
      <c r="I110" s="8">
        <v>504770</v>
      </c>
      <c r="J110" s="8"/>
      <c r="K110" s="8">
        <v>924115</v>
      </c>
      <c r="L110" s="8"/>
      <c r="M110" s="8">
        <v>0</v>
      </c>
      <c r="N110" s="8"/>
      <c r="O110" s="8">
        <v>1055991</v>
      </c>
      <c r="P110" s="8"/>
      <c r="Q110" s="8">
        <v>223395</v>
      </c>
      <c r="R110" s="8"/>
      <c r="S110" s="8">
        <v>0</v>
      </c>
      <c r="T110" s="8"/>
      <c r="U110" s="8">
        <v>0</v>
      </c>
      <c r="V110" s="8"/>
      <c r="W110" s="8">
        <v>0</v>
      </c>
      <c r="X110" s="8"/>
      <c r="Y110" s="8">
        <v>0</v>
      </c>
      <c r="Z110" s="7"/>
      <c r="AA110" s="8">
        <v>0</v>
      </c>
      <c r="AB110" s="7"/>
      <c r="AC110" s="8">
        <f t="shared" si="7"/>
        <v>31382117</v>
      </c>
      <c r="AD110" s="8"/>
      <c r="AE110" s="11">
        <v>0</v>
      </c>
      <c r="AF110" s="11"/>
      <c r="AG110" s="8">
        <v>2844297</v>
      </c>
      <c r="AH110" s="8"/>
      <c r="AI110" s="8">
        <v>11907012</v>
      </c>
      <c r="AJ110" s="8"/>
      <c r="AK110" s="8">
        <v>-544</v>
      </c>
      <c r="AL110" s="8"/>
      <c r="AM110" s="8">
        <f>+'Gen rev'!U109-'Gen exp'!AC110-AG110+'Gen rev'!W109+AI110+AK110-'Gen Bal'!W110-'Gen exp'!AE110</f>
        <v>0</v>
      </c>
      <c r="AN110" s="7"/>
      <c r="AO110" s="7"/>
      <c r="AP110" s="7"/>
      <c r="AQ110" s="7"/>
    </row>
    <row r="111" spans="1:45" s="12" customFormat="1" ht="12.75" customHeight="1" x14ac:dyDescent="0.2">
      <c r="A111" s="10" t="s">
        <v>121</v>
      </c>
      <c r="C111" s="4" t="s">
        <v>43</v>
      </c>
      <c r="E111" s="8">
        <v>778636</v>
      </c>
      <c r="F111" s="8"/>
      <c r="G111" s="8">
        <v>2416806</v>
      </c>
      <c r="H111" s="8"/>
      <c r="I111" s="8">
        <v>100612</v>
      </c>
      <c r="J111" s="8"/>
      <c r="K111" s="8">
        <v>13083</v>
      </c>
      <c r="L111" s="8"/>
      <c r="M111" s="8">
        <v>0</v>
      </c>
      <c r="N111" s="8"/>
      <c r="O111" s="8">
        <v>59284</v>
      </c>
      <c r="P111" s="8"/>
      <c r="Q111" s="8">
        <v>0</v>
      </c>
      <c r="R111" s="8"/>
      <c r="S111" s="8">
        <v>153584</v>
      </c>
      <c r="T111" s="8"/>
      <c r="U111" s="8">
        <v>0</v>
      </c>
      <c r="V111" s="8"/>
      <c r="W111" s="8">
        <v>36002</v>
      </c>
      <c r="X111" s="8"/>
      <c r="Y111" s="8">
        <v>1957</v>
      </c>
      <c r="Z111" s="7"/>
      <c r="AA111" s="8">
        <v>0</v>
      </c>
      <c r="AB111" s="7"/>
      <c r="AC111" s="8">
        <f t="shared" si="7"/>
        <v>3559964</v>
      </c>
      <c r="AD111" s="8"/>
      <c r="AE111" s="11">
        <v>0</v>
      </c>
      <c r="AF111" s="11"/>
      <c r="AG111" s="8">
        <v>2081600</v>
      </c>
      <c r="AH111" s="8"/>
      <c r="AI111" s="8">
        <v>877581</v>
      </c>
      <c r="AJ111" s="8"/>
      <c r="AK111" s="8">
        <v>0</v>
      </c>
      <c r="AL111" s="8"/>
      <c r="AM111" s="8">
        <f>+'Gen rev'!U110-'Gen exp'!AC111-AG111+'Gen rev'!W110+AI111+AK111-'Gen Bal'!W111-'Gen exp'!AE111</f>
        <v>0</v>
      </c>
      <c r="AN111" s="7"/>
      <c r="AO111" s="7"/>
      <c r="AP111" s="7"/>
      <c r="AQ111" s="7"/>
    </row>
    <row r="112" spans="1:45" s="12" customFormat="1" ht="12.75" customHeight="1" x14ac:dyDescent="0.2">
      <c r="A112" s="4" t="s">
        <v>122</v>
      </c>
      <c r="C112" s="4" t="s">
        <v>123</v>
      </c>
      <c r="E112" s="8">
        <v>1334738</v>
      </c>
      <c r="F112" s="8"/>
      <c r="G112" s="8">
        <v>3889755</v>
      </c>
      <c r="H112" s="8"/>
      <c r="I112" s="8">
        <v>274696</v>
      </c>
      <c r="J112" s="8"/>
      <c r="K112" s="8">
        <v>56500</v>
      </c>
      <c r="L112" s="8"/>
      <c r="M112" s="8">
        <v>0</v>
      </c>
      <c r="N112" s="8"/>
      <c r="O112" s="8">
        <v>617318</v>
      </c>
      <c r="P112" s="8"/>
      <c r="Q112" s="8">
        <v>0</v>
      </c>
      <c r="R112" s="8"/>
      <c r="S112" s="8">
        <v>0</v>
      </c>
      <c r="T112" s="8"/>
      <c r="U112" s="8">
        <v>0</v>
      </c>
      <c r="V112" s="8"/>
      <c r="W112" s="8">
        <v>0</v>
      </c>
      <c r="X112" s="8"/>
      <c r="Y112" s="8">
        <v>0</v>
      </c>
      <c r="Z112" s="7"/>
      <c r="AA112" s="8">
        <v>0</v>
      </c>
      <c r="AB112" s="7"/>
      <c r="AC112" s="8">
        <f t="shared" si="7"/>
        <v>6173007</v>
      </c>
      <c r="AD112" s="8"/>
      <c r="AE112" s="11">
        <v>0</v>
      </c>
      <c r="AF112" s="11"/>
      <c r="AG112" s="8">
        <v>806460</v>
      </c>
      <c r="AH112" s="8"/>
      <c r="AI112" s="8">
        <v>3514744</v>
      </c>
      <c r="AJ112" s="8"/>
      <c r="AK112" s="8">
        <v>-26670</v>
      </c>
      <c r="AL112" s="8"/>
      <c r="AM112" s="8">
        <f>+'Gen rev'!U111-'Gen exp'!AC112-AG112+'Gen rev'!W111+AI112+AK112-'Gen Bal'!W112-'Gen exp'!AE112</f>
        <v>0</v>
      </c>
      <c r="AN112" s="7"/>
      <c r="AO112" s="7"/>
      <c r="AP112" s="7"/>
      <c r="AQ112" s="7"/>
    </row>
    <row r="113" spans="1:45" s="12" customFormat="1" ht="12.75" customHeight="1" x14ac:dyDescent="0.2">
      <c r="A113" s="4" t="s">
        <v>124</v>
      </c>
      <c r="C113" s="4" t="s">
        <v>25</v>
      </c>
      <c r="E113" s="8">
        <v>2896873</v>
      </c>
      <c r="F113" s="8"/>
      <c r="G113" s="8">
        <f>3291960+2261260</f>
        <v>5553220</v>
      </c>
      <c r="H113" s="8"/>
      <c r="I113" s="8">
        <v>118374</v>
      </c>
      <c r="J113" s="8"/>
      <c r="K113" s="8">
        <v>39167</v>
      </c>
      <c r="L113" s="8"/>
      <c r="M113" s="8">
        <v>0</v>
      </c>
      <c r="N113" s="8"/>
      <c r="O113" s="8">
        <v>33199</v>
      </c>
      <c r="P113" s="8"/>
      <c r="Q113" s="8">
        <v>1886732</v>
      </c>
      <c r="R113" s="8"/>
      <c r="S113" s="8">
        <v>0</v>
      </c>
      <c r="T113" s="8"/>
      <c r="U113" s="8">
        <v>0</v>
      </c>
      <c r="V113" s="8"/>
      <c r="W113" s="8">
        <v>0</v>
      </c>
      <c r="X113" s="8"/>
      <c r="Y113" s="8">
        <v>0</v>
      </c>
      <c r="Z113" s="7"/>
      <c r="AA113" s="8">
        <v>0</v>
      </c>
      <c r="AB113" s="7"/>
      <c r="AC113" s="8">
        <f t="shared" si="7"/>
        <v>10527565</v>
      </c>
      <c r="AD113" s="8"/>
      <c r="AE113" s="11">
        <v>0</v>
      </c>
      <c r="AF113" s="11"/>
      <c r="AG113" s="8">
        <v>1843000</v>
      </c>
      <c r="AH113" s="8"/>
      <c r="AI113" s="8">
        <v>8391510</v>
      </c>
      <c r="AJ113" s="8"/>
      <c r="AK113" s="8">
        <v>2826</v>
      </c>
      <c r="AL113" s="8"/>
      <c r="AM113" s="8">
        <f>+'Gen rev'!U112-'Gen exp'!AC113-AG113+'Gen rev'!W112+AI113+AK113-'Gen Bal'!W113-'Gen exp'!AE113</f>
        <v>0</v>
      </c>
      <c r="AN113" s="7"/>
      <c r="AO113" s="7"/>
      <c r="AP113" s="7"/>
      <c r="AQ113" s="7"/>
    </row>
    <row r="114" spans="1:45" s="12" customFormat="1" ht="12.75" hidden="1" customHeight="1" x14ac:dyDescent="0.2">
      <c r="A114" s="4" t="s">
        <v>125</v>
      </c>
      <c r="C114" s="4" t="s">
        <v>41</v>
      </c>
      <c r="E114" s="8">
        <v>5101175</v>
      </c>
      <c r="F114" s="8"/>
      <c r="G114" s="8">
        <v>7864929</v>
      </c>
      <c r="H114" s="8"/>
      <c r="I114" s="8">
        <v>3079644</v>
      </c>
      <c r="J114" s="8"/>
      <c r="K114" s="8">
        <v>165311</v>
      </c>
      <c r="L114" s="8"/>
      <c r="M114" s="8">
        <v>0</v>
      </c>
      <c r="N114" s="8"/>
      <c r="O114" s="8">
        <v>2696078</v>
      </c>
      <c r="P114" s="8"/>
      <c r="Q114" s="8">
        <v>0</v>
      </c>
      <c r="R114" s="8"/>
      <c r="S114" s="8">
        <v>0</v>
      </c>
      <c r="T114" s="8"/>
      <c r="U114" s="8">
        <v>0</v>
      </c>
      <c r="V114" s="8"/>
      <c r="W114" s="8">
        <v>0</v>
      </c>
      <c r="X114" s="8"/>
      <c r="Y114" s="8">
        <v>0</v>
      </c>
      <c r="Z114" s="7"/>
      <c r="AA114" s="8">
        <v>0</v>
      </c>
      <c r="AB114" s="7"/>
      <c r="AC114" s="8">
        <f t="shared" si="7"/>
        <v>18907137</v>
      </c>
      <c r="AD114" s="8"/>
      <c r="AE114" s="11">
        <v>0</v>
      </c>
      <c r="AF114" s="11"/>
      <c r="AG114" s="8">
        <v>0</v>
      </c>
      <c r="AH114" s="8"/>
      <c r="AI114" s="8">
        <v>3572520</v>
      </c>
      <c r="AJ114" s="8"/>
      <c r="AK114" s="8">
        <v>0</v>
      </c>
      <c r="AL114" s="8"/>
      <c r="AM114" s="8">
        <f>+'Gen rev'!U113-'Gen exp'!AC114-AG114+'Gen rev'!W113+AI114+AK114-'Gen Bal'!W114-'Gen exp'!AE114</f>
        <v>0</v>
      </c>
      <c r="AN114" s="7"/>
      <c r="AO114" s="7"/>
      <c r="AP114" s="7"/>
      <c r="AQ114" s="7"/>
    </row>
    <row r="115" spans="1:45" s="12" customFormat="1" ht="12.75" customHeight="1" x14ac:dyDescent="0.2">
      <c r="A115" s="4" t="s">
        <v>126</v>
      </c>
      <c r="C115" s="4" t="s">
        <v>117</v>
      </c>
      <c r="E115" s="8">
        <f>954846+328211</f>
        <v>1283057</v>
      </c>
      <c r="F115" s="8"/>
      <c r="G115" s="8">
        <v>2742921</v>
      </c>
      <c r="H115" s="8"/>
      <c r="I115" s="8">
        <v>1978</v>
      </c>
      <c r="J115" s="8"/>
      <c r="K115" s="8">
        <v>11750</v>
      </c>
      <c r="L115" s="8"/>
      <c r="M115" s="8">
        <v>0</v>
      </c>
      <c r="N115" s="8"/>
      <c r="O115" s="8">
        <v>0</v>
      </c>
      <c r="P115" s="8"/>
      <c r="Q115" s="8">
        <v>0</v>
      </c>
      <c r="R115" s="8"/>
      <c r="S115" s="8">
        <v>46738</v>
      </c>
      <c r="T115" s="8"/>
      <c r="U115" s="8">
        <v>0</v>
      </c>
      <c r="V115" s="8"/>
      <c r="W115" s="8">
        <v>20508</v>
      </c>
      <c r="X115" s="8"/>
      <c r="Y115" s="8">
        <v>554</v>
      </c>
      <c r="Z115" s="7"/>
      <c r="AA115" s="8">
        <v>0</v>
      </c>
      <c r="AB115" s="7"/>
      <c r="AC115" s="8">
        <f t="shared" si="7"/>
        <v>4107506</v>
      </c>
      <c r="AD115" s="8"/>
      <c r="AE115" s="11">
        <v>0</v>
      </c>
      <c r="AF115" s="11"/>
      <c r="AG115" s="8">
        <v>622965</v>
      </c>
      <c r="AH115" s="8"/>
      <c r="AI115" s="8">
        <v>1057812</v>
      </c>
      <c r="AJ115" s="8"/>
      <c r="AK115" s="8">
        <v>0</v>
      </c>
      <c r="AL115" s="8"/>
      <c r="AM115" s="8">
        <f>+'Gen rev'!U114-'Gen exp'!AC115-AG115+'Gen rev'!W114+AI115+AK115-'Gen Bal'!W115-'Gen exp'!AE115</f>
        <v>0</v>
      </c>
      <c r="AN115" s="7"/>
      <c r="AO115" s="7"/>
      <c r="AP115" s="7"/>
      <c r="AQ115" s="7"/>
    </row>
    <row r="116" spans="1:45" s="12" customFormat="1" ht="12.75" customHeight="1" x14ac:dyDescent="0.2">
      <c r="A116" s="4" t="s">
        <v>127</v>
      </c>
      <c r="C116" s="4" t="s">
        <v>78</v>
      </c>
      <c r="E116" s="8">
        <v>234719</v>
      </c>
      <c r="F116" s="8"/>
      <c r="G116" s="8">
        <v>1566825</v>
      </c>
      <c r="H116" s="8"/>
      <c r="I116" s="8">
        <v>410</v>
      </c>
      <c r="J116" s="8"/>
      <c r="K116" s="8">
        <v>13494</v>
      </c>
      <c r="L116" s="8"/>
      <c r="M116" s="8">
        <v>0</v>
      </c>
      <c r="N116" s="8"/>
      <c r="O116" s="8">
        <v>3715</v>
      </c>
      <c r="P116" s="8"/>
      <c r="Q116" s="8">
        <v>0</v>
      </c>
      <c r="R116" s="8"/>
      <c r="S116" s="8">
        <v>0</v>
      </c>
      <c r="T116" s="8"/>
      <c r="U116" s="8">
        <v>0</v>
      </c>
      <c r="V116" s="8"/>
      <c r="W116" s="8">
        <v>12557</v>
      </c>
      <c r="X116" s="8"/>
      <c r="Y116" s="8">
        <v>1843</v>
      </c>
      <c r="Z116" s="7"/>
      <c r="AA116" s="8">
        <v>0</v>
      </c>
      <c r="AB116" s="7"/>
      <c r="AC116" s="8">
        <f t="shared" si="7"/>
        <v>1833563</v>
      </c>
      <c r="AD116" s="8"/>
      <c r="AE116" s="11">
        <v>0</v>
      </c>
      <c r="AF116" s="11"/>
      <c r="AG116" s="8">
        <v>893052</v>
      </c>
      <c r="AH116" s="8"/>
      <c r="AI116" s="8">
        <v>736381</v>
      </c>
      <c r="AJ116" s="8"/>
      <c r="AK116" s="8">
        <v>0</v>
      </c>
      <c r="AL116" s="8"/>
      <c r="AM116" s="8">
        <f>+'Gen rev'!U115-'Gen exp'!AC116-AG116+'Gen rev'!W115+AI116+AK116-'Gen Bal'!W116-'Gen exp'!AE116</f>
        <v>0</v>
      </c>
      <c r="AN116" s="8"/>
      <c r="AO116" s="8"/>
      <c r="AP116" s="8"/>
      <c r="AQ116" s="8"/>
      <c r="AR116" s="15"/>
      <c r="AS116" s="13"/>
    </row>
    <row r="117" spans="1:45" s="12" customFormat="1" ht="12.75" customHeight="1" x14ac:dyDescent="0.2">
      <c r="A117" s="19" t="s">
        <v>128</v>
      </c>
      <c r="B117" s="9"/>
      <c r="C117" s="19" t="s">
        <v>64</v>
      </c>
      <c r="D117" s="9"/>
      <c r="E117" s="8">
        <v>2519137</v>
      </c>
      <c r="F117" s="8"/>
      <c r="G117" s="8">
        <f>1085722+65217</f>
        <v>1150939</v>
      </c>
      <c r="H117" s="8"/>
      <c r="I117" s="8">
        <v>799804</v>
      </c>
      <c r="J117" s="8"/>
      <c r="K117" s="8">
        <v>0</v>
      </c>
      <c r="L117" s="8"/>
      <c r="M117" s="8">
        <v>0</v>
      </c>
      <c r="N117" s="8"/>
      <c r="O117" s="8">
        <v>583637</v>
      </c>
      <c r="P117" s="8"/>
      <c r="Q117" s="8">
        <v>0</v>
      </c>
      <c r="R117" s="8"/>
      <c r="S117" s="8">
        <v>57600</v>
      </c>
      <c r="T117" s="8"/>
      <c r="U117" s="8">
        <v>0</v>
      </c>
      <c r="V117" s="8"/>
      <c r="W117" s="8">
        <v>0</v>
      </c>
      <c r="X117" s="8"/>
      <c r="Y117" s="8">
        <v>0</v>
      </c>
      <c r="Z117" s="7"/>
      <c r="AA117" s="8">
        <v>0</v>
      </c>
      <c r="AB117" s="7"/>
      <c r="AC117" s="8">
        <f t="shared" si="7"/>
        <v>5111117</v>
      </c>
      <c r="AD117" s="8"/>
      <c r="AE117" s="11">
        <v>0</v>
      </c>
      <c r="AF117" s="11"/>
      <c r="AG117" s="8">
        <v>6000875</v>
      </c>
      <c r="AH117" s="8"/>
      <c r="AI117" s="8">
        <v>6433526</v>
      </c>
      <c r="AJ117" s="8"/>
      <c r="AK117" s="8">
        <v>0</v>
      </c>
      <c r="AL117" s="8"/>
      <c r="AM117" s="8">
        <f>+'Gen rev'!U116-'Gen exp'!AC117-AG117+'Gen rev'!W116+AI117+AK117-'Gen Bal'!W117-'Gen exp'!AE117</f>
        <v>0</v>
      </c>
      <c r="AN117" s="8"/>
      <c r="AO117" s="8"/>
      <c r="AP117" s="8"/>
      <c r="AQ117" s="8"/>
      <c r="AR117" s="15"/>
      <c r="AS117" s="13"/>
    </row>
    <row r="118" spans="1:45" s="12" customFormat="1" ht="12.75" customHeight="1" x14ac:dyDescent="0.2">
      <c r="A118" s="4" t="s">
        <v>129</v>
      </c>
      <c r="C118" s="4" t="s">
        <v>11</v>
      </c>
      <c r="E118" s="8">
        <v>4532900</v>
      </c>
      <c r="F118" s="8"/>
      <c r="G118" s="8">
        <v>4045241</v>
      </c>
      <c r="H118" s="8"/>
      <c r="I118" s="8">
        <v>1260489</v>
      </c>
      <c r="J118" s="8"/>
      <c r="K118" s="8">
        <v>857861</v>
      </c>
      <c r="L118" s="8"/>
      <c r="M118" s="8">
        <v>0</v>
      </c>
      <c r="N118" s="8"/>
      <c r="O118" s="8">
        <v>0</v>
      </c>
      <c r="P118" s="8"/>
      <c r="Q118" s="8">
        <v>0</v>
      </c>
      <c r="R118" s="8"/>
      <c r="S118" s="8">
        <v>354286</v>
      </c>
      <c r="T118" s="8"/>
      <c r="U118" s="8">
        <v>0</v>
      </c>
      <c r="V118" s="8"/>
      <c r="W118" s="8">
        <v>0</v>
      </c>
      <c r="X118" s="8"/>
      <c r="Y118" s="8">
        <v>0</v>
      </c>
      <c r="Z118" s="7"/>
      <c r="AA118" s="8">
        <v>0</v>
      </c>
      <c r="AB118" s="7"/>
      <c r="AC118" s="8">
        <f t="shared" si="7"/>
        <v>11050777</v>
      </c>
      <c r="AD118" s="8"/>
      <c r="AE118" s="11">
        <v>0</v>
      </c>
      <c r="AF118" s="11"/>
      <c r="AG118" s="8">
        <v>9064197</v>
      </c>
      <c r="AH118" s="8"/>
      <c r="AI118" s="8">
        <v>14978994</v>
      </c>
      <c r="AJ118" s="8"/>
      <c r="AK118" s="8">
        <v>0</v>
      </c>
      <c r="AL118" s="8"/>
      <c r="AM118" s="8">
        <f>+'Gen rev'!U117-'Gen exp'!AC118-AG118+'Gen rev'!W117+AI118+AK118-'Gen Bal'!W118-'Gen exp'!AE118</f>
        <v>0</v>
      </c>
      <c r="AN118" s="8"/>
      <c r="AO118" s="8"/>
      <c r="AP118" s="8"/>
      <c r="AQ118" s="8"/>
      <c r="AR118" s="15"/>
      <c r="AS118" s="13"/>
    </row>
    <row r="119" spans="1:45" s="12" customFormat="1" ht="12.75" customHeight="1" x14ac:dyDescent="0.2">
      <c r="A119" s="4" t="s">
        <v>36</v>
      </c>
      <c r="C119" s="4" t="s">
        <v>130</v>
      </c>
      <c r="E119" s="8">
        <v>809238</v>
      </c>
      <c r="F119" s="8"/>
      <c r="G119" s="8">
        <v>1300327</v>
      </c>
      <c r="H119" s="8"/>
      <c r="I119" s="8">
        <v>0</v>
      </c>
      <c r="J119" s="8"/>
      <c r="K119" s="8">
        <v>0</v>
      </c>
      <c r="L119" s="8"/>
      <c r="M119" s="8">
        <v>0</v>
      </c>
      <c r="N119" s="8"/>
      <c r="O119" s="8">
        <v>0</v>
      </c>
      <c r="P119" s="8"/>
      <c r="Q119" s="8">
        <v>540313</v>
      </c>
      <c r="R119" s="8"/>
      <c r="S119" s="8">
        <v>6193</v>
      </c>
      <c r="T119" s="8"/>
      <c r="U119" s="8">
        <v>0</v>
      </c>
      <c r="V119" s="8"/>
      <c r="W119" s="8">
        <v>0</v>
      </c>
      <c r="X119" s="8"/>
      <c r="Y119" s="8">
        <v>0</v>
      </c>
      <c r="Z119" s="7"/>
      <c r="AA119" s="8">
        <v>0</v>
      </c>
      <c r="AB119" s="7"/>
      <c r="AC119" s="8">
        <f t="shared" si="7"/>
        <v>2656071</v>
      </c>
      <c r="AD119" s="8"/>
      <c r="AE119" s="11">
        <v>0</v>
      </c>
      <c r="AF119" s="11"/>
      <c r="AG119" s="8">
        <v>1594971</v>
      </c>
      <c r="AH119" s="8"/>
      <c r="AI119" s="8">
        <v>936952</v>
      </c>
      <c r="AJ119" s="8"/>
      <c r="AK119" s="8">
        <v>0</v>
      </c>
      <c r="AL119" s="8"/>
      <c r="AM119" s="8">
        <f>+'Gen rev'!U118-'Gen exp'!AC119-AG119+'Gen rev'!W118+AI119+AK119-'Gen Bal'!W119-'Gen exp'!AE119</f>
        <v>0</v>
      </c>
      <c r="AN119" s="8"/>
      <c r="AO119" s="8"/>
      <c r="AP119" s="8"/>
      <c r="AQ119" s="8"/>
      <c r="AR119" s="15"/>
      <c r="AS119" s="13"/>
    </row>
    <row r="120" spans="1:45" s="12" customFormat="1" ht="12.75" customHeight="1" x14ac:dyDescent="0.2">
      <c r="A120" s="4" t="s">
        <v>131</v>
      </c>
      <c r="C120" s="4" t="s">
        <v>25</v>
      </c>
      <c r="E120" s="8">
        <v>5619249</v>
      </c>
      <c r="F120" s="8"/>
      <c r="G120" s="8">
        <v>7388672</v>
      </c>
      <c r="H120" s="8"/>
      <c r="I120" s="8">
        <v>2430958</v>
      </c>
      <c r="J120" s="8"/>
      <c r="K120" s="8">
        <v>0</v>
      </c>
      <c r="L120" s="8"/>
      <c r="M120" s="8">
        <v>830338</v>
      </c>
      <c r="N120" s="8"/>
      <c r="O120" s="8">
        <v>2825293</v>
      </c>
      <c r="P120" s="8"/>
      <c r="Q120" s="8">
        <v>546855</v>
      </c>
      <c r="R120" s="8"/>
      <c r="S120" s="8">
        <v>0</v>
      </c>
      <c r="T120" s="8"/>
      <c r="U120" s="8">
        <v>0</v>
      </c>
      <c r="V120" s="8"/>
      <c r="W120" s="8">
        <v>0</v>
      </c>
      <c r="X120" s="8"/>
      <c r="Y120" s="8">
        <v>0</v>
      </c>
      <c r="Z120" s="7"/>
      <c r="AA120" s="8">
        <v>0</v>
      </c>
      <c r="AB120" s="7"/>
      <c r="AC120" s="8">
        <f t="shared" si="7"/>
        <v>19641365</v>
      </c>
      <c r="AD120" s="8"/>
      <c r="AE120" s="11">
        <v>0</v>
      </c>
      <c r="AF120" s="11"/>
      <c r="AG120" s="8">
        <v>9817000</v>
      </c>
      <c r="AH120" s="8"/>
      <c r="AI120" s="8">
        <v>20150854</v>
      </c>
      <c r="AJ120" s="8"/>
      <c r="AK120" s="8">
        <v>0</v>
      </c>
      <c r="AL120" s="8"/>
      <c r="AM120" s="8">
        <f>+'Gen rev'!U119-'Gen exp'!AC120-AG120+'Gen rev'!W119+AI120+AK120-'Gen Bal'!W120-'Gen exp'!AE120</f>
        <v>0</v>
      </c>
      <c r="AN120" s="8"/>
      <c r="AO120" s="8"/>
      <c r="AP120" s="8"/>
      <c r="AQ120" s="8"/>
      <c r="AR120" s="15"/>
      <c r="AS120" s="13"/>
    </row>
    <row r="121" spans="1:45" s="12" customFormat="1" ht="12.75" hidden="1" customHeight="1" x14ac:dyDescent="0.2">
      <c r="A121" s="4" t="s">
        <v>476</v>
      </c>
      <c r="C121" s="4" t="s">
        <v>43</v>
      </c>
      <c r="E121" s="8">
        <v>1645094</v>
      </c>
      <c r="F121" s="8"/>
      <c r="G121" s="8">
        <v>4399054</v>
      </c>
      <c r="H121" s="8"/>
      <c r="I121" s="8">
        <v>1535431</v>
      </c>
      <c r="J121" s="8"/>
      <c r="K121" s="8">
        <v>115858</v>
      </c>
      <c r="L121" s="8"/>
      <c r="M121" s="8">
        <v>0</v>
      </c>
      <c r="N121" s="8"/>
      <c r="O121" s="8">
        <v>863501</v>
      </c>
      <c r="P121" s="8"/>
      <c r="Q121" s="8">
        <v>0</v>
      </c>
      <c r="R121" s="8"/>
      <c r="S121" s="8">
        <v>0</v>
      </c>
      <c r="T121" s="8"/>
      <c r="U121" s="8">
        <v>0</v>
      </c>
      <c r="V121" s="8"/>
      <c r="W121" s="8">
        <v>0</v>
      </c>
      <c r="X121" s="8"/>
      <c r="Y121" s="8">
        <v>0</v>
      </c>
      <c r="Z121" s="7"/>
      <c r="AA121" s="8">
        <v>0</v>
      </c>
      <c r="AB121" s="7"/>
      <c r="AC121" s="8">
        <f t="shared" si="7"/>
        <v>8558938</v>
      </c>
      <c r="AD121" s="8"/>
      <c r="AE121" s="11">
        <v>0</v>
      </c>
      <c r="AF121" s="11"/>
      <c r="AG121" s="8">
        <v>1531978</v>
      </c>
      <c r="AH121" s="8"/>
      <c r="AI121" s="8">
        <v>7741933</v>
      </c>
      <c r="AJ121" s="8"/>
      <c r="AK121" s="8">
        <v>171975</v>
      </c>
      <c r="AL121" s="8"/>
      <c r="AM121" s="8">
        <f>+'Gen rev'!U120-'Gen exp'!AC121-AG121+'Gen rev'!W120+AI121+AK121-'Gen Bal'!W121-'Gen exp'!AE121</f>
        <v>0</v>
      </c>
      <c r="AN121" s="8"/>
      <c r="AO121" s="8"/>
      <c r="AP121" s="8"/>
      <c r="AQ121" s="8"/>
      <c r="AR121" s="15"/>
      <c r="AS121" s="13"/>
    </row>
    <row r="122" spans="1:45" s="12" customFormat="1" ht="12.75" customHeight="1" x14ac:dyDescent="0.2">
      <c r="A122" s="6" t="s">
        <v>132</v>
      </c>
      <c r="B122" s="18"/>
      <c r="C122" s="6" t="s">
        <v>133</v>
      </c>
      <c r="E122" s="8">
        <v>1668598</v>
      </c>
      <c r="F122" s="8"/>
      <c r="G122" s="8">
        <v>2847983</v>
      </c>
      <c r="H122" s="8"/>
      <c r="I122" s="8">
        <v>37565</v>
      </c>
      <c r="J122" s="8"/>
      <c r="K122" s="8">
        <v>225388</v>
      </c>
      <c r="L122" s="8"/>
      <c r="M122" s="8">
        <v>0</v>
      </c>
      <c r="N122" s="8"/>
      <c r="O122" s="8">
        <v>0</v>
      </c>
      <c r="P122" s="8"/>
      <c r="Q122" s="8">
        <v>0</v>
      </c>
      <c r="R122" s="8"/>
      <c r="S122" s="8">
        <v>0</v>
      </c>
      <c r="T122" s="8"/>
      <c r="U122" s="8">
        <v>0</v>
      </c>
      <c r="V122" s="8"/>
      <c r="W122" s="8">
        <v>168784</v>
      </c>
      <c r="X122" s="8"/>
      <c r="Y122" s="8">
        <v>111139</v>
      </c>
      <c r="Z122" s="7"/>
      <c r="AA122" s="8">
        <v>0</v>
      </c>
      <c r="AB122" s="7"/>
      <c r="AC122" s="8">
        <f t="shared" si="7"/>
        <v>5059457</v>
      </c>
      <c r="AD122" s="8"/>
      <c r="AE122" s="11">
        <v>0</v>
      </c>
      <c r="AF122" s="11"/>
      <c r="AG122" s="8">
        <v>0</v>
      </c>
      <c r="AH122" s="8"/>
      <c r="AI122" s="8">
        <v>492848</v>
      </c>
      <c r="AJ122" s="8"/>
      <c r="AK122" s="8">
        <v>0</v>
      </c>
      <c r="AL122" s="8"/>
      <c r="AM122" s="8">
        <f>+'Gen rev'!U121-'Gen exp'!AC122-AG122+'Gen rev'!W121+AI122+AK122-'Gen Bal'!W122-'Gen exp'!AE122</f>
        <v>0</v>
      </c>
      <c r="AN122" s="8"/>
      <c r="AO122" s="8"/>
      <c r="AP122" s="8"/>
      <c r="AQ122" s="8"/>
      <c r="AR122" s="15"/>
      <c r="AS122" s="13"/>
    </row>
    <row r="123" spans="1:45" s="12" customFormat="1" ht="12.75" customHeight="1" x14ac:dyDescent="0.2">
      <c r="A123" s="4" t="s">
        <v>134</v>
      </c>
      <c r="C123" s="4" t="s">
        <v>134</v>
      </c>
      <c r="E123" s="8">
        <v>1190446</v>
      </c>
      <c r="F123" s="8"/>
      <c r="G123" s="8">
        <v>1948938</v>
      </c>
      <c r="H123" s="8"/>
      <c r="I123" s="8">
        <v>28146</v>
      </c>
      <c r="J123" s="8"/>
      <c r="K123" s="8">
        <v>0</v>
      </c>
      <c r="L123" s="8"/>
      <c r="M123" s="8">
        <v>151915</v>
      </c>
      <c r="N123" s="8"/>
      <c r="O123" s="8">
        <v>0</v>
      </c>
      <c r="P123" s="8"/>
      <c r="Q123" s="8">
        <v>0</v>
      </c>
      <c r="R123" s="8"/>
      <c r="S123" s="8">
        <v>0</v>
      </c>
      <c r="T123" s="8"/>
      <c r="U123" s="8">
        <v>0</v>
      </c>
      <c r="V123" s="8"/>
      <c r="W123" s="8">
        <v>865</v>
      </c>
      <c r="X123" s="8"/>
      <c r="Y123" s="8">
        <v>1430</v>
      </c>
      <c r="Z123" s="7"/>
      <c r="AA123" s="8">
        <v>0</v>
      </c>
      <c r="AB123" s="7"/>
      <c r="AC123" s="8">
        <f t="shared" si="7"/>
        <v>3321740</v>
      </c>
      <c r="AD123" s="8"/>
      <c r="AE123" s="11">
        <v>0</v>
      </c>
      <c r="AF123" s="11"/>
      <c r="AG123" s="8">
        <v>516333</v>
      </c>
      <c r="AH123" s="8"/>
      <c r="AI123" s="8">
        <v>2475643</v>
      </c>
      <c r="AJ123" s="8"/>
      <c r="AK123" s="8">
        <v>0</v>
      </c>
      <c r="AL123" s="8"/>
      <c r="AM123" s="8">
        <f>+'Gen rev'!U122-'Gen exp'!AC123-AG123+'Gen rev'!W122+AI123+AK123-'Gen Bal'!W123-'Gen exp'!AE123</f>
        <v>0</v>
      </c>
      <c r="AN123" s="8"/>
      <c r="AO123" s="8"/>
      <c r="AP123" s="8"/>
      <c r="AQ123" s="8"/>
      <c r="AR123" s="15"/>
      <c r="AS123" s="13"/>
    </row>
    <row r="124" spans="1:45" s="12" customFormat="1" ht="12.75" customHeight="1" x14ac:dyDescent="0.2">
      <c r="A124" s="4" t="s">
        <v>135</v>
      </c>
      <c r="C124" s="4" t="s">
        <v>20</v>
      </c>
      <c r="E124" s="8">
        <v>2219313</v>
      </c>
      <c r="F124" s="8"/>
      <c r="G124" s="8">
        <v>4680020</v>
      </c>
      <c r="H124" s="8"/>
      <c r="I124" s="8">
        <v>1526876</v>
      </c>
      <c r="J124" s="8"/>
      <c r="K124" s="8">
        <v>408964</v>
      </c>
      <c r="L124" s="8"/>
      <c r="M124" s="8">
        <v>0</v>
      </c>
      <c r="N124" s="8"/>
      <c r="O124" s="8">
        <v>0</v>
      </c>
      <c r="P124" s="8"/>
      <c r="Q124" s="8">
        <v>0</v>
      </c>
      <c r="R124" s="8"/>
      <c r="S124" s="8">
        <v>0</v>
      </c>
      <c r="T124" s="8"/>
      <c r="U124" s="8">
        <v>0</v>
      </c>
      <c r="V124" s="8"/>
      <c r="W124" s="8">
        <v>0</v>
      </c>
      <c r="X124" s="8"/>
      <c r="Y124" s="8">
        <v>0</v>
      </c>
      <c r="Z124" s="7"/>
      <c r="AA124" s="8">
        <v>0</v>
      </c>
      <c r="AB124" s="7"/>
      <c r="AC124" s="8">
        <f t="shared" si="7"/>
        <v>8835173</v>
      </c>
      <c r="AD124" s="8"/>
      <c r="AE124" s="11">
        <v>0</v>
      </c>
      <c r="AF124" s="11"/>
      <c r="AG124" s="8">
        <v>0</v>
      </c>
      <c r="AH124" s="8"/>
      <c r="AI124" s="8">
        <v>7447747</v>
      </c>
      <c r="AJ124" s="8"/>
      <c r="AK124" s="8">
        <v>0</v>
      </c>
      <c r="AL124" s="8"/>
      <c r="AM124" s="8">
        <f>+'Gen rev'!U123-'Gen exp'!AC124-AG124+'Gen rev'!W123+AI124+AK124-'Gen Bal'!W124-'Gen exp'!AE124</f>
        <v>0</v>
      </c>
      <c r="AN124" s="8"/>
      <c r="AO124" s="8"/>
      <c r="AP124" s="8"/>
      <c r="AQ124" s="8"/>
      <c r="AR124" s="15"/>
      <c r="AS124" s="13"/>
    </row>
    <row r="125" spans="1:45" s="12" customFormat="1" ht="12.75" hidden="1" customHeight="1" x14ac:dyDescent="0.2">
      <c r="A125" s="4" t="s">
        <v>136</v>
      </c>
      <c r="C125" s="4" t="s">
        <v>137</v>
      </c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7"/>
      <c r="AA125" s="8"/>
      <c r="AB125" s="7"/>
      <c r="AC125" s="8">
        <f t="shared" si="7"/>
        <v>0</v>
      </c>
      <c r="AD125" s="8"/>
      <c r="AE125" s="11"/>
      <c r="AF125" s="11"/>
      <c r="AG125" s="8"/>
      <c r="AH125" s="8"/>
      <c r="AI125" s="8"/>
      <c r="AJ125" s="8"/>
      <c r="AK125" s="8"/>
      <c r="AL125" s="8"/>
      <c r="AM125" s="8">
        <f>+'Gen rev'!U124-'Gen exp'!AC125-AG125+'Gen rev'!W124+AI125+AK125-'Gen Bal'!W125-'Gen exp'!AE125</f>
        <v>0</v>
      </c>
      <c r="AN125" s="8"/>
      <c r="AO125" s="8"/>
      <c r="AP125" s="8"/>
      <c r="AQ125" s="8"/>
      <c r="AR125" s="15"/>
      <c r="AS125" s="13"/>
    </row>
    <row r="126" spans="1:45" s="12" customFormat="1" ht="12.75" customHeight="1" x14ac:dyDescent="0.2">
      <c r="A126" s="4" t="s">
        <v>138</v>
      </c>
      <c r="C126" s="4" t="s">
        <v>64</v>
      </c>
      <c r="E126" s="8">
        <v>11428002</v>
      </c>
      <c r="F126" s="8"/>
      <c r="G126" s="8">
        <f>13223039+10478142</f>
        <v>23701181</v>
      </c>
      <c r="H126" s="8"/>
      <c r="I126" s="8">
        <v>0</v>
      </c>
      <c r="J126" s="8"/>
      <c r="K126" s="8">
        <v>0</v>
      </c>
      <c r="L126" s="8"/>
      <c r="M126" s="8">
        <v>2860691</v>
      </c>
      <c r="N126" s="8"/>
      <c r="O126" s="8">
        <v>0</v>
      </c>
      <c r="P126" s="8"/>
      <c r="Q126" s="8">
        <v>0</v>
      </c>
      <c r="R126" s="8"/>
      <c r="S126" s="8">
        <v>0</v>
      </c>
      <c r="T126" s="8"/>
      <c r="U126" s="8">
        <v>0</v>
      </c>
      <c r="V126" s="8"/>
      <c r="W126" s="8">
        <v>0</v>
      </c>
      <c r="X126" s="8"/>
      <c r="Y126" s="8">
        <v>0</v>
      </c>
      <c r="Z126" s="7"/>
      <c r="AA126" s="8">
        <v>0</v>
      </c>
      <c r="AB126" s="7"/>
      <c r="AC126" s="8">
        <f t="shared" si="7"/>
        <v>37989874</v>
      </c>
      <c r="AD126" s="8"/>
      <c r="AE126" s="11">
        <v>0</v>
      </c>
      <c r="AF126" s="11"/>
      <c r="AG126" s="8">
        <v>11903130</v>
      </c>
      <c r="AH126" s="8"/>
      <c r="AI126" s="8">
        <v>41764059</v>
      </c>
      <c r="AJ126" s="8"/>
      <c r="AK126" s="8">
        <v>0</v>
      </c>
      <c r="AL126" s="8"/>
      <c r="AM126" s="8">
        <f>+'Gen rev'!U125-'Gen exp'!AC126-AG126+'Gen rev'!W125+AI126+AK126-'Gen Bal'!W126-'Gen exp'!AE126</f>
        <v>0</v>
      </c>
      <c r="AN126" s="8"/>
      <c r="AO126" s="8"/>
      <c r="AP126" s="8"/>
      <c r="AQ126" s="8"/>
      <c r="AR126" s="15"/>
      <c r="AS126" s="13"/>
    </row>
    <row r="127" spans="1:45" s="12" customFormat="1" ht="12.75" customHeight="1" x14ac:dyDescent="0.2">
      <c r="A127" s="4" t="s">
        <v>472</v>
      </c>
      <c r="C127" s="4" t="s">
        <v>90</v>
      </c>
      <c r="E127" s="8">
        <v>1886313</v>
      </c>
      <c r="F127" s="8"/>
      <c r="G127" s="8">
        <v>1421083</v>
      </c>
      <c r="H127" s="8"/>
      <c r="I127" s="8">
        <v>100055</v>
      </c>
      <c r="J127" s="8"/>
      <c r="K127" s="8">
        <v>73037</v>
      </c>
      <c r="L127" s="8"/>
      <c r="M127" s="8">
        <v>1133899</v>
      </c>
      <c r="N127" s="8"/>
      <c r="O127" s="8">
        <v>87474</v>
      </c>
      <c r="P127" s="8"/>
      <c r="Q127" s="8">
        <v>0</v>
      </c>
      <c r="R127" s="8"/>
      <c r="S127" s="8">
        <v>0</v>
      </c>
      <c r="T127" s="8"/>
      <c r="U127" s="8">
        <v>0</v>
      </c>
      <c r="V127" s="8"/>
      <c r="W127" s="8">
        <v>0</v>
      </c>
      <c r="X127" s="8"/>
      <c r="Y127" s="8">
        <v>2947</v>
      </c>
      <c r="Z127" s="7"/>
      <c r="AA127" s="8">
        <v>65000</v>
      </c>
      <c r="AB127" s="7"/>
      <c r="AC127" s="8">
        <f t="shared" si="7"/>
        <v>4769808</v>
      </c>
      <c r="AD127" s="8"/>
      <c r="AE127" s="11">
        <v>0</v>
      </c>
      <c r="AF127" s="11"/>
      <c r="AG127" s="8">
        <f>155000+311669</f>
        <v>466669</v>
      </c>
      <c r="AH127" s="8"/>
      <c r="AI127" s="8">
        <v>801698</v>
      </c>
      <c r="AJ127" s="8"/>
      <c r="AK127" s="8">
        <v>0</v>
      </c>
      <c r="AL127" s="8"/>
      <c r="AM127" s="8">
        <f>+'Gen rev'!U126-'Gen exp'!AC127-AG127+'Gen rev'!W126+AI127+AK127-'Gen Bal'!W127-'Gen exp'!AE127</f>
        <v>0</v>
      </c>
      <c r="AN127" s="8"/>
      <c r="AO127" s="8"/>
      <c r="AP127" s="8"/>
      <c r="AQ127" s="8"/>
      <c r="AR127" s="15"/>
      <c r="AS127" s="13"/>
    </row>
    <row r="128" spans="1:45" s="12" customFormat="1" ht="12.75" customHeight="1" x14ac:dyDescent="0.2">
      <c r="A128" s="4" t="s">
        <v>139</v>
      </c>
      <c r="C128" s="4" t="s">
        <v>25</v>
      </c>
      <c r="E128" s="8">
        <v>8943632</v>
      </c>
      <c r="F128" s="8"/>
      <c r="G128" s="8">
        <f>10442129+6136673</f>
        <v>16578802</v>
      </c>
      <c r="H128" s="8"/>
      <c r="I128" s="8">
        <v>1600730</v>
      </c>
      <c r="J128" s="8"/>
      <c r="K128" s="8">
        <v>512917</v>
      </c>
      <c r="L128" s="8"/>
      <c r="M128" s="8">
        <v>0</v>
      </c>
      <c r="N128" s="8"/>
      <c r="O128" s="8">
        <v>1510669</v>
      </c>
      <c r="P128" s="8"/>
      <c r="Q128" s="8">
        <v>3012214</v>
      </c>
      <c r="R128" s="8"/>
      <c r="S128" s="8">
        <v>1111316</v>
      </c>
      <c r="T128" s="8"/>
      <c r="U128" s="8">
        <v>0</v>
      </c>
      <c r="V128" s="8"/>
      <c r="W128" s="8">
        <v>1051772</v>
      </c>
      <c r="X128" s="8"/>
      <c r="Y128" s="8">
        <v>226199</v>
      </c>
      <c r="Z128" s="7"/>
      <c r="AA128" s="8">
        <v>0</v>
      </c>
      <c r="AB128" s="7"/>
      <c r="AC128" s="8">
        <f t="shared" si="7"/>
        <v>34548251</v>
      </c>
      <c r="AD128" s="8"/>
      <c r="AE128" s="11">
        <v>0</v>
      </c>
      <c r="AF128" s="11"/>
      <c r="AG128" s="8">
        <v>2475000</v>
      </c>
      <c r="AH128" s="8"/>
      <c r="AI128" s="8">
        <v>8902970</v>
      </c>
      <c r="AJ128" s="8"/>
      <c r="AK128" s="8">
        <v>0</v>
      </c>
      <c r="AL128" s="8"/>
      <c r="AM128" s="8">
        <f>+'Gen rev'!U127-'Gen exp'!AC128-AG128+'Gen rev'!W127+AI128+AK128-'Gen Bal'!W128-'Gen exp'!AE128</f>
        <v>0</v>
      </c>
      <c r="AN128" s="8"/>
      <c r="AO128" s="8"/>
      <c r="AP128" s="8"/>
      <c r="AQ128" s="8"/>
      <c r="AR128" s="15"/>
      <c r="AS128" s="13"/>
    </row>
    <row r="129" spans="1:45" s="9" customFormat="1" ht="12.75" customHeight="1" x14ac:dyDescent="0.2">
      <c r="A129" s="4" t="s">
        <v>140</v>
      </c>
      <c r="B129" s="12"/>
      <c r="C129" s="4" t="s">
        <v>100</v>
      </c>
      <c r="D129" s="12"/>
      <c r="E129" s="8">
        <v>5601946</v>
      </c>
      <c r="F129" s="8"/>
      <c r="G129" s="8">
        <v>15263140</v>
      </c>
      <c r="H129" s="8"/>
      <c r="I129" s="8">
        <v>245283</v>
      </c>
      <c r="J129" s="8"/>
      <c r="K129" s="8">
        <v>262250</v>
      </c>
      <c r="L129" s="8"/>
      <c r="M129" s="8">
        <v>0</v>
      </c>
      <c r="N129" s="8"/>
      <c r="O129" s="8">
        <v>0</v>
      </c>
      <c r="P129" s="8"/>
      <c r="Q129" s="8">
        <v>0</v>
      </c>
      <c r="R129" s="8"/>
      <c r="S129" s="8">
        <v>0</v>
      </c>
      <c r="T129" s="8"/>
      <c r="U129" s="8">
        <v>0</v>
      </c>
      <c r="V129" s="8"/>
      <c r="W129" s="8">
        <v>54014</v>
      </c>
      <c r="X129" s="8"/>
      <c r="Y129" s="8">
        <v>61935</v>
      </c>
      <c r="Z129" s="7"/>
      <c r="AA129" s="8">
        <v>0</v>
      </c>
      <c r="AB129" s="7"/>
      <c r="AC129" s="8">
        <f t="shared" si="7"/>
        <v>21488568</v>
      </c>
      <c r="AD129" s="8"/>
      <c r="AE129" s="11">
        <v>0</v>
      </c>
      <c r="AF129" s="11"/>
      <c r="AG129" s="8">
        <v>1132088</v>
      </c>
      <c r="AH129" s="8"/>
      <c r="AI129" s="8">
        <v>3983762</v>
      </c>
      <c r="AJ129" s="8"/>
      <c r="AK129" s="8">
        <v>20945</v>
      </c>
      <c r="AL129" s="8"/>
      <c r="AM129" s="8">
        <f>+'Gen rev'!U128-'Gen exp'!AC129-AG129+'Gen rev'!W128+AI129+AK129-'Gen Bal'!W129-'Gen exp'!AE129</f>
        <v>0</v>
      </c>
      <c r="AR129" s="36"/>
      <c r="AS129" s="19"/>
    </row>
    <row r="130" spans="1:45" s="12" customFormat="1" ht="12.75" customHeight="1" x14ac:dyDescent="0.2">
      <c r="A130" s="4" t="s">
        <v>141</v>
      </c>
      <c r="C130" s="4" t="s">
        <v>109</v>
      </c>
      <c r="E130" s="8">
        <v>3352057</v>
      </c>
      <c r="F130" s="8"/>
      <c r="G130" s="8">
        <v>4112774</v>
      </c>
      <c r="H130" s="8"/>
      <c r="I130" s="8">
        <v>805533</v>
      </c>
      <c r="J130" s="8"/>
      <c r="K130" s="8">
        <v>0</v>
      </c>
      <c r="L130" s="8"/>
      <c r="M130" s="8">
        <v>0</v>
      </c>
      <c r="N130" s="8"/>
      <c r="O130" s="8">
        <v>621324</v>
      </c>
      <c r="P130" s="8"/>
      <c r="Q130" s="8">
        <v>0</v>
      </c>
      <c r="R130" s="8"/>
      <c r="S130" s="8">
        <v>0</v>
      </c>
      <c r="T130" s="8"/>
      <c r="U130" s="8">
        <v>0</v>
      </c>
      <c r="V130" s="8"/>
      <c r="W130" s="8">
        <v>477</v>
      </c>
      <c r="X130" s="8"/>
      <c r="Y130" s="8">
        <v>789</v>
      </c>
      <c r="Z130" s="7"/>
      <c r="AA130" s="8">
        <v>0</v>
      </c>
      <c r="AB130" s="7"/>
      <c r="AC130" s="8">
        <f t="shared" si="7"/>
        <v>8892954</v>
      </c>
      <c r="AD130" s="8"/>
      <c r="AE130" s="11">
        <v>0</v>
      </c>
      <c r="AF130" s="11"/>
      <c r="AG130" s="8">
        <v>60000</v>
      </c>
      <c r="AH130" s="8"/>
      <c r="AI130" s="8">
        <v>5372576</v>
      </c>
      <c r="AJ130" s="8"/>
      <c r="AK130" s="8">
        <v>0</v>
      </c>
      <c r="AL130" s="8"/>
      <c r="AM130" s="8">
        <f>+'Gen rev'!U129-'Gen exp'!AC130-AG130+'Gen rev'!W129+AI130+AK130-'Gen Bal'!W130-'Gen exp'!AE130</f>
        <v>0</v>
      </c>
      <c r="AN130" s="8"/>
      <c r="AO130" s="8"/>
      <c r="AP130" s="8"/>
      <c r="AQ130" s="8"/>
      <c r="AR130" s="15"/>
      <c r="AS130" s="13"/>
    </row>
    <row r="131" spans="1:45" s="12" customFormat="1" ht="12.75" customHeight="1" x14ac:dyDescent="0.2">
      <c r="A131" s="4" t="s">
        <v>142</v>
      </c>
      <c r="C131" s="4" t="s">
        <v>86</v>
      </c>
      <c r="E131" s="8">
        <v>7425016</v>
      </c>
      <c r="F131" s="8"/>
      <c r="G131" s="8">
        <v>14877362</v>
      </c>
      <c r="H131" s="8"/>
      <c r="I131" s="8">
        <v>856147</v>
      </c>
      <c r="J131" s="8"/>
      <c r="K131" s="8">
        <v>0</v>
      </c>
      <c r="L131" s="8"/>
      <c r="M131" s="8">
        <v>872475</v>
      </c>
      <c r="N131" s="8"/>
      <c r="O131" s="8">
        <v>907214</v>
      </c>
      <c r="P131" s="8"/>
      <c r="Q131" s="8">
        <v>0</v>
      </c>
      <c r="R131" s="8"/>
      <c r="S131" s="8">
        <v>117032</v>
      </c>
      <c r="T131" s="8"/>
      <c r="U131" s="8">
        <v>0</v>
      </c>
      <c r="V131" s="8"/>
      <c r="W131" s="8">
        <v>224943</v>
      </c>
      <c r="X131" s="8"/>
      <c r="Y131" s="8">
        <v>30650</v>
      </c>
      <c r="Z131" s="7"/>
      <c r="AA131" s="8">
        <v>0</v>
      </c>
      <c r="AB131" s="7"/>
      <c r="AC131" s="8">
        <f t="shared" si="7"/>
        <v>25310839</v>
      </c>
      <c r="AD131" s="8"/>
      <c r="AE131" s="11">
        <v>0</v>
      </c>
      <c r="AF131" s="11"/>
      <c r="AG131" s="8">
        <v>0</v>
      </c>
      <c r="AH131" s="8"/>
      <c r="AI131" s="8">
        <v>6253107</v>
      </c>
      <c r="AJ131" s="8"/>
      <c r="AK131" s="8">
        <v>0</v>
      </c>
      <c r="AL131" s="8"/>
      <c r="AM131" s="8">
        <f>+'Gen rev'!U130-'Gen exp'!AC131-AG131+'Gen rev'!W130+AI131+AK131-'Gen Bal'!W131-'Gen exp'!AE131</f>
        <v>0</v>
      </c>
      <c r="AN131" s="8"/>
      <c r="AO131" s="8"/>
      <c r="AP131" s="8"/>
      <c r="AQ131" s="8"/>
      <c r="AR131" s="15"/>
      <c r="AS131" s="13"/>
    </row>
    <row r="132" spans="1:45" s="12" customFormat="1" ht="12.75" customHeight="1" x14ac:dyDescent="0.2">
      <c r="A132" s="4" t="s">
        <v>34</v>
      </c>
      <c r="C132" s="4" t="s">
        <v>143</v>
      </c>
      <c r="E132" s="8">
        <v>623624</v>
      </c>
      <c r="F132" s="8"/>
      <c r="G132" s="8">
        <f>1714027+582698</f>
        <v>2296725</v>
      </c>
      <c r="H132" s="8"/>
      <c r="I132" s="8">
        <v>11252</v>
      </c>
      <c r="J132" s="8"/>
      <c r="K132" s="8">
        <v>327868</v>
      </c>
      <c r="L132" s="8"/>
      <c r="M132" s="8">
        <v>242219</v>
      </c>
      <c r="N132" s="8"/>
      <c r="O132" s="8">
        <v>0</v>
      </c>
      <c r="P132" s="8"/>
      <c r="Q132" s="8">
        <v>1889</v>
      </c>
      <c r="R132" s="8"/>
      <c r="S132" s="8">
        <v>0</v>
      </c>
      <c r="T132" s="8"/>
      <c r="U132" s="8">
        <v>0</v>
      </c>
      <c r="V132" s="8"/>
      <c r="W132" s="8">
        <v>21576</v>
      </c>
      <c r="X132" s="8"/>
      <c r="Y132" s="8">
        <v>9258</v>
      </c>
      <c r="Z132" s="7"/>
      <c r="AA132" s="8">
        <v>0</v>
      </c>
      <c r="AB132" s="7"/>
      <c r="AC132" s="8">
        <f t="shared" si="7"/>
        <v>3534411</v>
      </c>
      <c r="AD132" s="8"/>
      <c r="AE132" s="11">
        <v>0</v>
      </c>
      <c r="AF132" s="11"/>
      <c r="AG132" s="8">
        <v>10000</v>
      </c>
      <c r="AH132" s="8"/>
      <c r="AI132" s="8">
        <v>1386691</v>
      </c>
      <c r="AJ132" s="8"/>
      <c r="AK132" s="8">
        <v>0</v>
      </c>
      <c r="AL132" s="8"/>
      <c r="AM132" s="8">
        <f>+'Gen rev'!U131-'Gen exp'!AC132-AG132+'Gen rev'!W131+AI132+AK132-'Gen Bal'!W132-'Gen exp'!AE132</f>
        <v>0</v>
      </c>
      <c r="AN132" s="6"/>
      <c r="AO132" s="6"/>
      <c r="AP132" s="6"/>
      <c r="AQ132" s="6"/>
      <c r="AR132" s="13"/>
      <c r="AS132" s="13"/>
    </row>
    <row r="133" spans="1:45" s="12" customFormat="1" ht="12.75" customHeight="1" x14ac:dyDescent="0.2">
      <c r="A133" s="4" t="s">
        <v>144</v>
      </c>
      <c r="C133" s="4" t="s">
        <v>145</v>
      </c>
      <c r="E133" s="8">
        <v>1232510</v>
      </c>
      <c r="F133" s="8"/>
      <c r="G133" s="8">
        <v>2621047</v>
      </c>
      <c r="H133" s="8"/>
      <c r="I133" s="8">
        <v>155411</v>
      </c>
      <c r="J133" s="8"/>
      <c r="K133" s="8">
        <v>0</v>
      </c>
      <c r="L133" s="8"/>
      <c r="M133" s="8">
        <v>0</v>
      </c>
      <c r="N133" s="8"/>
      <c r="O133" s="8">
        <v>176223</v>
      </c>
      <c r="P133" s="8"/>
      <c r="Q133" s="8">
        <v>0</v>
      </c>
      <c r="R133" s="8"/>
      <c r="S133" s="8">
        <v>0</v>
      </c>
      <c r="T133" s="8"/>
      <c r="U133" s="8">
        <v>0</v>
      </c>
      <c r="V133" s="8"/>
      <c r="W133" s="8">
        <v>0</v>
      </c>
      <c r="X133" s="8"/>
      <c r="Y133" s="8">
        <v>0</v>
      </c>
      <c r="Z133" s="7"/>
      <c r="AA133" s="8">
        <v>0</v>
      </c>
      <c r="AB133" s="7"/>
      <c r="AC133" s="8">
        <f t="shared" si="7"/>
        <v>4185191</v>
      </c>
      <c r="AD133" s="8"/>
      <c r="AE133" s="11">
        <v>0</v>
      </c>
      <c r="AF133" s="11"/>
      <c r="AG133" s="8">
        <v>582447</v>
      </c>
      <c r="AH133" s="8"/>
      <c r="AI133" s="8">
        <v>1846150</v>
      </c>
      <c r="AJ133" s="8"/>
      <c r="AK133" s="8">
        <v>0</v>
      </c>
      <c r="AL133" s="8"/>
      <c r="AM133" s="8">
        <f>+'Gen rev'!U132-'Gen exp'!AC133-AG133+'Gen rev'!W132+AI133+AK133-'Gen Bal'!W133-'Gen exp'!AE133</f>
        <v>0</v>
      </c>
      <c r="AN133" s="7"/>
      <c r="AO133" s="7"/>
      <c r="AP133" s="7"/>
      <c r="AQ133" s="7"/>
    </row>
    <row r="134" spans="1:45" s="9" customFormat="1" ht="12.75" customHeight="1" x14ac:dyDescent="0.2">
      <c r="A134" s="19" t="s">
        <v>15</v>
      </c>
      <c r="C134" s="19" t="s">
        <v>15</v>
      </c>
      <c r="E134" s="8">
        <v>7441671</v>
      </c>
      <c r="F134" s="8"/>
      <c r="G134" s="8">
        <v>17762397</v>
      </c>
      <c r="H134" s="8"/>
      <c r="I134" s="8">
        <f>353330+566577</f>
        <v>919907</v>
      </c>
      <c r="J134" s="8"/>
      <c r="K134" s="8">
        <v>215555</v>
      </c>
      <c r="L134" s="8"/>
      <c r="M134" s="8">
        <v>0</v>
      </c>
      <c r="N134" s="8"/>
      <c r="O134" s="8">
        <v>451109</v>
      </c>
      <c r="P134" s="8"/>
      <c r="Q134" s="8">
        <v>0</v>
      </c>
      <c r="R134" s="8"/>
      <c r="S134" s="8">
        <v>0</v>
      </c>
      <c r="T134" s="8"/>
      <c r="U134" s="8">
        <v>0</v>
      </c>
      <c r="V134" s="8"/>
      <c r="W134" s="8">
        <v>266440</v>
      </c>
      <c r="X134" s="8"/>
      <c r="Y134" s="8">
        <v>17475</v>
      </c>
      <c r="Z134" s="7"/>
      <c r="AA134" s="7">
        <v>0</v>
      </c>
      <c r="AB134" s="7"/>
      <c r="AC134" s="8">
        <f t="shared" ref="AC134:AC142" si="8">SUM(E134:AA134)</f>
        <v>27074554</v>
      </c>
      <c r="AD134" s="8"/>
      <c r="AE134" s="11">
        <v>0</v>
      </c>
      <c r="AF134" s="11"/>
      <c r="AG134" s="8">
        <v>1991714</v>
      </c>
      <c r="AH134" s="40"/>
      <c r="AI134" s="8">
        <v>4429683</v>
      </c>
      <c r="AJ134" s="8"/>
      <c r="AK134" s="8">
        <v>0</v>
      </c>
      <c r="AL134" s="40"/>
      <c r="AM134" s="40">
        <f>+'Gen rev'!U133-'Gen exp'!AC134-AG134+'Gen rev'!W133+AI134+AK134-'Gen Bal'!W134-'Gen exp'!AE134</f>
        <v>0</v>
      </c>
      <c r="AN134" s="40"/>
      <c r="AO134" s="40"/>
      <c r="AP134" s="40"/>
      <c r="AQ134" s="40"/>
      <c r="AR134" s="36"/>
      <c r="AS134" s="19"/>
    </row>
    <row r="135" spans="1:45" s="12" customFormat="1" ht="12.75" customHeight="1" x14ac:dyDescent="0.2">
      <c r="A135" s="4" t="s">
        <v>146</v>
      </c>
      <c r="C135" s="4" t="s">
        <v>13</v>
      </c>
      <c r="E135" s="8">
        <v>859227</v>
      </c>
      <c r="F135" s="8"/>
      <c r="G135" s="8">
        <v>1628014</v>
      </c>
      <c r="H135" s="8"/>
      <c r="I135" s="8">
        <v>149141</v>
      </c>
      <c r="J135" s="8"/>
      <c r="K135" s="8">
        <v>65093</v>
      </c>
      <c r="L135" s="8"/>
      <c r="M135" s="8">
        <v>0</v>
      </c>
      <c r="N135" s="8"/>
      <c r="O135" s="8">
        <v>130297</v>
      </c>
      <c r="P135" s="8"/>
      <c r="Q135" s="8">
        <v>0</v>
      </c>
      <c r="R135" s="8"/>
      <c r="S135" s="8">
        <v>197355</v>
      </c>
      <c r="T135" s="8"/>
      <c r="U135" s="8">
        <v>0</v>
      </c>
      <c r="V135" s="8"/>
      <c r="W135" s="8">
        <v>0</v>
      </c>
      <c r="X135" s="8"/>
      <c r="Y135" s="8">
        <v>0</v>
      </c>
      <c r="Z135" s="7"/>
      <c r="AA135" s="8">
        <v>0</v>
      </c>
      <c r="AB135" s="7"/>
      <c r="AC135" s="8">
        <f t="shared" si="8"/>
        <v>3029127</v>
      </c>
      <c r="AD135" s="8"/>
      <c r="AE135" s="11">
        <v>0</v>
      </c>
      <c r="AF135" s="11"/>
      <c r="AG135" s="8">
        <v>410712</v>
      </c>
      <c r="AH135" s="8"/>
      <c r="AI135" s="8">
        <v>1783283</v>
      </c>
      <c r="AJ135" s="8"/>
      <c r="AK135" s="8">
        <v>0</v>
      </c>
      <c r="AL135" s="8"/>
      <c r="AM135" s="8">
        <f>+'Gen rev'!U134-'Gen exp'!AC135-AG135+'Gen rev'!W134+AI135+AK135-'Gen Bal'!W135-'Gen exp'!AE135</f>
        <v>0</v>
      </c>
      <c r="AN135" s="7"/>
      <c r="AO135" s="7"/>
      <c r="AP135" s="7"/>
      <c r="AQ135" s="7"/>
    </row>
    <row r="136" spans="1:45" s="9" customFormat="1" ht="12.75" customHeight="1" x14ac:dyDescent="0.2">
      <c r="A136" s="4" t="s">
        <v>147</v>
      </c>
      <c r="B136" s="12"/>
      <c r="C136" s="4" t="s">
        <v>43</v>
      </c>
      <c r="D136" s="12"/>
      <c r="E136" s="8">
        <v>1765734</v>
      </c>
      <c r="F136" s="8"/>
      <c r="G136" s="8">
        <v>2539869</v>
      </c>
      <c r="H136" s="8"/>
      <c r="I136" s="8">
        <v>183688</v>
      </c>
      <c r="J136" s="8"/>
      <c r="K136" s="8">
        <v>0</v>
      </c>
      <c r="L136" s="8"/>
      <c r="M136" s="8">
        <v>0</v>
      </c>
      <c r="N136" s="8"/>
      <c r="O136" s="8">
        <v>405289</v>
      </c>
      <c r="P136" s="8"/>
      <c r="Q136" s="8">
        <v>0</v>
      </c>
      <c r="R136" s="8"/>
      <c r="S136" s="8">
        <v>0</v>
      </c>
      <c r="T136" s="8"/>
      <c r="U136" s="8">
        <v>0</v>
      </c>
      <c r="V136" s="8"/>
      <c r="W136" s="8">
        <v>0</v>
      </c>
      <c r="X136" s="8"/>
      <c r="Y136" s="8">
        <v>0</v>
      </c>
      <c r="Z136" s="7"/>
      <c r="AA136" s="8">
        <v>0</v>
      </c>
      <c r="AB136" s="7"/>
      <c r="AC136" s="8">
        <f t="shared" si="8"/>
        <v>4894580</v>
      </c>
      <c r="AD136" s="8"/>
      <c r="AE136" s="11">
        <v>0</v>
      </c>
      <c r="AF136" s="11"/>
      <c r="AG136" s="8">
        <v>198454</v>
      </c>
      <c r="AH136" s="8"/>
      <c r="AI136" s="8">
        <v>2880982</v>
      </c>
      <c r="AJ136" s="8"/>
      <c r="AK136" s="8">
        <v>0</v>
      </c>
      <c r="AL136" s="8"/>
      <c r="AM136" s="8">
        <f>+'Gen rev'!U135-'Gen exp'!AC136-AG136+'Gen rev'!W135+AI136+AK136-'Gen Bal'!W136-'Gen exp'!AE136</f>
        <v>0</v>
      </c>
    </row>
    <row r="137" spans="1:45" s="12" customFormat="1" ht="12.75" customHeight="1" x14ac:dyDescent="0.2">
      <c r="A137" s="4" t="s">
        <v>148</v>
      </c>
      <c r="C137" s="4" t="s">
        <v>25</v>
      </c>
      <c r="E137" s="8">
        <v>3582712</v>
      </c>
      <c r="F137" s="8"/>
      <c r="G137" s="8">
        <v>6398092</v>
      </c>
      <c r="H137" s="8"/>
      <c r="I137" s="8">
        <v>430508</v>
      </c>
      <c r="J137" s="8"/>
      <c r="K137" s="8">
        <v>53764</v>
      </c>
      <c r="L137" s="8"/>
      <c r="M137" s="8">
        <v>0</v>
      </c>
      <c r="N137" s="8"/>
      <c r="O137" s="8">
        <v>901374</v>
      </c>
      <c r="P137" s="8"/>
      <c r="Q137" s="8">
        <v>1114570</v>
      </c>
      <c r="R137" s="8"/>
      <c r="S137" s="8">
        <v>0</v>
      </c>
      <c r="T137" s="8"/>
      <c r="U137" s="8">
        <v>0</v>
      </c>
      <c r="V137" s="8"/>
      <c r="W137" s="8">
        <v>0</v>
      </c>
      <c r="X137" s="8"/>
      <c r="Y137" s="8">
        <v>0</v>
      </c>
      <c r="Z137" s="7"/>
      <c r="AA137" s="8">
        <v>0</v>
      </c>
      <c r="AB137" s="7"/>
      <c r="AC137" s="8">
        <f t="shared" si="8"/>
        <v>12481020</v>
      </c>
      <c r="AD137" s="8"/>
      <c r="AE137" s="11">
        <v>0</v>
      </c>
      <c r="AF137" s="11"/>
      <c r="AG137" s="8">
        <v>1550548</v>
      </c>
      <c r="AH137" s="8"/>
      <c r="AI137" s="8">
        <v>4911025</v>
      </c>
      <c r="AJ137" s="8"/>
      <c r="AK137" s="8">
        <v>-9366</v>
      </c>
      <c r="AL137" s="8"/>
      <c r="AM137" s="8">
        <f>+'Gen rev'!U136-'Gen exp'!AC137-AG137+'Gen rev'!W136+AI137+AK137-'Gen Bal'!W137-'Gen exp'!AE137</f>
        <v>0</v>
      </c>
      <c r="AN137" s="7"/>
      <c r="AO137" s="7"/>
      <c r="AP137" s="7"/>
      <c r="AQ137" s="7"/>
    </row>
    <row r="138" spans="1:45" s="9" customFormat="1" ht="12.75" customHeight="1" x14ac:dyDescent="0.2">
      <c r="A138" s="4" t="s">
        <v>149</v>
      </c>
      <c r="B138" s="12"/>
      <c r="C138" s="4" t="s">
        <v>11</v>
      </c>
      <c r="D138" s="12"/>
      <c r="E138" s="8">
        <v>2001477</v>
      </c>
      <c r="F138" s="8"/>
      <c r="G138" s="8">
        <v>4638756</v>
      </c>
      <c r="H138" s="8"/>
      <c r="I138" s="8">
        <v>475964</v>
      </c>
      <c r="J138" s="8"/>
      <c r="K138" s="8">
        <v>203547</v>
      </c>
      <c r="L138" s="8"/>
      <c r="M138" s="8">
        <v>0</v>
      </c>
      <c r="N138" s="8"/>
      <c r="O138" s="8">
        <v>502</v>
      </c>
      <c r="P138" s="8"/>
      <c r="Q138" s="8">
        <v>159722</v>
      </c>
      <c r="R138" s="8"/>
      <c r="S138" s="8">
        <v>42059</v>
      </c>
      <c r="T138" s="8"/>
      <c r="U138" s="8">
        <v>0</v>
      </c>
      <c r="V138" s="8"/>
      <c r="W138" s="8">
        <v>522479</v>
      </c>
      <c r="X138" s="8"/>
      <c r="Y138" s="8">
        <v>185836</v>
      </c>
      <c r="Z138" s="7"/>
      <c r="AA138" s="8">
        <v>0</v>
      </c>
      <c r="AB138" s="7"/>
      <c r="AC138" s="8">
        <f t="shared" si="8"/>
        <v>8230342</v>
      </c>
      <c r="AD138" s="8"/>
      <c r="AE138" s="11">
        <v>0</v>
      </c>
      <c r="AF138" s="11"/>
      <c r="AG138" s="8">
        <v>2753770</v>
      </c>
      <c r="AH138" s="8"/>
      <c r="AI138" s="8">
        <v>4172281</v>
      </c>
      <c r="AJ138" s="8"/>
      <c r="AK138" s="8">
        <v>0</v>
      </c>
      <c r="AL138" s="8"/>
      <c r="AM138" s="8">
        <f>+'Gen rev'!U137-'Gen exp'!AC138-AG138+'Gen rev'!W137+AI138+AK138-'Gen Bal'!W138-'Gen exp'!AE138</f>
        <v>0</v>
      </c>
    </row>
    <row r="139" spans="1:45" s="7" customFormat="1" ht="12.75" customHeight="1" x14ac:dyDescent="0.2">
      <c r="A139" s="6" t="s">
        <v>475</v>
      </c>
      <c r="C139" s="6" t="s">
        <v>43</v>
      </c>
      <c r="E139" s="8">
        <v>917413</v>
      </c>
      <c r="F139" s="8"/>
      <c r="G139" s="8">
        <v>3187403</v>
      </c>
      <c r="H139" s="8"/>
      <c r="I139" s="8">
        <v>104612</v>
      </c>
      <c r="J139" s="8"/>
      <c r="K139" s="8">
        <v>0</v>
      </c>
      <c r="L139" s="8"/>
      <c r="M139" s="8">
        <v>589761</v>
      </c>
      <c r="N139" s="8"/>
      <c r="O139" s="8">
        <v>111199</v>
      </c>
      <c r="P139" s="8"/>
      <c r="Q139" s="8">
        <v>445654</v>
      </c>
      <c r="R139" s="8"/>
      <c r="S139" s="8">
        <v>0</v>
      </c>
      <c r="T139" s="8"/>
      <c r="U139" s="8">
        <v>0</v>
      </c>
      <c r="V139" s="8"/>
      <c r="W139" s="8">
        <v>0</v>
      </c>
      <c r="X139" s="8"/>
      <c r="Y139" s="8">
        <v>0</v>
      </c>
      <c r="AA139" s="8">
        <v>0</v>
      </c>
      <c r="AC139" s="8">
        <f t="shared" si="8"/>
        <v>5356042</v>
      </c>
      <c r="AD139" s="8"/>
      <c r="AE139" s="11">
        <v>0</v>
      </c>
      <c r="AF139" s="11"/>
      <c r="AG139" s="8">
        <v>209500</v>
      </c>
      <c r="AH139" s="8"/>
      <c r="AI139" s="8">
        <v>2050325</v>
      </c>
      <c r="AJ139" s="8"/>
      <c r="AK139" s="8">
        <v>0</v>
      </c>
      <c r="AL139" s="8"/>
      <c r="AM139" s="8">
        <f>+'Gen rev'!U138-'Gen exp'!AC139-AG139+'Gen rev'!W138+AI139+AK139-'Gen Bal'!W139-'Gen exp'!AE139</f>
        <v>0</v>
      </c>
    </row>
    <row r="140" spans="1:45" s="12" customFormat="1" ht="12.75" customHeight="1" x14ac:dyDescent="0.2">
      <c r="A140" s="4" t="s">
        <v>150</v>
      </c>
      <c r="C140" s="4" t="s">
        <v>151</v>
      </c>
      <c r="E140" s="8">
        <v>9191588</v>
      </c>
      <c r="F140" s="8"/>
      <c r="G140" s="8">
        <v>64124</v>
      </c>
      <c r="H140" s="8"/>
      <c r="I140" s="8">
        <v>394873</v>
      </c>
      <c r="J140" s="8"/>
      <c r="K140" s="8">
        <v>600</v>
      </c>
      <c r="L140" s="8"/>
      <c r="M140" s="8">
        <v>0</v>
      </c>
      <c r="N140" s="8"/>
      <c r="O140" s="8">
        <v>188096</v>
      </c>
      <c r="P140" s="8"/>
      <c r="Q140" s="8">
        <v>0</v>
      </c>
      <c r="R140" s="8"/>
      <c r="S140" s="8">
        <v>0</v>
      </c>
      <c r="T140" s="8"/>
      <c r="U140" s="8">
        <v>0</v>
      </c>
      <c r="V140" s="8"/>
      <c r="W140" s="8">
        <v>0</v>
      </c>
      <c r="X140" s="8"/>
      <c r="Y140" s="8">
        <v>0</v>
      </c>
      <c r="Z140" s="7"/>
      <c r="AA140" s="8">
        <v>0</v>
      </c>
      <c r="AB140" s="7"/>
      <c r="AC140" s="8">
        <f t="shared" si="8"/>
        <v>9839281</v>
      </c>
      <c r="AD140" s="8"/>
      <c r="AE140" s="11">
        <v>0</v>
      </c>
      <c r="AF140" s="11"/>
      <c r="AG140" s="8">
        <v>11748958</v>
      </c>
      <c r="AH140" s="8"/>
      <c r="AI140" s="8">
        <v>4737006</v>
      </c>
      <c r="AJ140" s="8"/>
      <c r="AK140" s="8">
        <v>-6795</v>
      </c>
      <c r="AL140" s="8"/>
      <c r="AM140" s="8">
        <f>+'Gen rev'!U139-'Gen exp'!AC140-AG140+'Gen rev'!W139+AI140+AK140-'Gen Bal'!W140-'Gen exp'!AE140</f>
        <v>0</v>
      </c>
      <c r="AN140" s="7"/>
      <c r="AO140" s="7"/>
      <c r="AP140" s="7"/>
      <c r="AQ140" s="7"/>
    </row>
    <row r="141" spans="1:45" s="9" customFormat="1" ht="12.75" customHeight="1" x14ac:dyDescent="0.2">
      <c r="A141" s="19" t="s">
        <v>152</v>
      </c>
      <c r="C141" s="19" t="s">
        <v>25</v>
      </c>
      <c r="E141" s="8">
        <v>4622598</v>
      </c>
      <c r="F141" s="8"/>
      <c r="G141" s="8">
        <v>5903805</v>
      </c>
      <c r="H141" s="8"/>
      <c r="I141" s="8">
        <v>480914</v>
      </c>
      <c r="J141" s="8"/>
      <c r="K141" s="8">
        <v>88850</v>
      </c>
      <c r="L141" s="8"/>
      <c r="M141" s="8">
        <v>0</v>
      </c>
      <c r="N141" s="8"/>
      <c r="O141" s="8">
        <v>775682</v>
      </c>
      <c r="P141" s="8"/>
      <c r="Q141" s="8">
        <v>449834</v>
      </c>
      <c r="R141" s="8"/>
      <c r="S141" s="8">
        <v>0</v>
      </c>
      <c r="T141" s="8"/>
      <c r="U141" s="8">
        <v>0</v>
      </c>
      <c r="V141" s="8"/>
      <c r="W141" s="8">
        <v>0</v>
      </c>
      <c r="X141" s="8"/>
      <c r="Y141" s="8">
        <v>0</v>
      </c>
      <c r="Z141" s="7"/>
      <c r="AA141" s="8">
        <v>0</v>
      </c>
      <c r="AB141" s="7"/>
      <c r="AC141" s="8">
        <f t="shared" si="8"/>
        <v>12321683</v>
      </c>
      <c r="AD141" s="8"/>
      <c r="AE141" s="11">
        <v>0</v>
      </c>
      <c r="AF141" s="11"/>
      <c r="AG141" s="8">
        <v>1919953</v>
      </c>
      <c r="AH141" s="40"/>
      <c r="AI141" s="40">
        <v>-586334</v>
      </c>
      <c r="AJ141" s="40"/>
      <c r="AK141" s="40">
        <v>0</v>
      </c>
      <c r="AL141" s="40"/>
      <c r="AM141" s="40">
        <f>+'Gen rev'!U140-'Gen exp'!AC141-AG141+'Gen rev'!W140+AI141+AK141-'Gen Bal'!W141-'Gen exp'!AE141</f>
        <v>0</v>
      </c>
    </row>
    <row r="142" spans="1:45" s="12" customFormat="1" ht="12.75" customHeight="1" x14ac:dyDescent="0.2">
      <c r="A142" s="4" t="s">
        <v>153</v>
      </c>
      <c r="C142" s="4" t="s">
        <v>38</v>
      </c>
      <c r="E142" s="8">
        <f>3940275+679510</f>
        <v>4619785</v>
      </c>
      <c r="F142" s="8"/>
      <c r="G142" s="8">
        <f>3186482+2055070</f>
        <v>5241552</v>
      </c>
      <c r="H142" s="8"/>
      <c r="I142" s="8">
        <v>0</v>
      </c>
      <c r="J142" s="8"/>
      <c r="K142" s="8">
        <v>394359</v>
      </c>
      <c r="L142" s="8"/>
      <c r="M142" s="8">
        <v>0</v>
      </c>
      <c r="N142" s="8"/>
      <c r="O142" s="8">
        <v>0</v>
      </c>
      <c r="P142" s="8"/>
      <c r="Q142" s="8">
        <v>0</v>
      </c>
      <c r="R142" s="8"/>
      <c r="S142" s="8">
        <v>0</v>
      </c>
      <c r="T142" s="8"/>
      <c r="U142" s="8">
        <v>0</v>
      </c>
      <c r="V142" s="8"/>
      <c r="W142" s="8">
        <v>55500</v>
      </c>
      <c r="X142" s="8"/>
      <c r="Y142" s="8">
        <v>0</v>
      </c>
      <c r="Z142" s="7"/>
      <c r="AA142" s="8">
        <v>9617</v>
      </c>
      <c r="AB142" s="7"/>
      <c r="AC142" s="8">
        <f t="shared" si="8"/>
        <v>10320813</v>
      </c>
      <c r="AD142" s="8"/>
      <c r="AE142" s="11">
        <v>0</v>
      </c>
      <c r="AF142" s="11"/>
      <c r="AG142" s="8">
        <v>143155</v>
      </c>
      <c r="AH142" s="8"/>
      <c r="AI142" s="8">
        <v>2400459</v>
      </c>
      <c r="AJ142" s="8"/>
      <c r="AK142" s="8">
        <v>0</v>
      </c>
      <c r="AL142" s="8"/>
      <c r="AM142" s="8">
        <f>+'Gen rev'!U141-'Gen exp'!AC142-AG142+'Gen rev'!W141+AI142+AK142-'Gen Bal'!W142-'Gen exp'!AE142</f>
        <v>0</v>
      </c>
      <c r="AN142" s="7"/>
      <c r="AO142" s="7"/>
      <c r="AP142" s="7"/>
      <c r="AQ142" s="7"/>
    </row>
    <row r="143" spans="1:45" s="12" customFormat="1" ht="12.75" customHeight="1" x14ac:dyDescent="0.2">
      <c r="A143" s="19" t="s">
        <v>154</v>
      </c>
      <c r="B143" s="9"/>
      <c r="C143" s="19" t="s">
        <v>154</v>
      </c>
      <c r="D143" s="9"/>
      <c r="E143" s="8">
        <f>756754+3054742</f>
        <v>3811496</v>
      </c>
      <c r="F143" s="8"/>
      <c r="G143" s="8">
        <f>5104247+4719107+297776</f>
        <v>10121130</v>
      </c>
      <c r="H143" s="8"/>
      <c r="I143" s="8">
        <v>307205</v>
      </c>
      <c r="J143" s="8"/>
      <c r="K143" s="8">
        <v>447638</v>
      </c>
      <c r="L143" s="8"/>
      <c r="M143" s="8">
        <v>249681</v>
      </c>
      <c r="N143" s="8"/>
      <c r="O143" s="8">
        <v>755195</v>
      </c>
      <c r="P143" s="8"/>
      <c r="Q143" s="8">
        <v>0</v>
      </c>
      <c r="R143" s="8"/>
      <c r="S143" s="8">
        <v>0</v>
      </c>
      <c r="T143" s="8"/>
      <c r="U143" s="8">
        <v>0</v>
      </c>
      <c r="V143" s="8"/>
      <c r="W143" s="8">
        <v>0</v>
      </c>
      <c r="X143" s="8"/>
      <c r="Y143" s="8">
        <v>0</v>
      </c>
      <c r="Z143" s="7"/>
      <c r="AA143" s="8">
        <v>0</v>
      </c>
      <c r="AB143" s="7"/>
      <c r="AC143" s="8">
        <f t="shared" ref="AC143" si="9">SUM(E143:AA143)</f>
        <v>15692345</v>
      </c>
      <c r="AD143" s="8"/>
      <c r="AE143" s="11">
        <v>0</v>
      </c>
      <c r="AF143" s="11"/>
      <c r="AG143" s="8">
        <v>1176059</v>
      </c>
      <c r="AH143" s="8"/>
      <c r="AI143" s="8">
        <v>-714040</v>
      </c>
      <c r="AJ143" s="8"/>
      <c r="AK143" s="8">
        <v>0</v>
      </c>
      <c r="AL143" s="8"/>
      <c r="AM143" s="8">
        <f>+'Gen rev'!U142-'Gen exp'!AC143-AG143+'Gen rev'!W142+AI143+AK143-'Gen Bal'!W143-'Gen exp'!AE143</f>
        <v>0</v>
      </c>
      <c r="AN143" s="8"/>
      <c r="AO143" s="8"/>
      <c r="AP143" s="8"/>
      <c r="AQ143" s="8"/>
      <c r="AR143" s="15"/>
      <c r="AS143" s="13"/>
    </row>
    <row r="144" spans="1:45" s="12" customFormat="1" ht="12.75" customHeight="1" x14ac:dyDescent="0.2">
      <c r="A144" s="4" t="s">
        <v>155</v>
      </c>
      <c r="C144" s="4" t="s">
        <v>31</v>
      </c>
      <c r="E144" s="8">
        <v>640055</v>
      </c>
      <c r="F144" s="8"/>
      <c r="G144" s="8">
        <v>1471051</v>
      </c>
      <c r="H144" s="8"/>
      <c r="I144" s="8">
        <v>0</v>
      </c>
      <c r="J144" s="8"/>
      <c r="K144" s="8">
        <v>18301</v>
      </c>
      <c r="L144" s="8"/>
      <c r="M144" s="8">
        <v>0</v>
      </c>
      <c r="N144" s="8"/>
      <c r="O144" s="8">
        <v>0</v>
      </c>
      <c r="P144" s="8"/>
      <c r="Q144" s="8">
        <v>0</v>
      </c>
      <c r="R144" s="8"/>
      <c r="S144" s="8">
        <v>0</v>
      </c>
      <c r="T144" s="8"/>
      <c r="U144" s="8">
        <v>0</v>
      </c>
      <c r="V144" s="8"/>
      <c r="W144" s="8">
        <v>0</v>
      </c>
      <c r="X144" s="8"/>
      <c r="Y144" s="8">
        <v>0</v>
      </c>
      <c r="Z144" s="7"/>
      <c r="AA144" s="8">
        <v>0</v>
      </c>
      <c r="AB144" s="7"/>
      <c r="AC144" s="8">
        <f t="shared" ref="AC144:AC167" si="10">SUM(E144:AA144)</f>
        <v>2129407</v>
      </c>
      <c r="AD144" s="8"/>
      <c r="AE144" s="11">
        <v>0</v>
      </c>
      <c r="AF144" s="11"/>
      <c r="AG144" s="8">
        <v>162000</v>
      </c>
      <c r="AH144" s="8"/>
      <c r="AI144" s="8">
        <v>361893</v>
      </c>
      <c r="AJ144" s="8"/>
      <c r="AK144" s="8">
        <v>0</v>
      </c>
      <c r="AL144" s="8"/>
      <c r="AM144" s="8">
        <f>+'Gen rev'!U143-'Gen exp'!AC144-AG144+'Gen rev'!W143+AI144+AK144-'Gen Bal'!W144-'Gen exp'!AE144</f>
        <v>0</v>
      </c>
      <c r="AN144" s="7"/>
      <c r="AO144" s="7"/>
      <c r="AP144" s="7"/>
      <c r="AQ144" s="7"/>
    </row>
    <row r="145" spans="1:45" s="12" customFormat="1" ht="12.75" customHeight="1" x14ac:dyDescent="0.2">
      <c r="A145" s="19" t="s">
        <v>156</v>
      </c>
      <c r="B145" s="9"/>
      <c r="C145" s="19" t="s">
        <v>157</v>
      </c>
      <c r="D145" s="9"/>
      <c r="E145" s="8">
        <v>2905366</v>
      </c>
      <c r="F145" s="8"/>
      <c r="G145" s="8">
        <f>3859274+3975895+826981</f>
        <v>8662150</v>
      </c>
      <c r="H145" s="8"/>
      <c r="I145" s="8">
        <v>588609</v>
      </c>
      <c r="J145" s="8"/>
      <c r="K145" s="8">
        <v>343625</v>
      </c>
      <c r="L145" s="8"/>
      <c r="M145" s="8">
        <v>0</v>
      </c>
      <c r="N145" s="8"/>
      <c r="O145" s="8">
        <v>113206</v>
      </c>
      <c r="P145" s="8"/>
      <c r="Q145" s="8">
        <v>0</v>
      </c>
      <c r="R145" s="8"/>
      <c r="S145" s="8">
        <v>0</v>
      </c>
      <c r="T145" s="8"/>
      <c r="U145" s="8">
        <v>0</v>
      </c>
      <c r="V145" s="8"/>
      <c r="W145" s="8">
        <v>0</v>
      </c>
      <c r="X145" s="8"/>
      <c r="Y145" s="8">
        <v>0</v>
      </c>
      <c r="Z145" s="7"/>
      <c r="AA145" s="8">
        <v>0</v>
      </c>
      <c r="AB145" s="7"/>
      <c r="AC145" s="8">
        <f t="shared" si="10"/>
        <v>12612956</v>
      </c>
      <c r="AD145" s="8"/>
      <c r="AE145" s="11">
        <v>0</v>
      </c>
      <c r="AF145" s="11"/>
      <c r="AG145" s="8">
        <v>7817645</v>
      </c>
      <c r="AH145" s="8"/>
      <c r="AI145" s="8">
        <v>9665478</v>
      </c>
      <c r="AJ145" s="8"/>
      <c r="AK145" s="8">
        <v>0</v>
      </c>
      <c r="AL145" s="8"/>
      <c r="AM145" s="8">
        <f>+'Gen rev'!U144-'Gen exp'!AC145-AG145+'Gen rev'!W144+AI145+AK145-'Gen Bal'!W145-'Gen exp'!AE145</f>
        <v>0</v>
      </c>
      <c r="AN145" s="8"/>
      <c r="AO145" s="8"/>
      <c r="AP145" s="8"/>
      <c r="AQ145" s="8"/>
      <c r="AR145" s="15"/>
      <c r="AS145" s="13"/>
    </row>
    <row r="146" spans="1:45" s="9" customFormat="1" ht="12.75" customHeight="1" x14ac:dyDescent="0.2">
      <c r="A146" s="19" t="s">
        <v>158</v>
      </c>
      <c r="C146" s="19" t="s">
        <v>109</v>
      </c>
      <c r="E146" s="8">
        <v>7775848</v>
      </c>
      <c r="F146" s="8"/>
      <c r="G146" s="8">
        <v>6468296</v>
      </c>
      <c r="H146" s="8"/>
      <c r="I146" s="8">
        <v>2038730</v>
      </c>
      <c r="J146" s="8"/>
      <c r="K146" s="8">
        <v>0</v>
      </c>
      <c r="L146" s="8"/>
      <c r="M146" s="8">
        <v>3071020</v>
      </c>
      <c r="N146" s="8"/>
      <c r="O146" s="8">
        <v>1722418</v>
      </c>
      <c r="P146" s="8"/>
      <c r="Q146" s="8">
        <v>277539</v>
      </c>
      <c r="R146" s="8"/>
      <c r="S146" s="8">
        <v>149078</v>
      </c>
      <c r="T146" s="8"/>
      <c r="U146" s="8">
        <v>0</v>
      </c>
      <c r="V146" s="8"/>
      <c r="W146" s="8">
        <v>0</v>
      </c>
      <c r="X146" s="8"/>
      <c r="Y146" s="8">
        <v>87506</v>
      </c>
      <c r="Z146" s="7"/>
      <c r="AA146" s="8">
        <v>0</v>
      </c>
      <c r="AB146" s="7"/>
      <c r="AC146" s="8">
        <f t="shared" si="10"/>
        <v>21590435</v>
      </c>
      <c r="AD146" s="8"/>
      <c r="AE146" s="11">
        <v>0</v>
      </c>
      <c r="AF146" s="11"/>
      <c r="AG146" s="8">
        <v>2637643</v>
      </c>
      <c r="AH146" s="8"/>
      <c r="AI146" s="8">
        <v>24866591</v>
      </c>
      <c r="AJ146" s="8"/>
      <c r="AK146" s="8">
        <v>-46979</v>
      </c>
      <c r="AL146" s="8"/>
      <c r="AM146" s="8">
        <f>+'Gen rev'!U145-'Gen exp'!AC146-AG146+'Gen rev'!W145+AI146+AK146-'Gen Bal'!W146-'Gen exp'!AE146</f>
        <v>0</v>
      </c>
      <c r="AN146" s="36"/>
      <c r="AO146" s="36"/>
      <c r="AP146" s="36"/>
      <c r="AQ146" s="36"/>
      <c r="AR146" s="36"/>
      <c r="AS146" s="19"/>
    </row>
    <row r="147" spans="1:45" s="12" customFormat="1" ht="12.75" customHeight="1" x14ac:dyDescent="0.2">
      <c r="A147" s="4" t="s">
        <v>159</v>
      </c>
      <c r="C147" s="4" t="s">
        <v>13</v>
      </c>
      <c r="E147" s="8">
        <v>5857577</v>
      </c>
      <c r="F147" s="8"/>
      <c r="G147" s="8">
        <v>8323454</v>
      </c>
      <c r="H147" s="8"/>
      <c r="I147" s="8">
        <v>7704</v>
      </c>
      <c r="J147" s="8"/>
      <c r="K147" s="8">
        <v>326907</v>
      </c>
      <c r="L147" s="8"/>
      <c r="M147" s="8">
        <v>1099650</v>
      </c>
      <c r="N147" s="8"/>
      <c r="O147" s="8">
        <v>0</v>
      </c>
      <c r="P147" s="8"/>
      <c r="Q147" s="8">
        <v>0</v>
      </c>
      <c r="R147" s="8"/>
      <c r="S147" s="8">
        <v>0</v>
      </c>
      <c r="T147" s="8"/>
      <c r="U147" s="8">
        <v>0</v>
      </c>
      <c r="V147" s="8"/>
      <c r="W147" s="8">
        <v>0</v>
      </c>
      <c r="X147" s="8"/>
      <c r="Y147" s="8">
        <v>0</v>
      </c>
      <c r="Z147" s="7"/>
      <c r="AA147" s="8">
        <v>0</v>
      </c>
      <c r="AB147" s="7"/>
      <c r="AC147" s="8">
        <f t="shared" si="10"/>
        <v>15615292</v>
      </c>
      <c r="AD147" s="8"/>
      <c r="AE147" s="11">
        <v>0</v>
      </c>
      <c r="AF147" s="11"/>
      <c r="AG147" s="8">
        <v>1649337</v>
      </c>
      <c r="AH147" s="8"/>
      <c r="AI147" s="8">
        <v>-1183067</v>
      </c>
      <c r="AJ147" s="8"/>
      <c r="AK147" s="8">
        <v>0</v>
      </c>
      <c r="AL147" s="8"/>
      <c r="AM147" s="8">
        <f>+'Gen rev'!U146-'Gen exp'!AC147-AG147+'Gen rev'!W146+AI147+AK147-'Gen Bal'!W147-'Gen exp'!AE147</f>
        <v>0</v>
      </c>
      <c r="AN147" s="8"/>
      <c r="AO147" s="8"/>
      <c r="AP147" s="8"/>
      <c r="AQ147" s="8"/>
      <c r="AR147" s="15"/>
      <c r="AS147" s="13"/>
    </row>
    <row r="148" spans="1:45" s="12" customFormat="1" ht="12.75" customHeight="1" x14ac:dyDescent="0.2">
      <c r="A148" s="4" t="s">
        <v>160</v>
      </c>
      <c r="C148" s="4" t="s">
        <v>161</v>
      </c>
      <c r="E148" s="8">
        <v>3877287</v>
      </c>
      <c r="F148" s="8"/>
      <c r="G148" s="8">
        <v>8881851</v>
      </c>
      <c r="H148" s="8"/>
      <c r="I148" s="8">
        <v>704143</v>
      </c>
      <c r="J148" s="8"/>
      <c r="K148" s="8">
        <v>171781</v>
      </c>
      <c r="L148" s="8"/>
      <c r="M148" s="8">
        <v>1307108</v>
      </c>
      <c r="N148" s="8"/>
      <c r="O148" s="8">
        <v>1788381</v>
      </c>
      <c r="P148" s="8"/>
      <c r="Q148" s="8">
        <v>1112702</v>
      </c>
      <c r="R148" s="8"/>
      <c r="S148" s="8">
        <v>0</v>
      </c>
      <c r="T148" s="8"/>
      <c r="U148" s="8">
        <v>0</v>
      </c>
      <c r="V148" s="8"/>
      <c r="W148" s="8">
        <v>0</v>
      </c>
      <c r="X148" s="8"/>
      <c r="Y148" s="8">
        <v>0</v>
      </c>
      <c r="Z148" s="7"/>
      <c r="AA148" s="8">
        <v>0</v>
      </c>
      <c r="AB148" s="7"/>
      <c r="AC148" s="8">
        <f t="shared" si="10"/>
        <v>17843253</v>
      </c>
      <c r="AD148" s="8"/>
      <c r="AE148" s="11">
        <v>0</v>
      </c>
      <c r="AF148" s="11"/>
      <c r="AG148" s="8">
        <v>481220</v>
      </c>
      <c r="AH148" s="8"/>
      <c r="AI148" s="8">
        <v>14293252</v>
      </c>
      <c r="AJ148" s="8"/>
      <c r="AK148" s="8">
        <v>21700</v>
      </c>
      <c r="AL148" s="8"/>
      <c r="AM148" s="8">
        <f>+'Gen rev'!U147-'Gen exp'!AC148-AG148+'Gen rev'!W147+AI148+AK148-'Gen Bal'!W148-'Gen exp'!AE148</f>
        <v>0</v>
      </c>
      <c r="AN148" s="7"/>
      <c r="AO148" s="7"/>
      <c r="AP148" s="7"/>
      <c r="AQ148" s="7"/>
    </row>
    <row r="149" spans="1:45" s="12" customFormat="1" ht="12.75" customHeight="1" x14ac:dyDescent="0.2">
      <c r="A149" s="4" t="s">
        <v>162</v>
      </c>
      <c r="C149" s="4" t="s">
        <v>25</v>
      </c>
      <c r="E149" s="8">
        <v>2403508</v>
      </c>
      <c r="F149" s="8"/>
      <c r="G149" s="8">
        <v>10924225</v>
      </c>
      <c r="H149" s="8"/>
      <c r="I149" s="8">
        <v>886886</v>
      </c>
      <c r="J149" s="8"/>
      <c r="K149" s="8">
        <v>336586</v>
      </c>
      <c r="L149" s="8"/>
      <c r="M149" s="8">
        <v>1127103</v>
      </c>
      <c r="N149" s="8"/>
      <c r="O149" s="8">
        <v>1493044</v>
      </c>
      <c r="P149" s="8"/>
      <c r="Q149" s="8">
        <v>715413</v>
      </c>
      <c r="R149" s="8"/>
      <c r="S149" s="8">
        <v>0</v>
      </c>
      <c r="T149" s="8"/>
      <c r="U149" s="8">
        <v>0</v>
      </c>
      <c r="V149" s="8"/>
      <c r="W149" s="8">
        <v>0</v>
      </c>
      <c r="X149" s="8"/>
      <c r="Y149" s="8">
        <v>0</v>
      </c>
      <c r="Z149" s="7"/>
      <c r="AA149" s="8">
        <v>0</v>
      </c>
      <c r="AB149" s="7"/>
      <c r="AC149" s="8">
        <f t="shared" si="10"/>
        <v>17886765</v>
      </c>
      <c r="AD149" s="8"/>
      <c r="AE149" s="11">
        <v>0</v>
      </c>
      <c r="AF149" s="11"/>
      <c r="AG149" s="8">
        <v>1096500</v>
      </c>
      <c r="AH149" s="8"/>
      <c r="AI149" s="8">
        <v>10135186</v>
      </c>
      <c r="AJ149" s="8"/>
      <c r="AK149" s="8">
        <v>332</v>
      </c>
      <c r="AL149" s="8"/>
      <c r="AM149" s="8">
        <f>+'Gen rev'!U148-'Gen exp'!AC149-AG149+'Gen rev'!W148+AI149+AK149-'Gen Bal'!W149-'Gen exp'!AE149</f>
        <v>0</v>
      </c>
      <c r="AN149" s="7"/>
      <c r="AO149" s="7"/>
      <c r="AP149" s="7"/>
      <c r="AQ149" s="7"/>
    </row>
    <row r="150" spans="1:45" s="12" customFormat="1" ht="12.75" customHeight="1" x14ac:dyDescent="0.2">
      <c r="A150" s="4" t="s">
        <v>51</v>
      </c>
      <c r="C150" s="4" t="s">
        <v>51</v>
      </c>
      <c r="E150" s="8">
        <v>6366118</v>
      </c>
      <c r="F150" s="8"/>
      <c r="G150" s="8">
        <v>146620</v>
      </c>
      <c r="H150" s="8"/>
      <c r="I150" s="8">
        <v>673240</v>
      </c>
      <c r="J150" s="8"/>
      <c r="K150" s="8">
        <v>195449</v>
      </c>
      <c r="L150" s="8"/>
      <c r="M150" s="8">
        <v>60616</v>
      </c>
      <c r="N150" s="8"/>
      <c r="O150" s="8">
        <v>0</v>
      </c>
      <c r="P150" s="8"/>
      <c r="Q150" s="8">
        <v>0</v>
      </c>
      <c r="R150" s="8"/>
      <c r="S150" s="8">
        <v>0</v>
      </c>
      <c r="T150" s="8"/>
      <c r="U150" s="8">
        <v>0</v>
      </c>
      <c r="V150" s="8"/>
      <c r="W150" s="8">
        <v>0</v>
      </c>
      <c r="X150" s="8"/>
      <c r="Y150" s="8">
        <v>0</v>
      </c>
      <c r="Z150" s="7"/>
      <c r="AA150" s="8">
        <v>0</v>
      </c>
      <c r="AB150" s="7"/>
      <c r="AC150" s="8">
        <f t="shared" si="10"/>
        <v>7442043</v>
      </c>
      <c r="AD150" s="8"/>
      <c r="AE150" s="11">
        <v>0</v>
      </c>
      <c r="AF150" s="11"/>
      <c r="AG150" s="8">
        <v>0</v>
      </c>
      <c r="AH150" s="8"/>
      <c r="AI150" s="8">
        <v>11344708</v>
      </c>
      <c r="AJ150" s="8"/>
      <c r="AK150" s="8">
        <v>0</v>
      </c>
      <c r="AL150" s="8"/>
      <c r="AM150" s="8">
        <f>+'Gen rev'!U149-'Gen exp'!AC150-AG150+'Gen rev'!W149+AI150+AK150-'Gen Bal'!W150-'Gen exp'!AE150</f>
        <v>0</v>
      </c>
      <c r="AN150" s="8"/>
      <c r="AO150" s="8"/>
      <c r="AP150" s="8"/>
      <c r="AQ150" s="8"/>
      <c r="AR150" s="15"/>
      <c r="AS150" s="13"/>
    </row>
    <row r="151" spans="1:45" s="12" customFormat="1" ht="12.75" customHeight="1" x14ac:dyDescent="0.2">
      <c r="A151" s="4" t="s">
        <v>163</v>
      </c>
      <c r="C151" s="4" t="s">
        <v>90</v>
      </c>
      <c r="E151" s="8">
        <v>6642479</v>
      </c>
      <c r="F151" s="8"/>
      <c r="G151" s="8">
        <f>11932177+10037777</f>
        <v>21969954</v>
      </c>
      <c r="H151" s="8"/>
      <c r="I151" s="8">
        <f>2168479+1599891</f>
        <v>3768370</v>
      </c>
      <c r="J151" s="8"/>
      <c r="K151" s="8">
        <v>0</v>
      </c>
      <c r="L151" s="8"/>
      <c r="M151" s="8">
        <v>7497334</v>
      </c>
      <c r="N151" s="8"/>
      <c r="O151" s="8">
        <v>6678091</v>
      </c>
      <c r="P151" s="8"/>
      <c r="Q151" s="8">
        <v>0</v>
      </c>
      <c r="R151" s="8"/>
      <c r="S151" s="8">
        <v>905281</v>
      </c>
      <c r="T151" s="8"/>
      <c r="U151" s="8">
        <v>0</v>
      </c>
      <c r="V151" s="8"/>
      <c r="W151" s="8">
        <v>22927</v>
      </c>
      <c r="X151" s="8"/>
      <c r="Y151" s="8">
        <v>0</v>
      </c>
      <c r="Z151" s="7"/>
      <c r="AA151" s="8">
        <v>0</v>
      </c>
      <c r="AB151" s="7"/>
      <c r="AC151" s="8">
        <f t="shared" si="10"/>
        <v>47484436</v>
      </c>
      <c r="AD151" s="8"/>
      <c r="AE151" s="11">
        <v>0</v>
      </c>
      <c r="AF151" s="11"/>
      <c r="AG151" s="8">
        <v>543975</v>
      </c>
      <c r="AH151" s="8"/>
      <c r="AI151" s="8">
        <v>24934208</v>
      </c>
      <c r="AJ151" s="8"/>
      <c r="AK151" s="8">
        <v>825</v>
      </c>
      <c r="AL151" s="8"/>
      <c r="AM151" s="8">
        <f>+'Gen rev'!U150-'Gen exp'!AC151-AG151+'Gen rev'!W150+AI151+AK151-'Gen Bal'!W151-'Gen exp'!AE151</f>
        <v>0</v>
      </c>
      <c r="AN151" s="7"/>
      <c r="AO151" s="7"/>
      <c r="AP151" s="7"/>
      <c r="AQ151" s="7"/>
    </row>
    <row r="152" spans="1:45" s="12" customFormat="1" ht="12.75" customHeight="1" x14ac:dyDescent="0.2">
      <c r="A152" s="4" t="s">
        <v>164</v>
      </c>
      <c r="C152" s="4" t="s">
        <v>90</v>
      </c>
      <c r="E152" s="8">
        <v>665419</v>
      </c>
      <c r="F152" s="8"/>
      <c r="G152" s="8">
        <v>782908</v>
      </c>
      <c r="H152" s="8"/>
      <c r="I152" s="8">
        <v>0</v>
      </c>
      <c r="J152" s="8"/>
      <c r="K152" s="8">
        <v>57773</v>
      </c>
      <c r="L152" s="8"/>
      <c r="M152" s="8">
        <v>201036</v>
      </c>
      <c r="N152" s="8"/>
      <c r="O152" s="8">
        <v>47642</v>
      </c>
      <c r="P152" s="8"/>
      <c r="Q152" s="8">
        <v>383378</v>
      </c>
      <c r="R152" s="8"/>
      <c r="S152" s="8">
        <v>107890</v>
      </c>
      <c r="T152" s="8"/>
      <c r="U152" s="8">
        <v>0</v>
      </c>
      <c r="V152" s="8"/>
      <c r="W152" s="8">
        <v>2491</v>
      </c>
      <c r="X152" s="8"/>
      <c r="Y152" s="8">
        <v>2970</v>
      </c>
      <c r="Z152" s="7"/>
      <c r="AA152" s="8">
        <v>0</v>
      </c>
      <c r="AB152" s="7"/>
      <c r="AC152" s="8">
        <f t="shared" si="10"/>
        <v>2251507</v>
      </c>
      <c r="AD152" s="8"/>
      <c r="AE152" s="11">
        <v>0</v>
      </c>
      <c r="AF152" s="11"/>
      <c r="AG152" s="8">
        <v>6000</v>
      </c>
      <c r="AH152" s="8"/>
      <c r="AI152" s="8">
        <v>294422</v>
      </c>
      <c r="AJ152" s="8"/>
      <c r="AK152" s="8">
        <v>0</v>
      </c>
      <c r="AL152" s="8"/>
      <c r="AM152" s="8">
        <f>+'Gen rev'!U151-'Gen exp'!AC152-AG152+'Gen rev'!W151+AI152+AK152-'Gen Bal'!W152-'Gen exp'!AE152</f>
        <v>0</v>
      </c>
      <c r="AN152" s="7"/>
      <c r="AO152" s="7"/>
      <c r="AP152" s="7"/>
      <c r="AQ152" s="7"/>
    </row>
    <row r="153" spans="1:45" s="12" customFormat="1" ht="12.75" customHeight="1" x14ac:dyDescent="0.2">
      <c r="A153" s="4" t="s">
        <v>165</v>
      </c>
      <c r="C153" s="4" t="s">
        <v>64</v>
      </c>
      <c r="E153" s="8">
        <v>4620574</v>
      </c>
      <c r="F153" s="8"/>
      <c r="G153" s="8">
        <v>7736365</v>
      </c>
      <c r="H153" s="8"/>
      <c r="I153" s="8">
        <v>1027211</v>
      </c>
      <c r="J153" s="8"/>
      <c r="K153" s="8">
        <v>9052</v>
      </c>
      <c r="L153" s="8"/>
      <c r="M153" s="8">
        <v>124766</v>
      </c>
      <c r="N153" s="8"/>
      <c r="O153" s="8">
        <v>2281841</v>
      </c>
      <c r="P153" s="8"/>
      <c r="Q153" s="8">
        <v>1229390</v>
      </c>
      <c r="R153" s="8"/>
      <c r="S153" s="8">
        <v>10337</v>
      </c>
      <c r="T153" s="8"/>
      <c r="U153" s="8">
        <v>0</v>
      </c>
      <c r="V153" s="8"/>
      <c r="W153" s="8">
        <v>0</v>
      </c>
      <c r="X153" s="8"/>
      <c r="Y153" s="8">
        <v>26283</v>
      </c>
      <c r="Z153" s="7"/>
      <c r="AA153" s="8">
        <v>104491</v>
      </c>
      <c r="AB153" s="7"/>
      <c r="AC153" s="8">
        <f t="shared" si="10"/>
        <v>17170310</v>
      </c>
      <c r="AD153" s="8"/>
      <c r="AE153" s="11">
        <v>0</v>
      </c>
      <c r="AF153" s="11"/>
      <c r="AG153" s="8">
        <v>1079248</v>
      </c>
      <c r="AH153" s="8"/>
      <c r="AI153" s="8">
        <v>6740314</v>
      </c>
      <c r="AJ153" s="8"/>
      <c r="AK153" s="8">
        <v>0</v>
      </c>
      <c r="AL153" s="8"/>
      <c r="AM153" s="8">
        <f>+'Gen rev'!U152-'Gen exp'!AC153-AG153+'Gen rev'!W152+AI153+AK153-'Gen Bal'!W153-'Gen exp'!AE153</f>
        <v>0</v>
      </c>
      <c r="AN153" s="7"/>
      <c r="AO153" s="7"/>
      <c r="AP153" s="7"/>
      <c r="AQ153" s="7"/>
    </row>
    <row r="154" spans="1:45" s="12" customFormat="1" ht="12.75" customHeight="1" x14ac:dyDescent="0.2">
      <c r="A154" s="7" t="s">
        <v>166</v>
      </c>
      <c r="C154" s="7" t="s">
        <v>25</v>
      </c>
      <c r="E154" s="8">
        <v>6685504</v>
      </c>
      <c r="F154" s="8"/>
      <c r="G154" s="8">
        <f>4618234+3375053+60051</f>
        <v>8053338</v>
      </c>
      <c r="H154" s="8"/>
      <c r="I154" s="8">
        <f>546761+323904</f>
        <v>870665</v>
      </c>
      <c r="J154" s="8"/>
      <c r="K154" s="8">
        <v>140235</v>
      </c>
      <c r="L154" s="8"/>
      <c r="M154" s="8">
        <v>0</v>
      </c>
      <c r="N154" s="8"/>
      <c r="O154" s="8">
        <v>0</v>
      </c>
      <c r="P154" s="8"/>
      <c r="Q154" s="8">
        <v>1075455</v>
      </c>
      <c r="R154" s="8"/>
      <c r="S154" s="8">
        <v>0</v>
      </c>
      <c r="T154" s="8"/>
      <c r="U154" s="8">
        <v>0</v>
      </c>
      <c r="V154" s="8"/>
      <c r="W154" s="8">
        <v>0</v>
      </c>
      <c r="X154" s="8"/>
      <c r="Y154" s="8">
        <v>0</v>
      </c>
      <c r="Z154" s="7"/>
      <c r="AA154" s="8">
        <v>0</v>
      </c>
      <c r="AB154" s="7"/>
      <c r="AC154" s="8">
        <f t="shared" si="10"/>
        <v>16825197</v>
      </c>
      <c r="AD154" s="8"/>
      <c r="AE154" s="11">
        <v>0</v>
      </c>
      <c r="AF154" s="11"/>
      <c r="AG154" s="8">
        <v>925000</v>
      </c>
      <c r="AH154" s="8"/>
      <c r="AI154" s="8">
        <v>5073654</v>
      </c>
      <c r="AJ154" s="8"/>
      <c r="AK154" s="8">
        <v>0</v>
      </c>
      <c r="AL154" s="8"/>
      <c r="AM154" s="8">
        <f>+'Gen rev'!U153-'Gen exp'!AC154-AG154+'Gen rev'!W153+AI154+AK154-'Gen Bal'!W154-'Gen exp'!AE154</f>
        <v>0</v>
      </c>
      <c r="AN154" s="8"/>
      <c r="AO154" s="8"/>
      <c r="AP154" s="8"/>
      <c r="AQ154" s="8"/>
      <c r="AR154" s="15"/>
      <c r="AS154" s="13"/>
    </row>
    <row r="155" spans="1:45" s="12" customFormat="1" ht="12.75" customHeight="1" x14ac:dyDescent="0.2">
      <c r="A155" s="4" t="s">
        <v>167</v>
      </c>
      <c r="C155" s="4" t="s">
        <v>101</v>
      </c>
      <c r="E155" s="8">
        <v>3603225</v>
      </c>
      <c r="F155" s="8"/>
      <c r="G155" s="8">
        <v>18410705</v>
      </c>
      <c r="H155" s="8"/>
      <c r="I155" s="8">
        <v>1743069</v>
      </c>
      <c r="J155" s="8"/>
      <c r="K155" s="8">
        <v>141042</v>
      </c>
      <c r="L155" s="8"/>
      <c r="M155" s="8">
        <v>0</v>
      </c>
      <c r="N155" s="8"/>
      <c r="O155" s="8">
        <v>883800</v>
      </c>
      <c r="P155" s="8"/>
      <c r="Q155" s="8">
        <v>1295296</v>
      </c>
      <c r="R155" s="8"/>
      <c r="S155" s="8">
        <v>0</v>
      </c>
      <c r="T155" s="8"/>
      <c r="U155" s="8">
        <v>0</v>
      </c>
      <c r="V155" s="8"/>
      <c r="W155" s="8">
        <v>0</v>
      </c>
      <c r="X155" s="8"/>
      <c r="Y155" s="8">
        <v>0</v>
      </c>
      <c r="Z155" s="7"/>
      <c r="AA155" s="8">
        <v>0</v>
      </c>
      <c r="AB155" s="7"/>
      <c r="AC155" s="8">
        <f t="shared" si="10"/>
        <v>26077137</v>
      </c>
      <c r="AD155" s="8"/>
      <c r="AE155" s="11">
        <v>0</v>
      </c>
      <c r="AF155" s="11"/>
      <c r="AG155" s="8">
        <v>99000</v>
      </c>
      <c r="AH155" s="8"/>
      <c r="AI155" s="8">
        <v>11835685</v>
      </c>
      <c r="AJ155" s="8"/>
      <c r="AK155" s="8">
        <v>0</v>
      </c>
      <c r="AL155" s="8"/>
      <c r="AM155" s="8">
        <f>+'Gen rev'!U154-'Gen exp'!AC155-AG155+'Gen rev'!W154+AI155+AK155-'Gen Bal'!W155-'Gen exp'!AE155</f>
        <v>0</v>
      </c>
      <c r="AN155" s="7"/>
      <c r="AO155" s="7"/>
      <c r="AP155" s="7"/>
      <c r="AQ155" s="7"/>
    </row>
    <row r="156" spans="1:45" s="12" customFormat="1" ht="12.75" customHeight="1" x14ac:dyDescent="0.2">
      <c r="A156" s="4" t="s">
        <v>168</v>
      </c>
      <c r="C156" s="4" t="s">
        <v>169</v>
      </c>
      <c r="E156" s="8">
        <v>1066114</v>
      </c>
      <c r="F156" s="8"/>
      <c r="G156" s="8">
        <v>2109283</v>
      </c>
      <c r="H156" s="8"/>
      <c r="I156" s="8">
        <v>0</v>
      </c>
      <c r="J156" s="8"/>
      <c r="K156" s="8">
        <v>277565</v>
      </c>
      <c r="L156" s="8"/>
      <c r="M156" s="8">
        <v>355456</v>
      </c>
      <c r="N156" s="8"/>
      <c r="O156" s="8">
        <v>163059</v>
      </c>
      <c r="P156" s="8"/>
      <c r="Q156" s="8">
        <v>0</v>
      </c>
      <c r="R156" s="8"/>
      <c r="S156" s="8">
        <v>0</v>
      </c>
      <c r="T156" s="8"/>
      <c r="U156" s="8">
        <v>30740</v>
      </c>
      <c r="V156" s="8"/>
      <c r="W156" s="8">
        <v>0</v>
      </c>
      <c r="X156" s="8"/>
      <c r="Y156" s="8">
        <v>0</v>
      </c>
      <c r="Z156" s="7"/>
      <c r="AA156" s="8">
        <v>0</v>
      </c>
      <c r="AB156" s="7"/>
      <c r="AC156" s="8">
        <f t="shared" si="10"/>
        <v>4002217</v>
      </c>
      <c r="AD156" s="8"/>
      <c r="AE156" s="11">
        <v>0</v>
      </c>
      <c r="AF156" s="11"/>
      <c r="AG156" s="8">
        <v>322150</v>
      </c>
      <c r="AH156" s="8"/>
      <c r="AI156" s="8">
        <v>3394910</v>
      </c>
      <c r="AJ156" s="8"/>
      <c r="AK156" s="8">
        <v>0</v>
      </c>
      <c r="AL156" s="8"/>
      <c r="AM156" s="8">
        <f>+'Gen rev'!U155-'Gen exp'!AC156-AG156+'Gen rev'!W155+AI156+AK156-'Gen Bal'!W156-'Gen exp'!AE156</f>
        <v>0</v>
      </c>
      <c r="AN156" s="7"/>
      <c r="AO156" s="7"/>
      <c r="AP156" s="7"/>
      <c r="AQ156" s="7"/>
    </row>
    <row r="157" spans="1:45" s="12" customFormat="1" ht="12.75" customHeight="1" x14ac:dyDescent="0.2">
      <c r="A157" s="4" t="s">
        <v>170</v>
      </c>
      <c r="C157" s="4" t="s">
        <v>101</v>
      </c>
      <c r="E157" s="8">
        <v>1811151</v>
      </c>
      <c r="F157" s="8"/>
      <c r="G157" s="8">
        <v>350664</v>
      </c>
      <c r="H157" s="8"/>
      <c r="I157" s="8">
        <v>0</v>
      </c>
      <c r="J157" s="8"/>
      <c r="K157" s="8">
        <v>0</v>
      </c>
      <c r="L157" s="8"/>
      <c r="M157" s="8">
        <v>170724</v>
      </c>
      <c r="N157" s="8"/>
      <c r="O157" s="8">
        <v>190326</v>
      </c>
      <c r="P157" s="8"/>
      <c r="Q157" s="8">
        <v>0</v>
      </c>
      <c r="R157" s="8"/>
      <c r="S157" s="8">
        <v>0</v>
      </c>
      <c r="T157" s="8"/>
      <c r="U157" s="8">
        <v>0</v>
      </c>
      <c r="V157" s="8"/>
      <c r="W157" s="8">
        <v>2768</v>
      </c>
      <c r="X157" s="8"/>
      <c r="Y157" s="8">
        <v>1778</v>
      </c>
      <c r="Z157" s="7"/>
      <c r="AA157" s="8">
        <v>0</v>
      </c>
      <c r="AB157" s="7"/>
      <c r="AC157" s="8">
        <f t="shared" si="10"/>
        <v>2527411</v>
      </c>
      <c r="AD157" s="8"/>
      <c r="AE157" s="11">
        <v>0</v>
      </c>
      <c r="AF157" s="11"/>
      <c r="AG157" s="8">
        <v>5290613</v>
      </c>
      <c r="AH157" s="8"/>
      <c r="AI157" s="8">
        <v>7030844</v>
      </c>
      <c r="AJ157" s="8"/>
      <c r="AK157" s="8">
        <v>0</v>
      </c>
      <c r="AL157" s="8"/>
      <c r="AM157" s="8">
        <f>+'Gen rev'!U156-'Gen exp'!AC157-AG157+'Gen rev'!W156+AI157+AK157-'Gen Bal'!W157-'Gen exp'!AE157</f>
        <v>0</v>
      </c>
      <c r="AN157" s="7"/>
      <c r="AO157" s="7"/>
      <c r="AP157" s="7"/>
      <c r="AQ157" s="7"/>
    </row>
    <row r="158" spans="1:45" s="12" customFormat="1" ht="12.75" customHeight="1" x14ac:dyDescent="0.2">
      <c r="A158" s="4" t="s">
        <v>64</v>
      </c>
      <c r="C158" s="4" t="s">
        <v>43</v>
      </c>
      <c r="E158" s="8">
        <v>2838157</v>
      </c>
      <c r="F158" s="8"/>
      <c r="G158" s="8">
        <v>3012205</v>
      </c>
      <c r="H158" s="8"/>
      <c r="I158" s="8">
        <v>423326</v>
      </c>
      <c r="J158" s="8"/>
      <c r="K158" s="8">
        <v>0</v>
      </c>
      <c r="L158" s="8"/>
      <c r="M158" s="8">
        <v>480276</v>
      </c>
      <c r="N158" s="8"/>
      <c r="O158" s="8">
        <v>955718</v>
      </c>
      <c r="P158" s="8"/>
      <c r="Q158" s="8">
        <v>0</v>
      </c>
      <c r="R158" s="8"/>
      <c r="S158" s="8">
        <v>0</v>
      </c>
      <c r="T158" s="8"/>
      <c r="U158" s="8">
        <v>0</v>
      </c>
      <c r="V158" s="8"/>
      <c r="W158" s="8">
        <v>0</v>
      </c>
      <c r="X158" s="8"/>
      <c r="Y158" s="8">
        <v>0</v>
      </c>
      <c r="Z158" s="7"/>
      <c r="AA158" s="8">
        <v>0</v>
      </c>
      <c r="AB158" s="7"/>
      <c r="AC158" s="8">
        <f t="shared" si="10"/>
        <v>7709682</v>
      </c>
      <c r="AD158" s="8"/>
      <c r="AE158" s="11">
        <v>0</v>
      </c>
      <c r="AF158" s="11"/>
      <c r="AG158" s="8">
        <v>2346811</v>
      </c>
      <c r="AH158" s="8"/>
      <c r="AI158" s="8">
        <v>14987727</v>
      </c>
      <c r="AJ158" s="8"/>
      <c r="AK158" s="8">
        <v>0</v>
      </c>
      <c r="AL158" s="8"/>
      <c r="AM158" s="8">
        <f>+'Gen rev'!U157-'Gen exp'!AC158-AG158+'Gen rev'!W157+AI158+AK158-'Gen Bal'!W158-'Gen exp'!AE158</f>
        <v>0</v>
      </c>
      <c r="AN158" s="7"/>
      <c r="AO158" s="7"/>
      <c r="AP158" s="7"/>
      <c r="AQ158" s="7"/>
    </row>
    <row r="159" spans="1:45" s="12" customFormat="1" ht="12.75" customHeight="1" x14ac:dyDescent="0.2">
      <c r="A159" s="4" t="s">
        <v>171</v>
      </c>
      <c r="C159" s="4" t="s">
        <v>64</v>
      </c>
      <c r="E159" s="8">
        <v>3312314</v>
      </c>
      <c r="F159" s="8"/>
      <c r="G159" s="8">
        <v>6857312</v>
      </c>
      <c r="H159" s="8"/>
      <c r="I159" s="8">
        <v>176732</v>
      </c>
      <c r="J159" s="8"/>
      <c r="K159" s="8">
        <v>206032</v>
      </c>
      <c r="L159" s="8"/>
      <c r="M159" s="8">
        <v>421047</v>
      </c>
      <c r="N159" s="8"/>
      <c r="O159" s="8">
        <v>870458</v>
      </c>
      <c r="P159" s="8"/>
      <c r="Q159" s="8">
        <v>307931</v>
      </c>
      <c r="R159" s="8"/>
      <c r="S159" s="8">
        <v>0</v>
      </c>
      <c r="T159" s="8"/>
      <c r="U159" s="8">
        <v>0</v>
      </c>
      <c r="V159" s="8"/>
      <c r="W159" s="8">
        <v>0</v>
      </c>
      <c r="X159" s="8"/>
      <c r="Y159" s="8">
        <v>0</v>
      </c>
      <c r="Z159" s="7"/>
      <c r="AA159" s="8">
        <v>0</v>
      </c>
      <c r="AB159" s="7"/>
      <c r="AC159" s="8">
        <f t="shared" si="10"/>
        <v>12151826</v>
      </c>
      <c r="AD159" s="8"/>
      <c r="AE159" s="11">
        <v>0</v>
      </c>
      <c r="AF159" s="11"/>
      <c r="AG159" s="8">
        <v>2000000</v>
      </c>
      <c r="AH159" s="8"/>
      <c r="AI159" s="8">
        <v>6065491</v>
      </c>
      <c r="AJ159" s="8"/>
      <c r="AK159" s="8">
        <v>0</v>
      </c>
      <c r="AL159" s="8"/>
      <c r="AM159" s="8">
        <f>+'Gen rev'!U158-'Gen exp'!AC159-AG159+'Gen rev'!W158+AI159+AK159-'Gen Bal'!W159-'Gen exp'!AE159</f>
        <v>0</v>
      </c>
      <c r="AN159" s="7"/>
      <c r="AO159" s="7"/>
      <c r="AP159" s="7"/>
      <c r="AQ159" s="7"/>
    </row>
    <row r="160" spans="1:45" s="12" customFormat="1" ht="12.75" customHeight="1" x14ac:dyDescent="0.2">
      <c r="A160" s="4" t="s">
        <v>172</v>
      </c>
      <c r="C160" s="4" t="s">
        <v>43</v>
      </c>
      <c r="E160" s="8">
        <v>545611</v>
      </c>
      <c r="F160" s="8"/>
      <c r="G160" s="8">
        <v>1197970</v>
      </c>
      <c r="H160" s="8"/>
      <c r="I160" s="8">
        <v>77268</v>
      </c>
      <c r="J160" s="8"/>
      <c r="K160" s="8">
        <v>0</v>
      </c>
      <c r="L160" s="8"/>
      <c r="M160" s="8">
        <f>464524+12138</f>
        <v>476662</v>
      </c>
      <c r="N160" s="8"/>
      <c r="O160" s="8">
        <v>158502</v>
      </c>
      <c r="P160" s="8"/>
      <c r="Q160" s="8">
        <v>0</v>
      </c>
      <c r="R160" s="8"/>
      <c r="S160" s="8">
        <v>34418</v>
      </c>
      <c r="T160" s="8"/>
      <c r="U160" s="8">
        <v>0</v>
      </c>
      <c r="V160" s="8"/>
      <c r="W160" s="8">
        <v>6500</v>
      </c>
      <c r="X160" s="8"/>
      <c r="Y160" s="8">
        <v>95</v>
      </c>
      <c r="Z160" s="7"/>
      <c r="AA160" s="8">
        <v>0</v>
      </c>
      <c r="AB160" s="7"/>
      <c r="AC160" s="8">
        <f t="shared" si="10"/>
        <v>2497026</v>
      </c>
      <c r="AD160" s="8"/>
      <c r="AE160" s="11">
        <v>0</v>
      </c>
      <c r="AF160" s="11"/>
      <c r="AG160" s="8">
        <v>230200</v>
      </c>
      <c r="AH160" s="8"/>
      <c r="AI160" s="8">
        <v>257733</v>
      </c>
      <c r="AJ160" s="8"/>
      <c r="AK160" s="8">
        <v>0</v>
      </c>
      <c r="AL160" s="8"/>
      <c r="AM160" s="8">
        <f>+'Gen rev'!U159-'Gen exp'!AC160-AG160+'Gen rev'!W159+AI160+AK160-'Gen Bal'!W160-'Gen exp'!AE160</f>
        <v>0</v>
      </c>
      <c r="AN160" s="7"/>
      <c r="AO160" s="7"/>
      <c r="AP160" s="7"/>
      <c r="AQ160" s="7"/>
    </row>
    <row r="161" spans="1:45" s="12" customFormat="1" ht="12.75" customHeight="1" x14ac:dyDescent="0.2">
      <c r="A161" s="4" t="s">
        <v>173</v>
      </c>
      <c r="C161" s="4" t="s">
        <v>174</v>
      </c>
      <c r="E161" s="8">
        <v>5438937</v>
      </c>
      <c r="F161" s="8"/>
      <c r="G161" s="8">
        <v>4934315</v>
      </c>
      <c r="H161" s="8"/>
      <c r="I161" s="8">
        <v>29224</v>
      </c>
      <c r="J161" s="8"/>
      <c r="K161" s="8">
        <v>409588</v>
      </c>
      <c r="L161" s="8"/>
      <c r="M161" s="8">
        <v>29871</v>
      </c>
      <c r="N161" s="8"/>
      <c r="O161" s="8">
        <v>670139</v>
      </c>
      <c r="P161" s="8"/>
      <c r="Q161" s="8">
        <v>0</v>
      </c>
      <c r="R161" s="8"/>
      <c r="S161" s="8">
        <v>0</v>
      </c>
      <c r="T161" s="8"/>
      <c r="U161" s="8">
        <v>0</v>
      </c>
      <c r="V161" s="8"/>
      <c r="W161" s="8">
        <v>17369</v>
      </c>
      <c r="X161" s="8"/>
      <c r="Y161" s="8">
        <v>10506</v>
      </c>
      <c r="Z161" s="7"/>
      <c r="AA161" s="8">
        <v>0</v>
      </c>
      <c r="AB161" s="7"/>
      <c r="AC161" s="8">
        <f t="shared" si="10"/>
        <v>11539949</v>
      </c>
      <c r="AD161" s="8"/>
      <c r="AE161" s="11">
        <v>0</v>
      </c>
      <c r="AF161" s="11"/>
      <c r="AG161" s="8">
        <v>931594</v>
      </c>
      <c r="AH161" s="8"/>
      <c r="AI161" s="8">
        <v>4704223</v>
      </c>
      <c r="AJ161" s="8"/>
      <c r="AK161" s="8">
        <v>-63</v>
      </c>
      <c r="AL161" s="8"/>
      <c r="AM161" s="8">
        <f>+'Gen rev'!U160-'Gen exp'!AC161-AG161+'Gen rev'!W160+AI161+AK161-'Gen Bal'!W161-'Gen exp'!AE161</f>
        <v>0</v>
      </c>
      <c r="AN161" s="7"/>
      <c r="AO161" s="7"/>
      <c r="AP161" s="7"/>
      <c r="AQ161" s="7"/>
    </row>
    <row r="162" spans="1:45" s="12" customFormat="1" ht="12.75" customHeight="1" x14ac:dyDescent="0.2">
      <c r="A162" s="4" t="s">
        <v>175</v>
      </c>
      <c r="C162" s="4" t="s">
        <v>11</v>
      </c>
      <c r="E162" s="8">
        <v>631838</v>
      </c>
      <c r="F162" s="8"/>
      <c r="G162" s="8">
        <v>1025834</v>
      </c>
      <c r="H162" s="8"/>
      <c r="I162" s="8">
        <v>0</v>
      </c>
      <c r="J162" s="8"/>
      <c r="K162" s="8">
        <v>39527</v>
      </c>
      <c r="L162" s="8"/>
      <c r="M162" s="8">
        <v>94964</v>
      </c>
      <c r="N162" s="8"/>
      <c r="O162" s="8">
        <v>41349</v>
      </c>
      <c r="P162" s="8"/>
      <c r="Q162" s="8">
        <v>0</v>
      </c>
      <c r="R162" s="8"/>
      <c r="S162" s="8">
        <v>0</v>
      </c>
      <c r="T162" s="8"/>
      <c r="U162" s="8">
        <v>0</v>
      </c>
      <c r="V162" s="8"/>
      <c r="W162" s="8">
        <v>0</v>
      </c>
      <c r="X162" s="8"/>
      <c r="Y162" s="8">
        <v>0</v>
      </c>
      <c r="Z162" s="7"/>
      <c r="AA162" s="8">
        <v>0</v>
      </c>
      <c r="AB162" s="7"/>
      <c r="AC162" s="8">
        <f t="shared" si="10"/>
        <v>1833512</v>
      </c>
      <c r="AD162" s="8"/>
      <c r="AE162" s="11">
        <v>0</v>
      </c>
      <c r="AF162" s="11"/>
      <c r="AG162" s="8">
        <v>0</v>
      </c>
      <c r="AH162" s="8"/>
      <c r="AI162" s="8">
        <v>2087991</v>
      </c>
      <c r="AJ162" s="8"/>
      <c r="AK162" s="8">
        <v>0</v>
      </c>
      <c r="AL162" s="8"/>
      <c r="AM162" s="8">
        <f>+'Gen rev'!U161-'Gen exp'!AC162-AG162+'Gen rev'!W161+AI162+AK162-'Gen Bal'!W162-'Gen exp'!AE162</f>
        <v>0</v>
      </c>
      <c r="AN162" s="7"/>
      <c r="AO162" s="7"/>
      <c r="AP162" s="7"/>
      <c r="AQ162" s="7"/>
      <c r="AR162" s="15"/>
      <c r="AS162" s="13"/>
    </row>
    <row r="163" spans="1:45" s="12" customFormat="1" ht="12.75" customHeight="1" x14ac:dyDescent="0.2">
      <c r="A163" s="4" t="s">
        <v>176</v>
      </c>
      <c r="C163" s="4" t="s">
        <v>177</v>
      </c>
      <c r="E163" s="8">
        <v>943516</v>
      </c>
      <c r="F163" s="8"/>
      <c r="G163" s="8">
        <v>2634893</v>
      </c>
      <c r="H163" s="8"/>
      <c r="I163" s="8">
        <v>145093</v>
      </c>
      <c r="J163" s="8"/>
      <c r="K163" s="8">
        <v>98178</v>
      </c>
      <c r="L163" s="8"/>
      <c r="M163" s="8">
        <v>0</v>
      </c>
      <c r="N163" s="8"/>
      <c r="O163" s="8">
        <v>0</v>
      </c>
      <c r="P163" s="8"/>
      <c r="Q163" s="8">
        <v>0</v>
      </c>
      <c r="R163" s="8"/>
      <c r="S163" s="8">
        <v>0</v>
      </c>
      <c r="T163" s="8"/>
      <c r="U163" s="8">
        <v>0</v>
      </c>
      <c r="V163" s="8"/>
      <c r="W163" s="8">
        <v>0</v>
      </c>
      <c r="X163" s="8"/>
      <c r="Y163" s="8">
        <v>0</v>
      </c>
      <c r="Z163" s="7"/>
      <c r="AA163" s="8">
        <v>0</v>
      </c>
      <c r="AB163" s="7"/>
      <c r="AC163" s="8">
        <f t="shared" si="10"/>
        <v>3821680</v>
      </c>
      <c r="AD163" s="8"/>
      <c r="AE163" s="11">
        <v>0</v>
      </c>
      <c r="AF163" s="11"/>
      <c r="AG163" s="8">
        <v>1824546</v>
      </c>
      <c r="AH163" s="8"/>
      <c r="AI163" s="8">
        <v>1951907</v>
      </c>
      <c r="AJ163" s="8"/>
      <c r="AK163" s="8">
        <v>219</v>
      </c>
      <c r="AL163" s="8"/>
      <c r="AM163" s="8">
        <f>+'Gen rev'!U162-'Gen exp'!AC163-AG163+'Gen rev'!W162+AI163+AK163-'Gen Bal'!W163-'Gen exp'!AE163</f>
        <v>0</v>
      </c>
      <c r="AN163" s="8"/>
      <c r="AO163" s="8"/>
      <c r="AP163" s="8"/>
      <c r="AQ163" s="8"/>
      <c r="AR163" s="15"/>
      <c r="AS163" s="13"/>
    </row>
    <row r="164" spans="1:45" s="12" customFormat="1" ht="12.75" customHeight="1" x14ac:dyDescent="0.2">
      <c r="A164" s="4" t="s">
        <v>178</v>
      </c>
      <c r="C164" s="4" t="s">
        <v>18</v>
      </c>
      <c r="E164" s="8">
        <v>529094</v>
      </c>
      <c r="F164" s="8"/>
      <c r="G164" s="8">
        <f>883825+395275</f>
        <v>1279100</v>
      </c>
      <c r="H164" s="8"/>
      <c r="I164" s="8">
        <v>0</v>
      </c>
      <c r="J164" s="8"/>
      <c r="K164" s="8">
        <v>0</v>
      </c>
      <c r="L164" s="8"/>
      <c r="M164" s="8">
        <v>76773</v>
      </c>
      <c r="N164" s="8"/>
      <c r="O164" s="8">
        <v>0</v>
      </c>
      <c r="P164" s="8"/>
      <c r="Q164" s="8">
        <v>0</v>
      </c>
      <c r="R164" s="8"/>
      <c r="S164" s="8">
        <v>0</v>
      </c>
      <c r="T164" s="8"/>
      <c r="U164" s="8">
        <v>0</v>
      </c>
      <c r="V164" s="8"/>
      <c r="W164" s="8">
        <v>0</v>
      </c>
      <c r="X164" s="8"/>
      <c r="Y164" s="8">
        <v>0</v>
      </c>
      <c r="Z164" s="7"/>
      <c r="AA164" s="8">
        <v>0</v>
      </c>
      <c r="AB164" s="7"/>
      <c r="AC164" s="8">
        <f t="shared" si="10"/>
        <v>1884967</v>
      </c>
      <c r="AD164" s="8"/>
      <c r="AE164" s="11">
        <v>0</v>
      </c>
      <c r="AF164" s="11"/>
      <c r="AG164" s="8">
        <v>0</v>
      </c>
      <c r="AH164" s="8"/>
      <c r="AI164" s="8">
        <v>1504038</v>
      </c>
      <c r="AJ164" s="8"/>
      <c r="AK164" s="8">
        <v>0</v>
      </c>
      <c r="AL164" s="8"/>
      <c r="AM164" s="8">
        <f>+'Gen rev'!U163-'Gen exp'!AC164-AG164+'Gen rev'!W163+AI164+AK164-'Gen Bal'!W164-'Gen exp'!AE164</f>
        <v>0</v>
      </c>
      <c r="AN164" s="7"/>
      <c r="AO164" s="7"/>
      <c r="AP164" s="7"/>
      <c r="AQ164" s="7"/>
    </row>
    <row r="165" spans="1:45" s="12" customFormat="1" ht="12.75" customHeight="1" x14ac:dyDescent="0.2">
      <c r="A165" s="7" t="s">
        <v>495</v>
      </c>
      <c r="B165" s="10"/>
      <c r="C165" s="7" t="s">
        <v>41</v>
      </c>
      <c r="E165" s="8">
        <v>3641358</v>
      </c>
      <c r="F165" s="8"/>
      <c r="G165" s="8">
        <v>2918259</v>
      </c>
      <c r="H165" s="8"/>
      <c r="I165" s="8">
        <v>1586083</v>
      </c>
      <c r="J165" s="8"/>
      <c r="K165" s="8">
        <v>0</v>
      </c>
      <c r="L165" s="8"/>
      <c r="M165" s="8">
        <v>2041081</v>
      </c>
      <c r="N165" s="8"/>
      <c r="O165" s="8">
        <v>0</v>
      </c>
      <c r="P165" s="8"/>
      <c r="Q165" s="8">
        <v>0</v>
      </c>
      <c r="R165" s="8"/>
      <c r="S165" s="8">
        <v>195177</v>
      </c>
      <c r="T165" s="8"/>
      <c r="U165" s="8">
        <v>0</v>
      </c>
      <c r="V165" s="8"/>
      <c r="W165" s="8">
        <v>24128</v>
      </c>
      <c r="X165" s="8"/>
      <c r="Y165" s="8">
        <v>3777</v>
      </c>
      <c r="Z165" s="7"/>
      <c r="AA165" s="8">
        <v>0</v>
      </c>
      <c r="AB165" s="7"/>
      <c r="AC165" s="8">
        <f t="shared" si="10"/>
        <v>10409863</v>
      </c>
      <c r="AD165" s="8"/>
      <c r="AE165" s="11">
        <v>0</v>
      </c>
      <c r="AF165" s="11"/>
      <c r="AG165" s="8">
        <v>2117699</v>
      </c>
      <c r="AH165" s="8"/>
      <c r="AI165" s="8">
        <v>9799667</v>
      </c>
      <c r="AJ165" s="8"/>
      <c r="AK165" s="8">
        <v>0</v>
      </c>
      <c r="AL165" s="8"/>
      <c r="AM165" s="8">
        <f>+'Gen rev'!U164-'Gen exp'!AC165-AG165+'Gen rev'!W164+AI165+AK165-'Gen Bal'!W165-'Gen exp'!AE165</f>
        <v>0</v>
      </c>
      <c r="AN165" s="7"/>
      <c r="AO165" s="7"/>
      <c r="AP165" s="7"/>
      <c r="AQ165" s="7"/>
    </row>
    <row r="166" spans="1:45" s="12" customFormat="1" ht="12.75" customHeight="1" x14ac:dyDescent="0.2">
      <c r="A166" s="4" t="s">
        <v>180</v>
      </c>
      <c r="C166" s="4" t="s">
        <v>181</v>
      </c>
      <c r="E166" s="8">
        <v>687243</v>
      </c>
      <c r="F166" s="8"/>
      <c r="G166" s="8">
        <v>389583</v>
      </c>
      <c r="H166" s="8"/>
      <c r="I166" s="8">
        <v>36690</v>
      </c>
      <c r="J166" s="8"/>
      <c r="K166" s="8">
        <v>0</v>
      </c>
      <c r="L166" s="8"/>
      <c r="M166" s="8">
        <v>0</v>
      </c>
      <c r="N166" s="8"/>
      <c r="O166" s="8">
        <v>70710</v>
      </c>
      <c r="P166" s="8"/>
      <c r="Q166" s="8">
        <v>0</v>
      </c>
      <c r="R166" s="8"/>
      <c r="S166" s="8">
        <v>11557</v>
      </c>
      <c r="T166" s="8"/>
      <c r="U166" s="8">
        <v>0</v>
      </c>
      <c r="V166" s="8"/>
      <c r="W166" s="8">
        <v>0</v>
      </c>
      <c r="X166" s="8"/>
      <c r="Y166" s="8">
        <v>0</v>
      </c>
      <c r="Z166" s="7"/>
      <c r="AA166" s="8">
        <v>0</v>
      </c>
      <c r="AB166" s="7"/>
      <c r="AC166" s="8">
        <f t="shared" si="10"/>
        <v>1195783</v>
      </c>
      <c r="AD166" s="8"/>
      <c r="AE166" s="11">
        <v>0</v>
      </c>
      <c r="AF166" s="11"/>
      <c r="AG166" s="8">
        <v>231310</v>
      </c>
      <c r="AH166" s="8"/>
      <c r="AI166" s="8">
        <v>363041</v>
      </c>
      <c r="AJ166" s="8"/>
      <c r="AK166" s="8">
        <v>0</v>
      </c>
      <c r="AL166" s="8"/>
      <c r="AM166" s="8">
        <f>+'Gen rev'!U165-'Gen exp'!AC166-AG166+'Gen rev'!W165+AI166+AK166-'Gen Bal'!W166-'Gen exp'!AE166</f>
        <v>0</v>
      </c>
      <c r="AN166" s="7"/>
      <c r="AO166" s="7"/>
      <c r="AP166" s="7"/>
      <c r="AQ166" s="7"/>
    </row>
    <row r="167" spans="1:45" s="12" customFormat="1" ht="12.75" customHeight="1" x14ac:dyDescent="0.2">
      <c r="A167" s="4" t="s">
        <v>481</v>
      </c>
      <c r="C167" s="4" t="s">
        <v>11</v>
      </c>
      <c r="E167" s="8">
        <v>791567</v>
      </c>
      <c r="F167" s="8"/>
      <c r="G167" s="8">
        <v>356662</v>
      </c>
      <c r="H167" s="8"/>
      <c r="I167" s="8">
        <v>115800</v>
      </c>
      <c r="J167" s="8"/>
      <c r="K167" s="8">
        <v>110353</v>
      </c>
      <c r="L167" s="8"/>
      <c r="M167" s="8">
        <v>73797</v>
      </c>
      <c r="N167" s="8"/>
      <c r="O167" s="8">
        <v>49224</v>
      </c>
      <c r="P167" s="8"/>
      <c r="Q167" s="8">
        <v>0</v>
      </c>
      <c r="R167" s="8"/>
      <c r="S167" s="8">
        <v>64727</v>
      </c>
      <c r="T167" s="8"/>
      <c r="U167" s="8">
        <v>0</v>
      </c>
      <c r="V167" s="8"/>
      <c r="W167" s="8">
        <v>0</v>
      </c>
      <c r="X167" s="8"/>
      <c r="Y167" s="8">
        <v>0</v>
      </c>
      <c r="Z167" s="7"/>
      <c r="AA167" s="8">
        <v>0</v>
      </c>
      <c r="AB167" s="7"/>
      <c r="AC167" s="8">
        <f t="shared" si="10"/>
        <v>1562130</v>
      </c>
      <c r="AD167" s="8"/>
      <c r="AE167" s="11">
        <v>0</v>
      </c>
      <c r="AF167" s="11"/>
      <c r="AG167" s="8">
        <v>700000</v>
      </c>
      <c r="AH167" s="8"/>
      <c r="AI167" s="8">
        <v>1160482</v>
      </c>
      <c r="AJ167" s="8"/>
      <c r="AK167" s="8">
        <v>0</v>
      </c>
      <c r="AL167" s="8"/>
      <c r="AM167" s="8">
        <f>+'Gen rev'!U166-'Gen exp'!AC167-AG167+'Gen rev'!W166+AI167+AK167-'Gen Bal'!W167-'Gen exp'!AE167</f>
        <v>0</v>
      </c>
      <c r="AN167" s="8"/>
      <c r="AO167" s="8"/>
      <c r="AP167" s="8"/>
      <c r="AQ167" s="8"/>
      <c r="AR167" s="15"/>
      <c r="AS167" s="13"/>
    </row>
    <row r="168" spans="1:45" s="12" customFormat="1" ht="12.75" customHeight="1" x14ac:dyDescent="0.2">
      <c r="A168" s="4"/>
      <c r="C168" s="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7"/>
      <c r="AA168" s="8"/>
      <c r="AB168" s="7"/>
      <c r="AC168" s="8"/>
      <c r="AD168" s="8"/>
      <c r="AE168" s="11"/>
      <c r="AF168" s="11"/>
      <c r="AG168" s="11" t="s">
        <v>478</v>
      </c>
      <c r="AH168" s="8"/>
      <c r="AI168" s="8"/>
      <c r="AJ168" s="8"/>
      <c r="AK168" s="8"/>
      <c r="AL168" s="8"/>
      <c r="AM168" s="8"/>
      <c r="AN168" s="7"/>
      <c r="AO168" s="7"/>
      <c r="AP168" s="7"/>
      <c r="AQ168" s="7"/>
    </row>
    <row r="169" spans="1:45" s="12" customFormat="1" ht="12.75" customHeight="1" x14ac:dyDescent="0.2">
      <c r="A169" s="4" t="s">
        <v>182</v>
      </c>
      <c r="C169" s="4" t="s">
        <v>87</v>
      </c>
      <c r="E169" s="40">
        <v>2683978</v>
      </c>
      <c r="F169" s="40"/>
      <c r="G169" s="40">
        <v>1686255</v>
      </c>
      <c r="H169" s="40"/>
      <c r="I169" s="40">
        <v>0</v>
      </c>
      <c r="J169" s="40"/>
      <c r="K169" s="40">
        <v>288770</v>
      </c>
      <c r="L169" s="40"/>
      <c r="M169" s="40">
        <v>58783</v>
      </c>
      <c r="N169" s="40"/>
      <c r="O169" s="40">
        <v>763350</v>
      </c>
      <c r="P169" s="40"/>
      <c r="Q169" s="40">
        <v>0</v>
      </c>
      <c r="R169" s="40"/>
      <c r="S169" s="40">
        <v>204588</v>
      </c>
      <c r="T169" s="40"/>
      <c r="U169" s="40">
        <v>0</v>
      </c>
      <c r="V169" s="40"/>
      <c r="W169" s="40">
        <v>39159</v>
      </c>
      <c r="X169" s="40"/>
      <c r="Y169" s="40">
        <v>1826</v>
      </c>
      <c r="Z169" s="9"/>
      <c r="AA169" s="40">
        <v>0</v>
      </c>
      <c r="AB169" s="9"/>
      <c r="AC169" s="40">
        <f t="shared" ref="AC169:AC185" si="11">SUM(E169:AA169)</f>
        <v>5726709</v>
      </c>
      <c r="AD169" s="40"/>
      <c r="AE169" s="22">
        <v>0</v>
      </c>
      <c r="AF169" s="22"/>
      <c r="AG169" s="40">
        <v>13160</v>
      </c>
      <c r="AH169" s="8"/>
      <c r="AI169" s="8">
        <v>1837564</v>
      </c>
      <c r="AJ169" s="8"/>
      <c r="AK169" s="8">
        <v>0</v>
      </c>
      <c r="AL169" s="8"/>
      <c r="AM169" s="8">
        <f>+'Gen rev'!U168-'Gen exp'!AC169-AG169+'Gen rev'!W168+AI169+AK169-'Gen Bal'!W169-'Gen exp'!AE169</f>
        <v>0</v>
      </c>
      <c r="AN169" s="8"/>
      <c r="AO169" s="8"/>
      <c r="AP169" s="8"/>
      <c r="AQ169" s="8"/>
      <c r="AR169" s="15"/>
      <c r="AS169" s="13"/>
    </row>
    <row r="170" spans="1:45" s="12" customFormat="1" ht="12.75" customHeight="1" x14ac:dyDescent="0.2">
      <c r="A170" s="4" t="s">
        <v>179</v>
      </c>
      <c r="C170" s="4" t="s">
        <v>123</v>
      </c>
      <c r="E170" s="8">
        <v>9449108</v>
      </c>
      <c r="F170" s="8"/>
      <c r="G170" s="8">
        <v>16554722</v>
      </c>
      <c r="H170" s="8"/>
      <c r="I170" s="8">
        <v>201950</v>
      </c>
      <c r="J170" s="8"/>
      <c r="K170" s="8">
        <v>0</v>
      </c>
      <c r="L170" s="8"/>
      <c r="M170" s="8">
        <v>0</v>
      </c>
      <c r="N170" s="8"/>
      <c r="O170" s="8">
        <v>652138</v>
      </c>
      <c r="P170" s="8"/>
      <c r="Q170" s="8">
        <v>0</v>
      </c>
      <c r="R170" s="8"/>
      <c r="S170" s="8">
        <v>0</v>
      </c>
      <c r="T170" s="8"/>
      <c r="U170" s="8">
        <v>0</v>
      </c>
      <c r="V170" s="8"/>
      <c r="W170" s="8">
        <v>0</v>
      </c>
      <c r="X170" s="8"/>
      <c r="Y170" s="8">
        <v>0</v>
      </c>
      <c r="Z170" s="7"/>
      <c r="AA170" s="8">
        <v>0</v>
      </c>
      <c r="AB170" s="7"/>
      <c r="AC170" s="8">
        <f t="shared" si="11"/>
        <v>26857918</v>
      </c>
      <c r="AD170" s="8"/>
      <c r="AE170" s="11">
        <v>0</v>
      </c>
      <c r="AF170" s="11"/>
      <c r="AG170" s="8">
        <v>2780921</v>
      </c>
      <c r="AH170" s="8"/>
      <c r="AI170" s="8">
        <v>4402961</v>
      </c>
      <c r="AJ170" s="8"/>
      <c r="AK170" s="8">
        <v>-2071</v>
      </c>
      <c r="AL170" s="8"/>
      <c r="AM170" s="8">
        <f>+'Gen rev'!U169-'Gen exp'!AC170-AG170+'Gen rev'!W169+AI170+AK170-'Gen Bal'!W170-'Gen exp'!AE170</f>
        <v>0</v>
      </c>
      <c r="AN170" s="8"/>
      <c r="AO170" s="8"/>
      <c r="AP170" s="8"/>
      <c r="AQ170" s="8"/>
      <c r="AR170" s="15"/>
      <c r="AS170" s="13"/>
    </row>
    <row r="171" spans="1:45" s="12" customFormat="1" ht="12.75" customHeight="1" x14ac:dyDescent="0.2">
      <c r="A171" s="4" t="s">
        <v>183</v>
      </c>
      <c r="C171" s="4" t="s">
        <v>78</v>
      </c>
      <c r="E171" s="8">
        <v>1847921</v>
      </c>
      <c r="F171" s="8"/>
      <c r="G171" s="8">
        <v>356081</v>
      </c>
      <c r="H171" s="8"/>
      <c r="I171" s="8">
        <v>273095</v>
      </c>
      <c r="J171" s="8"/>
      <c r="K171" s="8">
        <v>549587</v>
      </c>
      <c r="L171" s="8"/>
      <c r="M171" s="8">
        <v>606682</v>
      </c>
      <c r="N171" s="8"/>
      <c r="O171" s="8">
        <v>10347</v>
      </c>
      <c r="P171" s="8"/>
      <c r="Q171" s="8">
        <v>156149</v>
      </c>
      <c r="R171" s="8"/>
      <c r="S171" s="8">
        <v>0</v>
      </c>
      <c r="T171" s="8"/>
      <c r="U171" s="8">
        <v>0</v>
      </c>
      <c r="V171" s="8"/>
      <c r="W171" s="8">
        <v>122108</v>
      </c>
      <c r="X171" s="8"/>
      <c r="Y171" s="8">
        <v>115208</v>
      </c>
      <c r="Z171" s="7"/>
      <c r="AA171" s="8">
        <v>0</v>
      </c>
      <c r="AB171" s="7"/>
      <c r="AC171" s="8">
        <f t="shared" si="11"/>
        <v>4037178</v>
      </c>
      <c r="AD171" s="8"/>
      <c r="AE171" s="11">
        <v>0</v>
      </c>
      <c r="AF171" s="11"/>
      <c r="AG171" s="8">
        <v>5805918</v>
      </c>
      <c r="AH171" s="8"/>
      <c r="AI171" s="8">
        <v>9999614</v>
      </c>
      <c r="AJ171" s="8"/>
      <c r="AK171" s="8">
        <v>0</v>
      </c>
      <c r="AL171" s="8"/>
      <c r="AM171" s="8">
        <f>+'Gen rev'!U170-'Gen exp'!AC171-AG171+'Gen rev'!W170+AI171+AK171-'Gen Bal'!W171-'Gen exp'!AE171</f>
        <v>0</v>
      </c>
      <c r="AN171" s="7"/>
      <c r="AO171" s="7"/>
      <c r="AP171" s="7"/>
      <c r="AQ171" s="7"/>
      <c r="AR171" s="15"/>
      <c r="AS171" s="13"/>
    </row>
    <row r="172" spans="1:45" s="12" customFormat="1" ht="12.75" customHeight="1" x14ac:dyDescent="0.2">
      <c r="A172" s="4" t="s">
        <v>184</v>
      </c>
      <c r="C172" s="4" t="s">
        <v>13</v>
      </c>
      <c r="E172" s="8">
        <v>1675343</v>
      </c>
      <c r="F172" s="8"/>
      <c r="G172" s="8">
        <v>3095637</v>
      </c>
      <c r="H172" s="8"/>
      <c r="I172" s="8">
        <v>437425</v>
      </c>
      <c r="J172" s="8"/>
      <c r="K172" s="8">
        <v>102395</v>
      </c>
      <c r="L172" s="8"/>
      <c r="M172" s="8">
        <v>0</v>
      </c>
      <c r="N172" s="8"/>
      <c r="O172" s="8">
        <v>684494</v>
      </c>
      <c r="P172" s="8"/>
      <c r="Q172" s="8">
        <v>9571</v>
      </c>
      <c r="R172" s="8"/>
      <c r="S172" s="8">
        <v>0</v>
      </c>
      <c r="T172" s="8"/>
      <c r="U172" s="8">
        <v>0</v>
      </c>
      <c r="V172" s="8"/>
      <c r="W172" s="8">
        <v>60000</v>
      </c>
      <c r="X172" s="8"/>
      <c r="Y172" s="8">
        <v>29650</v>
      </c>
      <c r="Z172" s="7"/>
      <c r="AA172" s="8">
        <v>0</v>
      </c>
      <c r="AB172" s="7"/>
      <c r="AC172" s="8">
        <f t="shared" si="11"/>
        <v>6094515</v>
      </c>
      <c r="AD172" s="8"/>
      <c r="AE172" s="11">
        <v>0</v>
      </c>
      <c r="AF172" s="11"/>
      <c r="AG172" s="8">
        <v>2557122</v>
      </c>
      <c r="AH172" s="8"/>
      <c r="AI172" s="8">
        <v>4733032</v>
      </c>
      <c r="AJ172" s="8"/>
      <c r="AK172" s="8">
        <v>0</v>
      </c>
      <c r="AL172" s="8"/>
      <c r="AM172" s="8">
        <f>+'Gen rev'!U171-'Gen exp'!AC172-AG172+'Gen rev'!W171+AI172+AK172-'Gen Bal'!W172-'Gen exp'!AE172</f>
        <v>0</v>
      </c>
      <c r="AN172" s="8"/>
      <c r="AO172" s="8"/>
      <c r="AP172" s="8"/>
      <c r="AQ172" s="8"/>
      <c r="AR172" s="15"/>
      <c r="AS172" s="13"/>
    </row>
    <row r="173" spans="1:45" s="7" customFormat="1" ht="12.75" customHeight="1" x14ac:dyDescent="0.2">
      <c r="A173" s="6" t="s">
        <v>185</v>
      </c>
      <c r="C173" s="6" t="s">
        <v>25</v>
      </c>
      <c r="E173" s="8">
        <v>3213019</v>
      </c>
      <c r="F173" s="8"/>
      <c r="G173" s="8">
        <v>10834564</v>
      </c>
      <c r="H173" s="8"/>
      <c r="I173" s="8">
        <v>232784</v>
      </c>
      <c r="J173" s="8"/>
      <c r="K173" s="8">
        <v>427879</v>
      </c>
      <c r="L173" s="8"/>
      <c r="M173" s="8">
        <v>3172782</v>
      </c>
      <c r="N173" s="8"/>
      <c r="O173" s="8">
        <v>992</v>
      </c>
      <c r="P173" s="8"/>
      <c r="Q173" s="8">
        <v>0</v>
      </c>
      <c r="R173" s="8"/>
      <c r="S173" s="8">
        <v>0</v>
      </c>
      <c r="T173" s="8"/>
      <c r="U173" s="8">
        <v>0</v>
      </c>
      <c r="V173" s="8"/>
      <c r="W173" s="8">
        <v>13512</v>
      </c>
      <c r="X173" s="8"/>
      <c r="Y173" s="8">
        <v>5410</v>
      </c>
      <c r="AA173" s="8">
        <v>0</v>
      </c>
      <c r="AC173" s="8">
        <f t="shared" si="11"/>
        <v>17900942</v>
      </c>
      <c r="AD173" s="8"/>
      <c r="AE173" s="11">
        <v>0</v>
      </c>
      <c r="AF173" s="11"/>
      <c r="AG173" s="8">
        <v>202000</v>
      </c>
      <c r="AH173" s="8"/>
      <c r="AI173" s="8">
        <v>6538943</v>
      </c>
      <c r="AJ173" s="8"/>
      <c r="AK173" s="8">
        <v>0</v>
      </c>
      <c r="AL173" s="8"/>
      <c r="AM173" s="8">
        <f>+'Gen rev'!U172-'Gen exp'!AC173-AG173+'Gen rev'!W172+AI173+AK173-'Gen Bal'!W173-'Gen exp'!AE173</f>
        <v>0</v>
      </c>
      <c r="AN173" s="8"/>
      <c r="AO173" s="8"/>
      <c r="AP173" s="8"/>
      <c r="AQ173" s="8"/>
      <c r="AR173" s="18"/>
      <c r="AS173" s="6"/>
    </row>
    <row r="174" spans="1:45" s="12" customFormat="1" ht="12.75" customHeight="1" x14ac:dyDescent="0.2">
      <c r="A174" s="4" t="s">
        <v>187</v>
      </c>
      <c r="C174" s="4" t="s">
        <v>15</v>
      </c>
      <c r="E174" s="8">
        <v>3070353</v>
      </c>
      <c r="F174" s="8"/>
      <c r="G174" s="8">
        <v>5296780</v>
      </c>
      <c r="H174" s="8"/>
      <c r="I174" s="8">
        <v>1171310</v>
      </c>
      <c r="J174" s="8"/>
      <c r="K174" s="8">
        <v>381760</v>
      </c>
      <c r="L174" s="8"/>
      <c r="M174" s="8">
        <v>0</v>
      </c>
      <c r="N174" s="8"/>
      <c r="O174" s="8">
        <v>262892</v>
      </c>
      <c r="P174" s="8"/>
      <c r="Q174" s="8">
        <v>0</v>
      </c>
      <c r="R174" s="8"/>
      <c r="S174" s="8">
        <v>0</v>
      </c>
      <c r="T174" s="8"/>
      <c r="U174" s="8">
        <v>0</v>
      </c>
      <c r="V174" s="8"/>
      <c r="W174" s="8">
        <v>20077</v>
      </c>
      <c r="X174" s="8"/>
      <c r="Y174" s="8">
        <v>5053</v>
      </c>
      <c r="Z174" s="7"/>
      <c r="AA174" s="8">
        <v>0</v>
      </c>
      <c r="AB174" s="7"/>
      <c r="AC174" s="8">
        <f t="shared" si="11"/>
        <v>10208225</v>
      </c>
      <c r="AD174" s="8"/>
      <c r="AE174" s="11">
        <v>0</v>
      </c>
      <c r="AF174" s="11"/>
      <c r="AG174" s="8">
        <v>1125000</v>
      </c>
      <c r="AH174" s="8"/>
      <c r="AI174" s="8">
        <v>5248348</v>
      </c>
      <c r="AJ174" s="8"/>
      <c r="AK174" s="8">
        <v>0</v>
      </c>
      <c r="AL174" s="8"/>
      <c r="AM174" s="8">
        <f>+'Gen rev'!U173-'Gen exp'!AC174-AG174+'Gen rev'!W173+AI174+AK174-'Gen Bal'!W174-'Gen exp'!AE174</f>
        <v>0</v>
      </c>
      <c r="AN174" s="18"/>
      <c r="AO174" s="18"/>
      <c r="AP174" s="18"/>
      <c r="AQ174" s="18"/>
      <c r="AR174" s="15"/>
      <c r="AS174" s="13"/>
    </row>
    <row r="175" spans="1:45" s="12" customFormat="1" ht="12.75" customHeight="1" x14ac:dyDescent="0.2">
      <c r="A175" s="4" t="s">
        <v>186</v>
      </c>
      <c r="C175" s="4" t="s">
        <v>25</v>
      </c>
      <c r="E175" s="8">
        <v>2680984</v>
      </c>
      <c r="F175" s="8"/>
      <c r="G175" s="8">
        <v>4877025</v>
      </c>
      <c r="H175" s="8"/>
      <c r="I175" s="8">
        <v>767707</v>
      </c>
      <c r="J175" s="8"/>
      <c r="K175" s="8">
        <v>362963</v>
      </c>
      <c r="L175" s="8"/>
      <c r="M175" s="8">
        <v>61801</v>
      </c>
      <c r="N175" s="8"/>
      <c r="O175" s="8">
        <v>329945</v>
      </c>
      <c r="P175" s="8"/>
      <c r="Q175" s="8">
        <v>1211843</v>
      </c>
      <c r="R175" s="8"/>
      <c r="S175" s="8">
        <v>55153</v>
      </c>
      <c r="T175" s="8"/>
      <c r="U175" s="8">
        <v>0</v>
      </c>
      <c r="V175" s="8"/>
      <c r="W175" s="8">
        <v>78349</v>
      </c>
      <c r="X175" s="8"/>
      <c r="Y175" s="8">
        <v>1290</v>
      </c>
      <c r="Z175" s="7"/>
      <c r="AA175" s="8">
        <v>0</v>
      </c>
      <c r="AB175" s="7"/>
      <c r="AC175" s="8">
        <f t="shared" si="11"/>
        <v>10427060</v>
      </c>
      <c r="AD175" s="8"/>
      <c r="AE175" s="11">
        <v>0</v>
      </c>
      <c r="AF175" s="11"/>
      <c r="AG175" s="8">
        <v>2763000</v>
      </c>
      <c r="AH175" s="8"/>
      <c r="AI175" s="8">
        <v>2679061</v>
      </c>
      <c r="AJ175" s="8"/>
      <c r="AK175" s="8">
        <v>0</v>
      </c>
      <c r="AL175" s="8"/>
      <c r="AM175" s="8">
        <f>+'Gen rev'!U174-'Gen exp'!AC175-AG175+'Gen rev'!W174+AI175+AK175-'Gen Bal'!W175-'Gen exp'!AE175</f>
        <v>0</v>
      </c>
      <c r="AN175" s="7"/>
      <c r="AO175" s="7"/>
      <c r="AP175" s="7"/>
      <c r="AQ175" s="7"/>
    </row>
    <row r="176" spans="1:45" s="12" customFormat="1" ht="12.75" customHeight="1" x14ac:dyDescent="0.2">
      <c r="A176" s="4" t="s">
        <v>188</v>
      </c>
      <c r="C176" s="4" t="s">
        <v>45</v>
      </c>
      <c r="E176" s="8">
        <v>1413552</v>
      </c>
      <c r="F176" s="8"/>
      <c r="G176" s="8">
        <v>2496089</v>
      </c>
      <c r="H176" s="8"/>
      <c r="I176" s="8">
        <v>94316</v>
      </c>
      <c r="J176" s="8"/>
      <c r="K176" s="8">
        <v>6695</v>
      </c>
      <c r="L176" s="8"/>
      <c r="M176" s="8">
        <v>124598</v>
      </c>
      <c r="N176" s="8"/>
      <c r="O176" s="8">
        <v>52933</v>
      </c>
      <c r="P176" s="8"/>
      <c r="Q176" s="8">
        <v>0</v>
      </c>
      <c r="R176" s="8"/>
      <c r="S176" s="8">
        <v>0</v>
      </c>
      <c r="T176" s="8"/>
      <c r="U176" s="8">
        <v>0</v>
      </c>
      <c r="V176" s="8"/>
      <c r="W176" s="8">
        <v>0</v>
      </c>
      <c r="X176" s="8"/>
      <c r="Y176" s="8">
        <v>0</v>
      </c>
      <c r="Z176" s="7"/>
      <c r="AA176" s="8">
        <v>0</v>
      </c>
      <c r="AB176" s="7"/>
      <c r="AC176" s="8">
        <f t="shared" si="11"/>
        <v>4188183</v>
      </c>
      <c r="AD176" s="8"/>
      <c r="AE176" s="11">
        <v>0</v>
      </c>
      <c r="AF176" s="11"/>
      <c r="AG176" s="8">
        <v>0</v>
      </c>
      <c r="AH176" s="8"/>
      <c r="AI176" s="8">
        <v>1739684</v>
      </c>
      <c r="AJ176" s="8"/>
      <c r="AK176" s="8">
        <v>1392</v>
      </c>
      <c r="AL176" s="8"/>
      <c r="AM176" s="8">
        <f>+'Gen rev'!U175-'Gen exp'!AC176-AG176+'Gen rev'!W175+AI176+AK176-'Gen Bal'!W176-'Gen exp'!AE176</f>
        <v>0</v>
      </c>
      <c r="AN176" s="7"/>
      <c r="AO176" s="7"/>
      <c r="AP176" s="7"/>
      <c r="AQ176" s="7"/>
    </row>
    <row r="177" spans="1:45" s="12" customFormat="1" ht="12.75" customHeight="1" x14ac:dyDescent="0.2">
      <c r="A177" s="4" t="s">
        <v>189</v>
      </c>
      <c r="C177" s="4" t="s">
        <v>11</v>
      </c>
      <c r="E177" s="8">
        <v>1691902</v>
      </c>
      <c r="F177" s="8"/>
      <c r="G177" s="8">
        <v>1886507</v>
      </c>
      <c r="H177" s="8"/>
      <c r="I177" s="8">
        <v>181650</v>
      </c>
      <c r="J177" s="8"/>
      <c r="K177" s="8">
        <v>851</v>
      </c>
      <c r="L177" s="8"/>
      <c r="M177" s="8">
        <v>155273</v>
      </c>
      <c r="N177" s="8"/>
      <c r="O177" s="8">
        <v>92904</v>
      </c>
      <c r="P177" s="8"/>
      <c r="Q177" s="8">
        <v>0</v>
      </c>
      <c r="R177" s="8"/>
      <c r="S177" s="8">
        <v>0</v>
      </c>
      <c r="T177" s="8"/>
      <c r="U177" s="8">
        <v>0</v>
      </c>
      <c r="V177" s="8"/>
      <c r="W177" s="8">
        <v>510000</v>
      </c>
      <c r="X177" s="8"/>
      <c r="Y177" s="8">
        <v>10553</v>
      </c>
      <c r="Z177" s="7"/>
      <c r="AA177" s="8">
        <v>0</v>
      </c>
      <c r="AB177" s="7"/>
      <c r="AC177" s="8">
        <f t="shared" si="11"/>
        <v>4529640</v>
      </c>
      <c r="AD177" s="8"/>
      <c r="AE177" s="11">
        <v>0</v>
      </c>
      <c r="AF177" s="11"/>
      <c r="AG177" s="8">
        <v>750328</v>
      </c>
      <c r="AH177" s="8"/>
      <c r="AI177" s="8">
        <v>2730576</v>
      </c>
      <c r="AJ177" s="8"/>
      <c r="AK177" s="8">
        <v>0</v>
      </c>
      <c r="AL177" s="8"/>
      <c r="AM177" s="8">
        <f>+'Gen rev'!U176-'Gen exp'!AC177-AG177+'Gen rev'!W176+AI177+AK177-'Gen Bal'!W177-'Gen exp'!AE177</f>
        <v>0</v>
      </c>
      <c r="AN177" s="7"/>
      <c r="AO177" s="7"/>
      <c r="AP177" s="7"/>
      <c r="AQ177" s="7"/>
    </row>
    <row r="178" spans="1:45" s="12" customFormat="1" ht="12.75" customHeight="1" x14ac:dyDescent="0.2">
      <c r="A178" s="4" t="s">
        <v>190</v>
      </c>
      <c r="C178" s="4" t="s">
        <v>36</v>
      </c>
      <c r="E178" s="8">
        <v>1971036</v>
      </c>
      <c r="F178" s="8"/>
      <c r="G178" s="8">
        <v>3988117</v>
      </c>
      <c r="H178" s="8"/>
      <c r="I178" s="8">
        <v>6692</v>
      </c>
      <c r="J178" s="8"/>
      <c r="K178" s="8">
        <v>102831</v>
      </c>
      <c r="L178" s="8"/>
      <c r="M178" s="8">
        <v>7802</v>
      </c>
      <c r="N178" s="8"/>
      <c r="O178" s="8">
        <v>0</v>
      </c>
      <c r="P178" s="8"/>
      <c r="Q178" s="8">
        <v>0</v>
      </c>
      <c r="R178" s="8"/>
      <c r="S178" s="8">
        <v>0</v>
      </c>
      <c r="T178" s="8"/>
      <c r="U178" s="8">
        <v>0</v>
      </c>
      <c r="V178" s="8"/>
      <c r="W178" s="8">
        <v>0</v>
      </c>
      <c r="X178" s="8"/>
      <c r="Y178" s="8">
        <v>6828</v>
      </c>
      <c r="Z178" s="7"/>
      <c r="AA178" s="8">
        <v>0</v>
      </c>
      <c r="AB178" s="7"/>
      <c r="AC178" s="8">
        <f t="shared" si="11"/>
        <v>6083306</v>
      </c>
      <c r="AD178" s="8"/>
      <c r="AE178" s="11">
        <v>0</v>
      </c>
      <c r="AF178" s="11"/>
      <c r="AG178" s="8">
        <v>643203</v>
      </c>
      <c r="AH178" s="8"/>
      <c r="AI178" s="8">
        <v>2697166</v>
      </c>
      <c r="AJ178" s="8"/>
      <c r="AK178" s="8">
        <v>0</v>
      </c>
      <c r="AL178" s="8"/>
      <c r="AM178" s="8">
        <f>+'Gen rev'!U177-'Gen exp'!AC178-AG178+'Gen rev'!W177+AI178+AK178-'Gen Bal'!W178-'Gen exp'!AE178</f>
        <v>0</v>
      </c>
      <c r="AN178" s="7"/>
      <c r="AO178" s="7"/>
      <c r="AP178" s="7"/>
      <c r="AQ178" s="7"/>
    </row>
    <row r="179" spans="1:45" s="9" customFormat="1" ht="12.75" customHeight="1" x14ac:dyDescent="0.2">
      <c r="A179" s="4" t="s">
        <v>191</v>
      </c>
      <c r="B179" s="12"/>
      <c r="C179" s="4" t="s">
        <v>43</v>
      </c>
      <c r="D179" s="12"/>
      <c r="E179" s="8">
        <v>3438193</v>
      </c>
      <c r="F179" s="8"/>
      <c r="G179" s="8">
        <f>6185304+6898208</f>
        <v>13083512</v>
      </c>
      <c r="H179" s="8"/>
      <c r="I179" s="8">
        <v>0</v>
      </c>
      <c r="J179" s="8"/>
      <c r="K179" s="8">
        <v>882850</v>
      </c>
      <c r="L179" s="8"/>
      <c r="M179" s="8">
        <v>0</v>
      </c>
      <c r="N179" s="8"/>
      <c r="O179" s="8">
        <v>141894</v>
      </c>
      <c r="P179" s="8"/>
      <c r="Q179" s="8">
        <v>7482</v>
      </c>
      <c r="R179" s="8"/>
      <c r="S179" s="8">
        <v>0</v>
      </c>
      <c r="T179" s="8"/>
      <c r="U179" s="8">
        <v>0</v>
      </c>
      <c r="V179" s="8"/>
      <c r="W179" s="8">
        <v>189265</v>
      </c>
      <c r="X179" s="8"/>
      <c r="Y179" s="8">
        <v>14763</v>
      </c>
      <c r="Z179" s="7"/>
      <c r="AA179" s="8">
        <v>0</v>
      </c>
      <c r="AB179" s="7"/>
      <c r="AC179" s="8">
        <f t="shared" si="11"/>
        <v>17757959</v>
      </c>
      <c r="AD179" s="8"/>
      <c r="AE179" s="11">
        <v>0</v>
      </c>
      <c r="AF179" s="11"/>
      <c r="AG179" s="8">
        <v>754383</v>
      </c>
      <c r="AH179" s="8"/>
      <c r="AI179" s="8">
        <v>-122488</v>
      </c>
      <c r="AJ179" s="8"/>
      <c r="AK179" s="8">
        <v>0</v>
      </c>
      <c r="AL179" s="8"/>
      <c r="AM179" s="8">
        <f>+'Gen rev'!U178-'Gen exp'!AC179-AG179+'Gen rev'!W178+AI179+AK179-'Gen Bal'!W179-'Gen exp'!AE179</f>
        <v>0</v>
      </c>
      <c r="AN179" s="20"/>
    </row>
    <row r="180" spans="1:45" s="12" customFormat="1" ht="12.75" customHeight="1" x14ac:dyDescent="0.2">
      <c r="A180" s="4" t="s">
        <v>192</v>
      </c>
      <c r="C180" s="4" t="s">
        <v>64</v>
      </c>
      <c r="E180" s="8">
        <v>2096999</v>
      </c>
      <c r="F180" s="8"/>
      <c r="G180" s="8">
        <v>4980172</v>
      </c>
      <c r="H180" s="8"/>
      <c r="I180" s="8">
        <v>1896830</v>
      </c>
      <c r="J180" s="8"/>
      <c r="K180" s="8">
        <v>0</v>
      </c>
      <c r="L180" s="8"/>
      <c r="M180" s="8">
        <v>0</v>
      </c>
      <c r="N180" s="8"/>
      <c r="O180" s="8">
        <v>931587</v>
      </c>
      <c r="P180" s="8"/>
      <c r="Q180" s="8">
        <v>0</v>
      </c>
      <c r="R180" s="8"/>
      <c r="S180" s="8">
        <v>0</v>
      </c>
      <c r="T180" s="8"/>
      <c r="U180" s="8">
        <v>0</v>
      </c>
      <c r="V180" s="8"/>
      <c r="W180" s="8">
        <v>0</v>
      </c>
      <c r="X180" s="8"/>
      <c r="Y180" s="8">
        <v>26948</v>
      </c>
      <c r="Z180" s="7"/>
      <c r="AA180" s="8">
        <v>0</v>
      </c>
      <c r="AB180" s="7"/>
      <c r="AC180" s="8">
        <f t="shared" si="11"/>
        <v>9932536</v>
      </c>
      <c r="AD180" s="8"/>
      <c r="AE180" s="11">
        <v>0</v>
      </c>
      <c r="AF180" s="11"/>
      <c r="AG180" s="8">
        <v>1291153</v>
      </c>
      <c r="AH180" s="8"/>
      <c r="AI180" s="8">
        <v>5404925</v>
      </c>
      <c r="AJ180" s="8"/>
      <c r="AK180" s="8">
        <v>0</v>
      </c>
      <c r="AL180" s="8"/>
      <c r="AM180" s="8">
        <f>+'Gen rev'!U179-'Gen exp'!AC180-AG180+'Gen rev'!W179+AI180+AK180-'Gen Bal'!W180-'Gen exp'!AE180</f>
        <v>0</v>
      </c>
      <c r="AN180" s="7"/>
      <c r="AO180" s="7"/>
      <c r="AP180" s="7"/>
      <c r="AQ180" s="7"/>
    </row>
    <row r="181" spans="1:45" s="12" customFormat="1" ht="12.75" customHeight="1" x14ac:dyDescent="0.2">
      <c r="A181" s="4" t="s">
        <v>193</v>
      </c>
      <c r="C181" s="4" t="s">
        <v>15</v>
      </c>
      <c r="E181" s="8">
        <v>3121769</v>
      </c>
      <c r="F181" s="8"/>
      <c r="G181" s="8">
        <v>2961591</v>
      </c>
      <c r="H181" s="8"/>
      <c r="I181" s="8">
        <v>350453</v>
      </c>
      <c r="J181" s="8"/>
      <c r="K181" s="8">
        <v>105137</v>
      </c>
      <c r="L181" s="8"/>
      <c r="M181" s="8">
        <v>196346</v>
      </c>
      <c r="N181" s="8"/>
      <c r="O181" s="8">
        <v>651975</v>
      </c>
      <c r="P181" s="8"/>
      <c r="Q181" s="8">
        <v>0</v>
      </c>
      <c r="R181" s="8"/>
      <c r="S181" s="8">
        <v>0</v>
      </c>
      <c r="T181" s="8"/>
      <c r="U181" s="8">
        <v>0</v>
      </c>
      <c r="V181" s="8"/>
      <c r="W181" s="8">
        <v>0</v>
      </c>
      <c r="X181" s="8"/>
      <c r="Y181" s="8">
        <v>0</v>
      </c>
      <c r="Z181" s="7"/>
      <c r="AA181" s="8">
        <v>0</v>
      </c>
      <c r="AB181" s="7"/>
      <c r="AC181" s="8">
        <f t="shared" si="11"/>
        <v>7387271</v>
      </c>
      <c r="AD181" s="8"/>
      <c r="AE181" s="11">
        <v>0</v>
      </c>
      <c r="AF181" s="11"/>
      <c r="AG181" s="8">
        <v>290000</v>
      </c>
      <c r="AH181" s="8"/>
      <c r="AI181" s="8">
        <v>10104498</v>
      </c>
      <c r="AJ181" s="8"/>
      <c r="AK181" s="8">
        <v>-227</v>
      </c>
      <c r="AL181" s="8"/>
      <c r="AM181" s="8">
        <f>+'Gen rev'!U180-'Gen exp'!AC181-AG181+'Gen rev'!W180+AI181+AK181-'Gen Bal'!W181-'Gen exp'!AE181</f>
        <v>0</v>
      </c>
      <c r="AN181" s="7"/>
      <c r="AO181" s="7"/>
      <c r="AP181" s="7"/>
      <c r="AQ181" s="7"/>
    </row>
    <row r="182" spans="1:45" s="12" customFormat="1" ht="12.75" hidden="1" customHeight="1" x14ac:dyDescent="0.2">
      <c r="A182" s="4" t="s">
        <v>194</v>
      </c>
      <c r="C182" s="4" t="s">
        <v>25</v>
      </c>
      <c r="E182" s="8">
        <v>1093746</v>
      </c>
      <c r="F182" s="8"/>
      <c r="G182" s="8">
        <v>1871948</v>
      </c>
      <c r="H182" s="8"/>
      <c r="I182" s="8">
        <f>3796+341747</f>
        <v>345543</v>
      </c>
      <c r="J182" s="8"/>
      <c r="K182" s="8">
        <v>47289</v>
      </c>
      <c r="L182" s="8"/>
      <c r="M182" s="8">
        <v>402988</v>
      </c>
      <c r="N182" s="8"/>
      <c r="O182" s="8">
        <v>24666</v>
      </c>
      <c r="P182" s="8"/>
      <c r="Q182" s="8">
        <v>0</v>
      </c>
      <c r="R182" s="8"/>
      <c r="S182" s="8">
        <v>60408</v>
      </c>
      <c r="T182" s="8"/>
      <c r="U182" s="8">
        <v>0</v>
      </c>
      <c r="V182" s="8"/>
      <c r="W182" s="8">
        <v>19404</v>
      </c>
      <c r="X182" s="8"/>
      <c r="Y182" s="8">
        <v>0</v>
      </c>
      <c r="Z182" s="7"/>
      <c r="AA182" s="8">
        <v>0</v>
      </c>
      <c r="AB182" s="7"/>
      <c r="AC182" s="8">
        <f t="shared" si="11"/>
        <v>3865992</v>
      </c>
      <c r="AD182" s="8"/>
      <c r="AE182" s="11">
        <v>0</v>
      </c>
      <c r="AF182" s="11"/>
      <c r="AG182" s="8">
        <v>0</v>
      </c>
      <c r="AH182" s="8"/>
      <c r="AI182" s="8">
        <v>1617744</v>
      </c>
      <c r="AJ182" s="8"/>
      <c r="AK182" s="8">
        <v>0</v>
      </c>
      <c r="AL182" s="8"/>
      <c r="AM182" s="8">
        <f>+'Gen rev'!U181-'Gen exp'!AC182-AG182+'Gen rev'!W181+AI182+AK182-'Gen Bal'!W182-'Gen exp'!AE182</f>
        <v>101932</v>
      </c>
      <c r="AN182" s="18"/>
      <c r="AO182" s="18"/>
      <c r="AP182" s="18"/>
      <c r="AQ182" s="18"/>
      <c r="AR182" s="15"/>
      <c r="AS182" s="13"/>
    </row>
    <row r="183" spans="1:45" s="12" customFormat="1" ht="12.75" customHeight="1" x14ac:dyDescent="0.2">
      <c r="A183" s="4" t="s">
        <v>400</v>
      </c>
      <c r="C183" s="4" t="s">
        <v>151</v>
      </c>
      <c r="E183" s="8">
        <v>1303610</v>
      </c>
      <c r="F183" s="8"/>
      <c r="G183" s="8">
        <v>2118120</v>
      </c>
      <c r="H183" s="8"/>
      <c r="I183" s="8">
        <v>25833</v>
      </c>
      <c r="J183" s="8"/>
      <c r="K183" s="8">
        <v>0</v>
      </c>
      <c r="L183" s="8"/>
      <c r="M183" s="8">
        <v>0</v>
      </c>
      <c r="N183" s="8"/>
      <c r="O183" s="8">
        <v>56712</v>
      </c>
      <c r="P183" s="8"/>
      <c r="Q183" s="8">
        <v>0</v>
      </c>
      <c r="R183" s="8"/>
      <c r="S183" s="8">
        <v>0</v>
      </c>
      <c r="T183" s="8"/>
      <c r="U183" s="8">
        <v>0</v>
      </c>
      <c r="V183" s="8"/>
      <c r="W183" s="8">
        <v>18953</v>
      </c>
      <c r="X183" s="8"/>
      <c r="Y183" s="8">
        <v>2271</v>
      </c>
      <c r="Z183" s="7"/>
      <c r="AA183" s="8">
        <v>0</v>
      </c>
      <c r="AB183" s="7"/>
      <c r="AC183" s="8">
        <f t="shared" si="11"/>
        <v>3525499</v>
      </c>
      <c r="AD183" s="8"/>
      <c r="AE183" s="11">
        <v>0</v>
      </c>
      <c r="AF183" s="11"/>
      <c r="AG183" s="8">
        <v>419663</v>
      </c>
      <c r="AH183" s="8"/>
      <c r="AI183" s="8">
        <v>3727477</v>
      </c>
      <c r="AJ183" s="8"/>
      <c r="AK183" s="8">
        <v>0</v>
      </c>
      <c r="AL183" s="8"/>
      <c r="AM183" s="8">
        <f>+'Gen rev'!U182-'Gen exp'!AC183-AG183+'Gen rev'!W182+AI183+AK183-'Gen Bal'!W183-'Gen exp'!AE183</f>
        <v>0</v>
      </c>
      <c r="AN183" s="8"/>
      <c r="AO183" s="8"/>
      <c r="AP183" s="8"/>
      <c r="AQ183" s="8"/>
      <c r="AR183" s="15"/>
      <c r="AS183" s="13"/>
    </row>
    <row r="184" spans="1:45" s="12" customFormat="1" ht="12.75" customHeight="1" x14ac:dyDescent="0.2">
      <c r="A184" s="19" t="s">
        <v>195</v>
      </c>
      <c r="B184" s="9"/>
      <c r="C184" s="19" t="s">
        <v>161</v>
      </c>
      <c r="D184" s="9"/>
      <c r="E184" s="8">
        <v>4019868</v>
      </c>
      <c r="F184" s="8"/>
      <c r="G184" s="8">
        <v>8300868</v>
      </c>
      <c r="H184" s="8"/>
      <c r="I184" s="8">
        <v>567562</v>
      </c>
      <c r="J184" s="8"/>
      <c r="K184" s="8">
        <v>401820</v>
      </c>
      <c r="L184" s="8"/>
      <c r="M184" s="8">
        <v>2179100</v>
      </c>
      <c r="N184" s="8"/>
      <c r="O184" s="8">
        <v>7100</v>
      </c>
      <c r="P184" s="8"/>
      <c r="Q184" s="8">
        <v>0</v>
      </c>
      <c r="R184" s="8"/>
      <c r="S184" s="8">
        <v>0</v>
      </c>
      <c r="T184" s="8"/>
      <c r="U184" s="8">
        <v>0</v>
      </c>
      <c r="V184" s="8"/>
      <c r="W184" s="8">
        <v>28870</v>
      </c>
      <c r="X184" s="8"/>
      <c r="Y184" s="8">
        <v>2218</v>
      </c>
      <c r="Z184" s="7"/>
      <c r="AA184" s="8">
        <v>0</v>
      </c>
      <c r="AB184" s="7"/>
      <c r="AC184" s="8">
        <f t="shared" si="11"/>
        <v>15507406</v>
      </c>
      <c r="AD184" s="8"/>
      <c r="AE184" s="11">
        <v>0</v>
      </c>
      <c r="AF184" s="11"/>
      <c r="AG184" s="8">
        <v>4110089</v>
      </c>
      <c r="AH184" s="8"/>
      <c r="AI184" s="8">
        <v>26159067</v>
      </c>
      <c r="AJ184" s="8"/>
      <c r="AK184" s="8">
        <v>57159</v>
      </c>
      <c r="AL184" s="8"/>
      <c r="AM184" s="8">
        <f>+'Gen rev'!U183-'Gen exp'!AC184-AG184+'Gen rev'!W183+AI184+AK184-'Gen Bal'!W184-'Gen exp'!AE184</f>
        <v>0</v>
      </c>
      <c r="AN184" s="7"/>
      <c r="AO184" s="7"/>
      <c r="AP184" s="7"/>
      <c r="AQ184" s="7"/>
    </row>
    <row r="185" spans="1:45" s="12" customFormat="1" ht="12.75" customHeight="1" x14ac:dyDescent="0.2">
      <c r="A185" s="4" t="s">
        <v>196</v>
      </c>
      <c r="C185" s="4" t="s">
        <v>197</v>
      </c>
      <c r="E185" s="8">
        <v>1178445</v>
      </c>
      <c r="F185" s="8"/>
      <c r="G185" s="8">
        <f>1960806+450488</f>
        <v>2411294</v>
      </c>
      <c r="H185" s="8"/>
      <c r="I185" s="8">
        <v>0</v>
      </c>
      <c r="J185" s="8"/>
      <c r="K185" s="8">
        <v>199021</v>
      </c>
      <c r="L185" s="8"/>
      <c r="M185" s="8">
        <v>493689</v>
      </c>
      <c r="N185" s="8"/>
      <c r="O185" s="8">
        <v>325486</v>
      </c>
      <c r="P185" s="8"/>
      <c r="Q185" s="8">
        <v>0</v>
      </c>
      <c r="R185" s="8"/>
      <c r="S185" s="8">
        <v>0</v>
      </c>
      <c r="T185" s="8"/>
      <c r="U185" s="8">
        <v>0</v>
      </c>
      <c r="V185" s="8"/>
      <c r="W185" s="8">
        <v>0</v>
      </c>
      <c r="X185" s="8"/>
      <c r="Y185" s="8">
        <v>0</v>
      </c>
      <c r="Z185" s="7"/>
      <c r="AA185" s="8">
        <v>0</v>
      </c>
      <c r="AB185" s="7"/>
      <c r="AC185" s="8">
        <f t="shared" si="11"/>
        <v>4607935</v>
      </c>
      <c r="AD185" s="8"/>
      <c r="AE185" s="11">
        <v>0</v>
      </c>
      <c r="AF185" s="11"/>
      <c r="AG185" s="8">
        <v>1336263</v>
      </c>
      <c r="AH185" s="8"/>
      <c r="AI185" s="8">
        <v>3974525</v>
      </c>
      <c r="AJ185" s="8"/>
      <c r="AK185" s="8">
        <v>0</v>
      </c>
      <c r="AL185" s="8"/>
      <c r="AM185" s="8">
        <f>+'Gen rev'!U184-'Gen exp'!AC185-AG185+'Gen rev'!W184+AI185+AK185-'Gen Bal'!W185-'Gen exp'!AE185</f>
        <v>0</v>
      </c>
      <c r="AN185" s="7"/>
      <c r="AO185" s="7"/>
      <c r="AP185" s="7"/>
      <c r="AQ185" s="7"/>
    </row>
    <row r="186" spans="1:45" s="9" customFormat="1" ht="12.75" customHeight="1" x14ac:dyDescent="0.2">
      <c r="A186" s="19" t="s">
        <v>198</v>
      </c>
      <c r="C186" s="19" t="s">
        <v>101</v>
      </c>
      <c r="E186" s="8">
        <v>1532112</v>
      </c>
      <c r="F186" s="8"/>
      <c r="G186" s="8">
        <v>4235062</v>
      </c>
      <c r="H186" s="8"/>
      <c r="I186" s="8">
        <v>745026</v>
      </c>
      <c r="J186" s="8"/>
      <c r="K186" s="8">
        <v>127693</v>
      </c>
      <c r="L186" s="8"/>
      <c r="M186" s="8">
        <v>0</v>
      </c>
      <c r="N186" s="8"/>
      <c r="O186" s="8">
        <v>1345476</v>
      </c>
      <c r="P186" s="8"/>
      <c r="Q186" s="8">
        <v>0</v>
      </c>
      <c r="R186" s="8"/>
      <c r="S186" s="8">
        <v>0</v>
      </c>
      <c r="T186" s="8"/>
      <c r="U186" s="8">
        <v>0</v>
      </c>
      <c r="V186" s="8"/>
      <c r="W186" s="8">
        <v>0</v>
      </c>
      <c r="X186" s="8"/>
      <c r="Y186" s="8">
        <v>0</v>
      </c>
      <c r="Z186" s="7"/>
      <c r="AA186" s="7">
        <v>0</v>
      </c>
      <c r="AB186" s="7"/>
      <c r="AC186" s="8">
        <f t="shared" ref="AC186:AC208" si="12">SUM(E186:AA186)</f>
        <v>7985369</v>
      </c>
      <c r="AD186" s="8"/>
      <c r="AE186" s="11">
        <v>0</v>
      </c>
      <c r="AF186" s="11"/>
      <c r="AG186" s="8">
        <v>1894288</v>
      </c>
      <c r="AH186" s="40"/>
      <c r="AI186" s="8">
        <v>8062385</v>
      </c>
      <c r="AJ186" s="8"/>
      <c r="AK186" s="8">
        <v>0</v>
      </c>
      <c r="AL186" s="40"/>
      <c r="AM186" s="40">
        <f>+'Gen rev'!U185-'Gen exp'!AC186-AG186+'Gen rev'!W185+AI186+AK186-'Gen Bal'!W186-'Gen exp'!AE186</f>
        <v>0</v>
      </c>
      <c r="AN186" s="40"/>
      <c r="AO186" s="40"/>
      <c r="AP186" s="40"/>
      <c r="AQ186" s="40"/>
      <c r="AR186" s="36"/>
      <c r="AS186" s="19"/>
    </row>
    <row r="187" spans="1:45" s="12" customFormat="1" ht="12.75" customHeight="1" x14ac:dyDescent="0.2">
      <c r="A187" s="4" t="s">
        <v>199</v>
      </c>
      <c r="C187" s="4" t="s">
        <v>90</v>
      </c>
      <c r="E187" s="8">
        <v>3364476</v>
      </c>
      <c r="F187" s="8"/>
      <c r="G187" s="8">
        <v>5929153</v>
      </c>
      <c r="H187" s="8"/>
      <c r="I187" s="8">
        <v>168360</v>
      </c>
      <c r="J187" s="8"/>
      <c r="K187" s="8">
        <v>121363</v>
      </c>
      <c r="L187" s="8"/>
      <c r="M187" s="8">
        <v>655968</v>
      </c>
      <c r="N187" s="8"/>
      <c r="O187" s="8">
        <v>619372</v>
      </c>
      <c r="P187" s="8"/>
      <c r="Q187" s="8">
        <v>0</v>
      </c>
      <c r="R187" s="8"/>
      <c r="S187" s="8">
        <v>0</v>
      </c>
      <c r="T187" s="8"/>
      <c r="U187" s="8">
        <v>0</v>
      </c>
      <c r="V187" s="8"/>
      <c r="W187" s="8">
        <v>411025</v>
      </c>
      <c r="X187" s="8"/>
      <c r="Y187" s="8">
        <v>17557</v>
      </c>
      <c r="Z187" s="7"/>
      <c r="AA187" s="8">
        <v>0</v>
      </c>
      <c r="AB187" s="7"/>
      <c r="AC187" s="8">
        <f t="shared" si="12"/>
        <v>11287274</v>
      </c>
      <c r="AD187" s="8"/>
      <c r="AE187" s="11">
        <v>0</v>
      </c>
      <c r="AF187" s="11"/>
      <c r="AG187" s="8">
        <v>810900</v>
      </c>
      <c r="AH187" s="8"/>
      <c r="AI187" s="8">
        <v>7146825</v>
      </c>
      <c r="AJ187" s="8"/>
      <c r="AK187" s="8">
        <v>3014</v>
      </c>
      <c r="AL187" s="8"/>
      <c r="AM187" s="8">
        <f>+'Gen rev'!U186-'Gen exp'!AC187-AG187+'Gen rev'!W186+AI187+AK187-'Gen Bal'!W187-'Gen exp'!AE187</f>
        <v>0</v>
      </c>
      <c r="AN187" s="7"/>
      <c r="AO187" s="7"/>
      <c r="AP187" s="7"/>
      <c r="AQ187" s="7"/>
    </row>
    <row r="188" spans="1:45" s="12" customFormat="1" ht="12.75" customHeight="1" x14ac:dyDescent="0.2">
      <c r="A188" s="4" t="s">
        <v>200</v>
      </c>
      <c r="C188" s="4" t="s">
        <v>25</v>
      </c>
      <c r="E188" s="8">
        <v>16203714</v>
      </c>
      <c r="F188" s="8"/>
      <c r="G188" s="8">
        <v>22664415</v>
      </c>
      <c r="H188" s="8"/>
      <c r="I188" s="8">
        <v>702156</v>
      </c>
      <c r="J188" s="8"/>
      <c r="K188" s="8">
        <v>313348</v>
      </c>
      <c r="L188" s="8"/>
      <c r="M188" s="8">
        <v>0</v>
      </c>
      <c r="N188" s="8"/>
      <c r="O188" s="8">
        <v>2427458</v>
      </c>
      <c r="P188" s="8"/>
      <c r="Q188" s="8">
        <v>0</v>
      </c>
      <c r="R188" s="8"/>
      <c r="S188" s="8">
        <v>12687</v>
      </c>
      <c r="T188" s="8"/>
      <c r="U188" s="8">
        <v>0</v>
      </c>
      <c r="V188" s="8"/>
      <c r="W188" s="8">
        <v>0</v>
      </c>
      <c r="X188" s="8"/>
      <c r="Y188" s="8">
        <v>0</v>
      </c>
      <c r="Z188" s="7"/>
      <c r="AA188" s="8">
        <v>0</v>
      </c>
      <c r="AB188" s="7"/>
      <c r="AC188" s="8">
        <f t="shared" si="12"/>
        <v>42323778</v>
      </c>
      <c r="AD188" s="8"/>
      <c r="AE188" s="11">
        <v>0</v>
      </c>
      <c r="AF188" s="11"/>
      <c r="AG188" s="8">
        <v>3283039</v>
      </c>
      <c r="AH188" s="8"/>
      <c r="AI188" s="8">
        <v>6589759</v>
      </c>
      <c r="AJ188" s="8"/>
      <c r="AK188" s="8">
        <v>0</v>
      </c>
      <c r="AL188" s="8"/>
      <c r="AM188" s="8">
        <f>+'Gen rev'!U187-'Gen exp'!AC188-AG188+'Gen rev'!W187+AI188+AK188-'Gen Bal'!W188-'Gen exp'!AE188</f>
        <v>0</v>
      </c>
      <c r="AN188" s="7"/>
      <c r="AO188" s="7"/>
      <c r="AP188" s="7"/>
      <c r="AQ188" s="7"/>
    </row>
    <row r="189" spans="1:45" s="12" customFormat="1" ht="12.75" customHeight="1" x14ac:dyDescent="0.2">
      <c r="A189" s="19" t="s">
        <v>201</v>
      </c>
      <c r="B189" s="9"/>
      <c r="C189" s="19" t="s">
        <v>25</v>
      </c>
      <c r="D189" s="9"/>
      <c r="E189" s="8">
        <v>2308908</v>
      </c>
      <c r="F189" s="8"/>
      <c r="G189" s="8">
        <v>8895286</v>
      </c>
      <c r="H189" s="8"/>
      <c r="I189" s="8">
        <v>2727434</v>
      </c>
      <c r="J189" s="8"/>
      <c r="K189" s="8">
        <v>376720</v>
      </c>
      <c r="L189" s="8"/>
      <c r="M189" s="8">
        <v>143670</v>
      </c>
      <c r="N189" s="8"/>
      <c r="O189" s="8">
        <v>125041</v>
      </c>
      <c r="P189" s="8"/>
      <c r="Q189" s="8">
        <v>177944</v>
      </c>
      <c r="R189" s="8"/>
      <c r="S189" s="8">
        <v>300000</v>
      </c>
      <c r="T189" s="8"/>
      <c r="U189" s="8">
        <v>0</v>
      </c>
      <c r="V189" s="8"/>
      <c r="W189" s="8">
        <v>0</v>
      </c>
      <c r="X189" s="8"/>
      <c r="Y189" s="8">
        <v>20056</v>
      </c>
      <c r="Z189" s="7"/>
      <c r="AA189" s="8">
        <v>236280</v>
      </c>
      <c r="AB189" s="7"/>
      <c r="AC189" s="8">
        <f t="shared" si="12"/>
        <v>15311339</v>
      </c>
      <c r="AD189" s="8"/>
      <c r="AE189" s="11">
        <v>0</v>
      </c>
      <c r="AF189" s="11"/>
      <c r="AG189" s="8">
        <v>147500</v>
      </c>
      <c r="AH189" s="8"/>
      <c r="AI189" s="8">
        <v>1578864</v>
      </c>
      <c r="AJ189" s="8"/>
      <c r="AK189" s="8">
        <v>0</v>
      </c>
      <c r="AL189" s="8"/>
      <c r="AM189" s="8">
        <f>+'Gen rev'!U188-'Gen exp'!AC189-AG189+'Gen rev'!W188+AI189+AK189-'Gen Bal'!W189-'Gen exp'!AE189</f>
        <v>0</v>
      </c>
      <c r="AN189" s="8"/>
      <c r="AO189" s="8"/>
      <c r="AP189" s="8"/>
      <c r="AQ189" s="8"/>
      <c r="AR189" s="15"/>
      <c r="AS189" s="13"/>
    </row>
    <row r="190" spans="1:45" s="12" customFormat="1" ht="12.75" customHeight="1" x14ac:dyDescent="0.2">
      <c r="A190" s="4" t="s">
        <v>202</v>
      </c>
      <c r="C190" s="4" t="s">
        <v>123</v>
      </c>
      <c r="E190" s="8">
        <v>1196128</v>
      </c>
      <c r="F190" s="8"/>
      <c r="G190" s="8">
        <v>869</v>
      </c>
      <c r="H190" s="8"/>
      <c r="I190" s="8">
        <v>290320</v>
      </c>
      <c r="J190" s="8"/>
      <c r="K190" s="8">
        <v>111485</v>
      </c>
      <c r="L190" s="8"/>
      <c r="M190" s="8">
        <v>0</v>
      </c>
      <c r="N190" s="8"/>
      <c r="O190" s="8">
        <v>26418</v>
      </c>
      <c r="P190" s="8"/>
      <c r="Q190" s="8">
        <v>0</v>
      </c>
      <c r="R190" s="8"/>
      <c r="S190" s="8">
        <v>0</v>
      </c>
      <c r="T190" s="8"/>
      <c r="U190" s="8">
        <v>0</v>
      </c>
      <c r="V190" s="8"/>
      <c r="W190" s="8">
        <v>0</v>
      </c>
      <c r="X190" s="8"/>
      <c r="Y190" s="8">
        <v>0</v>
      </c>
      <c r="Z190" s="7"/>
      <c r="AA190" s="8">
        <v>0</v>
      </c>
      <c r="AB190" s="7"/>
      <c r="AC190" s="8">
        <f t="shared" si="12"/>
        <v>1625220</v>
      </c>
      <c r="AD190" s="8"/>
      <c r="AE190" s="11">
        <v>0</v>
      </c>
      <c r="AF190" s="11"/>
      <c r="AG190" s="8">
        <v>200000</v>
      </c>
      <c r="AH190" s="8"/>
      <c r="AI190" s="8">
        <v>1376846</v>
      </c>
      <c r="AJ190" s="8"/>
      <c r="AK190" s="8">
        <v>0</v>
      </c>
      <c r="AL190" s="8"/>
      <c r="AM190" s="8">
        <f>+'Gen rev'!U189-'Gen exp'!AC190-AG190+'Gen rev'!W189+AI190+AK190-'Gen Bal'!W190-'Gen exp'!AE190</f>
        <v>0</v>
      </c>
      <c r="AN190" s="7"/>
      <c r="AO190" s="7"/>
      <c r="AP190" s="7"/>
      <c r="AQ190" s="7"/>
    </row>
    <row r="191" spans="1:45" s="12" customFormat="1" ht="12.75" customHeight="1" x14ac:dyDescent="0.2">
      <c r="A191" s="19" t="s">
        <v>203</v>
      </c>
      <c r="B191" s="9"/>
      <c r="C191" s="19" t="s">
        <v>25</v>
      </c>
      <c r="D191" s="9"/>
      <c r="E191" s="8">
        <v>1173599</v>
      </c>
      <c r="F191" s="8"/>
      <c r="G191" s="8">
        <v>2438656</v>
      </c>
      <c r="H191" s="8"/>
      <c r="I191" s="8">
        <v>261709</v>
      </c>
      <c r="J191" s="8"/>
      <c r="K191" s="8">
        <v>51067</v>
      </c>
      <c r="L191" s="8"/>
      <c r="M191" s="8">
        <v>1147088</v>
      </c>
      <c r="N191" s="8"/>
      <c r="O191" s="8">
        <v>0</v>
      </c>
      <c r="P191" s="8"/>
      <c r="Q191" s="8">
        <v>1237572</v>
      </c>
      <c r="R191" s="8"/>
      <c r="S191" s="8">
        <v>29890</v>
      </c>
      <c r="T191" s="8"/>
      <c r="U191" s="8">
        <v>0</v>
      </c>
      <c r="V191" s="8"/>
      <c r="W191" s="8">
        <v>0</v>
      </c>
      <c r="X191" s="8"/>
      <c r="Y191" s="8">
        <v>0</v>
      </c>
      <c r="Z191" s="7"/>
      <c r="AA191" s="8">
        <v>0</v>
      </c>
      <c r="AB191" s="7"/>
      <c r="AC191" s="8">
        <f t="shared" si="12"/>
        <v>6339581</v>
      </c>
      <c r="AD191" s="8"/>
      <c r="AE191" s="11">
        <v>0</v>
      </c>
      <c r="AF191" s="11"/>
      <c r="AG191" s="8">
        <v>975000</v>
      </c>
      <c r="AH191" s="8"/>
      <c r="AI191" s="8">
        <v>2747619</v>
      </c>
      <c r="AJ191" s="8"/>
      <c r="AK191" s="8">
        <v>0</v>
      </c>
      <c r="AL191" s="8"/>
      <c r="AM191" s="8">
        <f>+'Gen rev'!U190-'Gen exp'!AC191-AG191+'Gen rev'!W190+AI191+AK191-'Gen Bal'!W191-'Gen exp'!AE191</f>
        <v>0</v>
      </c>
      <c r="AN191" s="7"/>
      <c r="AO191" s="7"/>
      <c r="AP191" s="7"/>
      <c r="AQ191" s="7"/>
    </row>
    <row r="192" spans="1:45" s="9" customFormat="1" ht="12.75" customHeight="1" x14ac:dyDescent="0.2">
      <c r="A192" s="4" t="s">
        <v>204</v>
      </c>
      <c r="B192" s="12"/>
      <c r="C192" s="4" t="s">
        <v>45</v>
      </c>
      <c r="D192" s="12"/>
      <c r="E192" s="8">
        <v>4276674</v>
      </c>
      <c r="F192" s="8"/>
      <c r="G192" s="8">
        <v>7616392</v>
      </c>
      <c r="H192" s="8"/>
      <c r="I192" s="8">
        <v>450093</v>
      </c>
      <c r="J192" s="8"/>
      <c r="K192" s="8">
        <v>29432</v>
      </c>
      <c r="L192" s="8"/>
      <c r="M192" s="8">
        <v>1518369</v>
      </c>
      <c r="N192" s="8"/>
      <c r="O192" s="8">
        <v>1343508</v>
      </c>
      <c r="P192" s="8"/>
      <c r="Q192" s="8">
        <v>0</v>
      </c>
      <c r="R192" s="8"/>
      <c r="S192" s="8">
        <v>0</v>
      </c>
      <c r="T192" s="8"/>
      <c r="U192" s="8">
        <v>0</v>
      </c>
      <c r="V192" s="8"/>
      <c r="W192" s="8">
        <v>0</v>
      </c>
      <c r="X192" s="8"/>
      <c r="Y192" s="8">
        <v>0</v>
      </c>
      <c r="Z192" s="7"/>
      <c r="AA192" s="8">
        <v>0</v>
      </c>
      <c r="AB192" s="7"/>
      <c r="AC192" s="8">
        <f t="shared" si="12"/>
        <v>15234468</v>
      </c>
      <c r="AD192" s="8"/>
      <c r="AE192" s="11">
        <v>0</v>
      </c>
      <c r="AF192" s="11"/>
      <c r="AG192" s="8">
        <v>1856000</v>
      </c>
      <c r="AH192" s="8"/>
      <c r="AI192" s="8">
        <v>6235835</v>
      </c>
      <c r="AJ192" s="8"/>
      <c r="AK192" s="8">
        <v>0</v>
      </c>
      <c r="AL192" s="8"/>
      <c r="AM192" s="8">
        <f>+'Gen rev'!U191-'Gen exp'!AC192-AG192+'Gen rev'!W191+AI192+AK192-'Gen Bal'!W192-'Gen exp'!AE192</f>
        <v>0</v>
      </c>
    </row>
    <row r="193" spans="1:45" s="9" customFormat="1" ht="12.75" customHeight="1" x14ac:dyDescent="0.2">
      <c r="A193" s="4" t="s">
        <v>205</v>
      </c>
      <c r="B193" s="12"/>
      <c r="C193" s="4" t="s">
        <v>100</v>
      </c>
      <c r="D193" s="12"/>
      <c r="E193" s="8">
        <v>2755626</v>
      </c>
      <c r="F193" s="8"/>
      <c r="G193" s="8">
        <v>94149</v>
      </c>
      <c r="H193" s="8"/>
      <c r="I193" s="8">
        <v>757051</v>
      </c>
      <c r="J193" s="8"/>
      <c r="K193" s="8">
        <v>127888</v>
      </c>
      <c r="L193" s="8"/>
      <c r="M193" s="8">
        <v>0</v>
      </c>
      <c r="N193" s="8"/>
      <c r="O193" s="8">
        <v>34429</v>
      </c>
      <c r="P193" s="8"/>
      <c r="Q193" s="8">
        <v>0</v>
      </c>
      <c r="R193" s="8"/>
      <c r="S193" s="8">
        <v>0</v>
      </c>
      <c r="T193" s="8"/>
      <c r="U193" s="8">
        <v>0</v>
      </c>
      <c r="V193" s="8"/>
      <c r="W193" s="8">
        <v>9394</v>
      </c>
      <c r="X193" s="8"/>
      <c r="Y193" s="8">
        <v>3696</v>
      </c>
      <c r="Z193" s="7"/>
      <c r="AA193" s="8">
        <v>0</v>
      </c>
      <c r="AB193" s="7"/>
      <c r="AC193" s="8">
        <f t="shared" si="12"/>
        <v>3782233</v>
      </c>
      <c r="AD193" s="8"/>
      <c r="AE193" s="11">
        <v>0</v>
      </c>
      <c r="AF193" s="11"/>
      <c r="AG193" s="8">
        <v>4967701</v>
      </c>
      <c r="AH193" s="8"/>
      <c r="AI193" s="8">
        <v>4370278</v>
      </c>
      <c r="AJ193" s="8"/>
      <c r="AK193" s="8">
        <v>0</v>
      </c>
      <c r="AL193" s="8"/>
      <c r="AM193" s="8">
        <f>+'Gen rev'!U192-'Gen exp'!AC193-AG193+'Gen rev'!W192+AI193+AK193-'Gen Bal'!W193-'Gen exp'!AE193</f>
        <v>0</v>
      </c>
    </row>
    <row r="194" spans="1:45" s="12" customFormat="1" ht="12.75" customHeight="1" x14ac:dyDescent="0.2">
      <c r="A194" s="4" t="s">
        <v>206</v>
      </c>
      <c r="C194" s="4" t="s">
        <v>207</v>
      </c>
      <c r="E194" s="8">
        <v>1310975</v>
      </c>
      <c r="F194" s="8"/>
      <c r="G194" s="8">
        <v>7375404</v>
      </c>
      <c r="H194" s="8"/>
      <c r="I194" s="8">
        <v>56788</v>
      </c>
      <c r="J194" s="8"/>
      <c r="K194" s="8">
        <v>259316</v>
      </c>
      <c r="L194" s="8"/>
      <c r="M194" s="8">
        <v>2724</v>
      </c>
      <c r="N194" s="8"/>
      <c r="O194" s="8">
        <v>418280</v>
      </c>
      <c r="P194" s="8"/>
      <c r="Q194" s="8">
        <v>0</v>
      </c>
      <c r="R194" s="8"/>
      <c r="S194" s="8">
        <v>468902</v>
      </c>
      <c r="T194" s="8"/>
      <c r="U194" s="8">
        <v>0</v>
      </c>
      <c r="V194" s="8"/>
      <c r="W194" s="8">
        <v>0</v>
      </c>
      <c r="X194" s="8"/>
      <c r="Y194" s="8">
        <v>0</v>
      </c>
      <c r="Z194" s="7"/>
      <c r="AA194" s="8">
        <v>0</v>
      </c>
      <c r="AB194" s="7"/>
      <c r="AC194" s="8">
        <f t="shared" si="12"/>
        <v>9892389</v>
      </c>
      <c r="AD194" s="8"/>
      <c r="AE194" s="11">
        <v>0</v>
      </c>
      <c r="AF194" s="11"/>
      <c r="AG194" s="8">
        <v>482211</v>
      </c>
      <c r="AH194" s="8"/>
      <c r="AI194" s="8">
        <v>20194491</v>
      </c>
      <c r="AJ194" s="8"/>
      <c r="AK194" s="8">
        <v>0</v>
      </c>
      <c r="AL194" s="8"/>
      <c r="AM194" s="8">
        <f>+'Gen rev'!U193-'Gen exp'!AC194-AG194+'Gen rev'!W193+AI194+AK194-'Gen Bal'!W194-'Gen exp'!AE194</f>
        <v>0</v>
      </c>
      <c r="AN194" s="8"/>
      <c r="AO194" s="8"/>
      <c r="AP194" s="8"/>
      <c r="AQ194" s="8"/>
      <c r="AR194" s="15"/>
      <c r="AS194" s="13"/>
    </row>
    <row r="195" spans="1:45" s="12" customFormat="1" ht="12.75" customHeight="1" x14ac:dyDescent="0.2">
      <c r="A195" s="10" t="s">
        <v>208</v>
      </c>
      <c r="C195" s="10" t="s">
        <v>209</v>
      </c>
      <c r="E195" s="8">
        <v>1364181</v>
      </c>
      <c r="F195" s="8"/>
      <c r="G195" s="8">
        <v>1732331</v>
      </c>
      <c r="H195" s="8"/>
      <c r="I195" s="8">
        <v>9316</v>
      </c>
      <c r="J195" s="8"/>
      <c r="K195" s="8">
        <v>214574</v>
      </c>
      <c r="L195" s="8"/>
      <c r="M195" s="8">
        <v>0</v>
      </c>
      <c r="N195" s="8"/>
      <c r="O195" s="8">
        <v>58738</v>
      </c>
      <c r="P195" s="8"/>
      <c r="Q195" s="8">
        <v>0</v>
      </c>
      <c r="R195" s="8"/>
      <c r="S195" s="8">
        <v>0</v>
      </c>
      <c r="T195" s="8"/>
      <c r="U195" s="8">
        <v>0</v>
      </c>
      <c r="V195" s="8"/>
      <c r="W195" s="8">
        <v>4423</v>
      </c>
      <c r="X195" s="8"/>
      <c r="Y195" s="8">
        <v>908</v>
      </c>
      <c r="Z195" s="7"/>
      <c r="AA195" s="8">
        <v>0</v>
      </c>
      <c r="AB195" s="7"/>
      <c r="AC195" s="8">
        <f t="shared" si="12"/>
        <v>3384471</v>
      </c>
      <c r="AD195" s="8"/>
      <c r="AE195" s="11">
        <v>0</v>
      </c>
      <c r="AF195" s="11"/>
      <c r="AG195" s="8">
        <v>555000</v>
      </c>
      <c r="AH195" s="8"/>
      <c r="AI195" s="8">
        <v>1282193</v>
      </c>
      <c r="AJ195" s="8"/>
      <c r="AK195" s="8">
        <v>0</v>
      </c>
      <c r="AL195" s="8"/>
      <c r="AM195" s="8">
        <f>+'Gen rev'!U194-'Gen exp'!AC195-AG195+'Gen rev'!W194+AI195+AK195-'Gen Bal'!W195-'Gen exp'!AE195</f>
        <v>0</v>
      </c>
      <c r="AN195" s="7"/>
      <c r="AO195" s="7"/>
      <c r="AP195" s="7"/>
      <c r="AQ195" s="7"/>
      <c r="AR195" s="15"/>
      <c r="AS195" s="13"/>
    </row>
    <row r="196" spans="1:45" s="9" customFormat="1" ht="12.75" customHeight="1" x14ac:dyDescent="0.2">
      <c r="A196" s="10" t="s">
        <v>210</v>
      </c>
      <c r="B196" s="12"/>
      <c r="C196" s="10" t="s">
        <v>211</v>
      </c>
      <c r="D196" s="12"/>
      <c r="E196" s="8">
        <v>2823479</v>
      </c>
      <c r="F196" s="8"/>
      <c r="G196" s="8">
        <v>7173680</v>
      </c>
      <c r="H196" s="8"/>
      <c r="I196" s="8">
        <v>159165</v>
      </c>
      <c r="J196" s="8"/>
      <c r="K196" s="8">
        <v>616188</v>
      </c>
      <c r="L196" s="8"/>
      <c r="M196" s="8">
        <v>396536</v>
      </c>
      <c r="N196" s="8"/>
      <c r="O196" s="8">
        <v>0</v>
      </c>
      <c r="P196" s="8"/>
      <c r="Q196" s="8">
        <v>0</v>
      </c>
      <c r="R196" s="8"/>
      <c r="S196" s="8">
        <v>0</v>
      </c>
      <c r="T196" s="8"/>
      <c r="U196" s="8">
        <v>0</v>
      </c>
      <c r="V196" s="8"/>
      <c r="W196" s="8">
        <v>0</v>
      </c>
      <c r="X196" s="8"/>
      <c r="Y196" s="8">
        <v>0</v>
      </c>
      <c r="Z196" s="7"/>
      <c r="AA196" s="8">
        <v>0</v>
      </c>
      <c r="AB196" s="7"/>
      <c r="AC196" s="8">
        <f t="shared" si="12"/>
        <v>11169048</v>
      </c>
      <c r="AD196" s="8"/>
      <c r="AE196" s="11">
        <v>0</v>
      </c>
      <c r="AF196" s="11"/>
      <c r="AG196" s="8">
        <v>40862</v>
      </c>
      <c r="AH196" s="8"/>
      <c r="AI196" s="8">
        <v>-1658384</v>
      </c>
      <c r="AJ196" s="8"/>
      <c r="AK196" s="8">
        <v>-12554</v>
      </c>
      <c r="AL196" s="8"/>
      <c r="AM196" s="8">
        <f>+'Gen rev'!U195-'Gen exp'!AC196-AG196+'Gen rev'!W195+AI196+AK196-'Gen Bal'!W196-'Gen exp'!AE196</f>
        <v>0</v>
      </c>
      <c r="AN196" s="40"/>
      <c r="AO196" s="40"/>
      <c r="AP196" s="40"/>
      <c r="AQ196" s="40"/>
      <c r="AR196" s="36"/>
      <c r="AS196" s="19"/>
    </row>
    <row r="197" spans="1:45" s="7" customFormat="1" ht="12.75" customHeight="1" x14ac:dyDescent="0.2">
      <c r="A197" s="7" t="s">
        <v>212</v>
      </c>
      <c r="C197" s="7" t="s">
        <v>84</v>
      </c>
      <c r="E197" s="8">
        <v>1546834</v>
      </c>
      <c r="F197" s="8"/>
      <c r="G197" s="8">
        <v>2156447</v>
      </c>
      <c r="H197" s="8"/>
      <c r="I197" s="8">
        <v>840625</v>
      </c>
      <c r="J197" s="8"/>
      <c r="K197" s="8">
        <v>0</v>
      </c>
      <c r="L197" s="8"/>
      <c r="M197" s="8">
        <v>0</v>
      </c>
      <c r="N197" s="8"/>
      <c r="O197" s="8">
        <v>399506</v>
      </c>
      <c r="P197" s="8"/>
      <c r="Q197" s="8">
        <v>602832</v>
      </c>
      <c r="R197" s="8"/>
      <c r="S197" s="8">
        <v>102594</v>
      </c>
      <c r="T197" s="8"/>
      <c r="U197" s="8">
        <v>0</v>
      </c>
      <c r="V197" s="8"/>
      <c r="W197" s="8">
        <v>0</v>
      </c>
      <c r="X197" s="8"/>
      <c r="Y197" s="8">
        <v>0</v>
      </c>
      <c r="AA197" s="8">
        <v>0</v>
      </c>
      <c r="AC197" s="8">
        <f t="shared" si="12"/>
        <v>5648838</v>
      </c>
      <c r="AD197" s="8"/>
      <c r="AE197" s="11">
        <v>0</v>
      </c>
      <c r="AF197" s="11"/>
      <c r="AG197" s="8">
        <v>216341</v>
      </c>
      <c r="AH197" s="8"/>
      <c r="AI197" s="8">
        <v>6925858</v>
      </c>
      <c r="AJ197" s="8"/>
      <c r="AK197" s="8">
        <v>0</v>
      </c>
      <c r="AL197" s="8"/>
      <c r="AM197" s="8">
        <f>+'Gen rev'!U196-'Gen exp'!AC197-AG197+'Gen rev'!W196+AI197+AK197-'Gen Bal'!W197-'Gen exp'!AE197</f>
        <v>0</v>
      </c>
      <c r="AN197" s="8"/>
      <c r="AO197" s="8"/>
      <c r="AP197" s="8"/>
      <c r="AQ197" s="8"/>
      <c r="AR197" s="18"/>
      <c r="AS197" s="6"/>
    </row>
    <row r="198" spans="1:45" s="9" customFormat="1" ht="12.75" customHeight="1" x14ac:dyDescent="0.2">
      <c r="A198" s="4" t="s">
        <v>213</v>
      </c>
      <c r="B198" s="12"/>
      <c r="C198" s="4" t="s">
        <v>20</v>
      </c>
      <c r="D198" s="12"/>
      <c r="E198" s="8">
        <v>1438169</v>
      </c>
      <c r="F198" s="8"/>
      <c r="G198" s="8">
        <f>3096951+1157113</f>
        <v>4254064</v>
      </c>
      <c r="H198" s="8"/>
      <c r="I198" s="8">
        <v>64277</v>
      </c>
      <c r="J198" s="8"/>
      <c r="K198" s="8">
        <v>226978</v>
      </c>
      <c r="L198" s="8"/>
      <c r="M198" s="8">
        <v>0</v>
      </c>
      <c r="N198" s="8"/>
      <c r="O198" s="8">
        <v>0</v>
      </c>
      <c r="P198" s="8"/>
      <c r="Q198" s="8">
        <v>0</v>
      </c>
      <c r="R198" s="8"/>
      <c r="S198" s="8">
        <v>0</v>
      </c>
      <c r="T198" s="8"/>
      <c r="U198" s="8">
        <v>0</v>
      </c>
      <c r="V198" s="8"/>
      <c r="W198" s="8">
        <v>49375</v>
      </c>
      <c r="X198" s="8"/>
      <c r="Y198" s="8">
        <v>79263</v>
      </c>
      <c r="Z198" s="7"/>
      <c r="AA198" s="8">
        <v>0</v>
      </c>
      <c r="AB198" s="7"/>
      <c r="AC198" s="8">
        <f t="shared" si="12"/>
        <v>6112126</v>
      </c>
      <c r="AD198" s="8"/>
      <c r="AE198" s="11">
        <v>0</v>
      </c>
      <c r="AF198" s="11"/>
      <c r="AG198" s="8">
        <v>175256</v>
      </c>
      <c r="AH198" s="8"/>
      <c r="AI198" s="8">
        <v>2817044</v>
      </c>
      <c r="AJ198" s="8"/>
      <c r="AK198" s="8">
        <v>0</v>
      </c>
      <c r="AL198" s="8"/>
      <c r="AM198" s="8">
        <f>+'Gen rev'!U197-'Gen exp'!AC198-AG198+'Gen rev'!W197+AI198+AK198-'Gen Bal'!W198-'Gen exp'!AE198</f>
        <v>0</v>
      </c>
      <c r="AN198" s="40"/>
      <c r="AO198" s="40"/>
      <c r="AP198" s="40"/>
      <c r="AQ198" s="40"/>
      <c r="AR198" s="36"/>
      <c r="AS198" s="19"/>
    </row>
    <row r="199" spans="1:45" s="12" customFormat="1" ht="12.75" customHeight="1" x14ac:dyDescent="0.2">
      <c r="A199" s="19" t="s">
        <v>214</v>
      </c>
      <c r="B199" s="9"/>
      <c r="C199" s="19" t="s">
        <v>43</v>
      </c>
      <c r="D199" s="9"/>
      <c r="E199" s="8">
        <v>1867817</v>
      </c>
      <c r="F199" s="8"/>
      <c r="G199" s="8">
        <v>5087778</v>
      </c>
      <c r="H199" s="8"/>
      <c r="I199" s="8">
        <v>171312</v>
      </c>
      <c r="J199" s="8"/>
      <c r="K199" s="8">
        <v>5190</v>
      </c>
      <c r="L199" s="8"/>
      <c r="M199" s="8">
        <v>1887</v>
      </c>
      <c r="N199" s="8"/>
      <c r="O199" s="8">
        <v>435217</v>
      </c>
      <c r="P199" s="8"/>
      <c r="Q199" s="8">
        <v>473346</v>
      </c>
      <c r="R199" s="8"/>
      <c r="S199" s="8">
        <v>0</v>
      </c>
      <c r="T199" s="8"/>
      <c r="U199" s="8">
        <v>0</v>
      </c>
      <c r="V199" s="8"/>
      <c r="W199" s="8">
        <v>50000</v>
      </c>
      <c r="X199" s="8"/>
      <c r="Y199" s="8">
        <v>20400</v>
      </c>
      <c r="Z199" s="7"/>
      <c r="AA199" s="8">
        <v>0</v>
      </c>
      <c r="AB199" s="7"/>
      <c r="AC199" s="8">
        <f t="shared" si="12"/>
        <v>8112947</v>
      </c>
      <c r="AD199" s="8"/>
      <c r="AE199" s="11">
        <v>0</v>
      </c>
      <c r="AF199" s="11"/>
      <c r="AG199" s="8">
        <v>77630</v>
      </c>
      <c r="AH199" s="8"/>
      <c r="AI199" s="8">
        <v>-86692</v>
      </c>
      <c r="AJ199" s="8"/>
      <c r="AK199" s="8">
        <v>0</v>
      </c>
      <c r="AL199" s="8"/>
      <c r="AM199" s="8">
        <f>+'Gen rev'!U198-'Gen exp'!AC199-AG199+'Gen rev'!W198+AI199+AK199-'Gen Bal'!W199-'Gen exp'!AE199</f>
        <v>0</v>
      </c>
      <c r="AN199" s="8"/>
      <c r="AO199" s="8"/>
      <c r="AP199" s="8"/>
      <c r="AQ199" s="8"/>
      <c r="AR199" s="15"/>
      <c r="AS199" s="13"/>
    </row>
    <row r="200" spans="1:45" s="12" customFormat="1" ht="12.75" customHeight="1" x14ac:dyDescent="0.2">
      <c r="A200" s="19" t="s">
        <v>215</v>
      </c>
      <c r="B200" s="9"/>
      <c r="C200" s="19" t="s">
        <v>41</v>
      </c>
      <c r="D200" s="9"/>
      <c r="E200" s="8">
        <v>2807165</v>
      </c>
      <c r="F200" s="8"/>
      <c r="G200" s="8">
        <v>8209107</v>
      </c>
      <c r="H200" s="8"/>
      <c r="I200" s="8">
        <v>1209665</v>
      </c>
      <c r="J200" s="8"/>
      <c r="K200" s="8">
        <v>205667</v>
      </c>
      <c r="L200" s="8"/>
      <c r="M200" s="8">
        <v>0</v>
      </c>
      <c r="N200" s="8"/>
      <c r="O200" s="8">
        <v>956195</v>
      </c>
      <c r="P200" s="8"/>
      <c r="Q200" s="8">
        <v>0</v>
      </c>
      <c r="R200" s="8"/>
      <c r="S200" s="8">
        <v>0</v>
      </c>
      <c r="T200" s="8"/>
      <c r="U200" s="8">
        <v>0</v>
      </c>
      <c r="V200" s="8"/>
      <c r="W200" s="8">
        <v>0</v>
      </c>
      <c r="X200" s="8"/>
      <c r="Y200" s="8">
        <v>0</v>
      </c>
      <c r="Z200" s="7"/>
      <c r="AA200" s="8">
        <v>0</v>
      </c>
      <c r="AB200" s="7"/>
      <c r="AC200" s="8">
        <f t="shared" si="12"/>
        <v>13387799</v>
      </c>
      <c r="AD200" s="8"/>
      <c r="AE200" s="11">
        <v>0</v>
      </c>
      <c r="AF200" s="11"/>
      <c r="AG200" s="8">
        <v>150000</v>
      </c>
      <c r="AH200" s="8"/>
      <c r="AI200" s="8">
        <v>4604764</v>
      </c>
      <c r="AJ200" s="8"/>
      <c r="AK200" s="8">
        <v>708</v>
      </c>
      <c r="AL200" s="8"/>
      <c r="AM200" s="8">
        <f>+'Gen rev'!U199-'Gen exp'!AC200-AG200+'Gen rev'!W199+AI200+AK200-'Gen Bal'!W200-'Gen exp'!AE200</f>
        <v>0</v>
      </c>
      <c r="AN200" s="8"/>
      <c r="AO200" s="8"/>
      <c r="AP200" s="8"/>
      <c r="AQ200" s="8"/>
      <c r="AR200" s="15"/>
      <c r="AS200" s="13"/>
    </row>
    <row r="201" spans="1:45" s="12" customFormat="1" ht="12.75" customHeight="1" x14ac:dyDescent="0.2">
      <c r="A201" s="19" t="s">
        <v>216</v>
      </c>
      <c r="B201" s="9"/>
      <c r="C201" s="19" t="s">
        <v>25</v>
      </c>
      <c r="D201" s="9"/>
      <c r="E201" s="8">
        <v>1557682</v>
      </c>
      <c r="F201" s="8"/>
      <c r="G201" s="8">
        <v>2449096</v>
      </c>
      <c r="H201" s="8"/>
      <c r="I201" s="8">
        <v>276382</v>
      </c>
      <c r="J201" s="8"/>
      <c r="K201" s="8">
        <v>0</v>
      </c>
      <c r="L201" s="8"/>
      <c r="M201" s="8">
        <v>994986</v>
      </c>
      <c r="N201" s="8"/>
      <c r="O201" s="8">
        <v>245881</v>
      </c>
      <c r="P201" s="8"/>
      <c r="Q201" s="8">
        <v>0</v>
      </c>
      <c r="R201" s="8"/>
      <c r="S201" s="8">
        <v>0</v>
      </c>
      <c r="T201" s="8"/>
      <c r="U201" s="8">
        <v>0</v>
      </c>
      <c r="V201" s="8"/>
      <c r="W201" s="8">
        <v>0</v>
      </c>
      <c r="X201" s="8"/>
      <c r="Y201" s="8">
        <v>0</v>
      </c>
      <c r="Z201" s="7"/>
      <c r="AA201" s="8">
        <v>0</v>
      </c>
      <c r="AB201" s="7"/>
      <c r="AC201" s="8">
        <f t="shared" si="12"/>
        <v>5524027</v>
      </c>
      <c r="AD201" s="8"/>
      <c r="AE201" s="11">
        <v>0</v>
      </c>
      <c r="AF201" s="11"/>
      <c r="AG201" s="8">
        <v>1638500</v>
      </c>
      <c r="AH201" s="8"/>
      <c r="AI201" s="8">
        <v>1115443</v>
      </c>
      <c r="AJ201" s="8"/>
      <c r="AK201" s="8">
        <v>0</v>
      </c>
      <c r="AL201" s="8"/>
      <c r="AM201" s="8">
        <f>+'Gen rev'!U200-'Gen exp'!AC201-AG201+'Gen rev'!W200+AI201+AK201-'Gen Bal'!W201-'Gen exp'!AE201</f>
        <v>0</v>
      </c>
      <c r="AN201" s="7"/>
      <c r="AO201" s="7"/>
      <c r="AP201" s="7"/>
      <c r="AQ201" s="7"/>
    </row>
    <row r="202" spans="1:45" s="12" customFormat="1" ht="12.75" customHeight="1" x14ac:dyDescent="0.2">
      <c r="A202" s="4" t="s">
        <v>217</v>
      </c>
      <c r="C202" s="4" t="s">
        <v>197</v>
      </c>
      <c r="E202" s="8">
        <v>521305</v>
      </c>
      <c r="F202" s="8"/>
      <c r="G202" s="8">
        <v>1013584</v>
      </c>
      <c r="H202" s="8"/>
      <c r="I202" s="8">
        <v>0</v>
      </c>
      <c r="J202" s="8"/>
      <c r="K202" s="8">
        <v>95775</v>
      </c>
      <c r="L202" s="8"/>
      <c r="M202" s="8">
        <v>122206</v>
      </c>
      <c r="N202" s="8"/>
      <c r="O202" s="8">
        <v>383024</v>
      </c>
      <c r="P202" s="8"/>
      <c r="Q202" s="8">
        <v>142612</v>
      </c>
      <c r="R202" s="8"/>
      <c r="S202" s="8">
        <v>0</v>
      </c>
      <c r="T202" s="8"/>
      <c r="U202" s="8">
        <v>0</v>
      </c>
      <c r="V202" s="8"/>
      <c r="W202" s="8">
        <v>0</v>
      </c>
      <c r="X202" s="8"/>
      <c r="Y202" s="8">
        <v>0</v>
      </c>
      <c r="Z202" s="7"/>
      <c r="AA202" s="8">
        <v>0</v>
      </c>
      <c r="AB202" s="7"/>
      <c r="AC202" s="8">
        <f t="shared" si="12"/>
        <v>2278506</v>
      </c>
      <c r="AD202" s="8"/>
      <c r="AE202" s="11">
        <v>0</v>
      </c>
      <c r="AF202" s="11"/>
      <c r="AG202" s="8">
        <v>35000</v>
      </c>
      <c r="AH202" s="8"/>
      <c r="AI202" s="8">
        <v>781742</v>
      </c>
      <c r="AJ202" s="8"/>
      <c r="AK202" s="8">
        <v>0</v>
      </c>
      <c r="AL202" s="8"/>
      <c r="AM202" s="8">
        <f>+'Gen rev'!U201-'Gen exp'!AC202-AG202+'Gen rev'!W201+AI202+AK202-'Gen Bal'!W202-'Gen exp'!AE202</f>
        <v>0</v>
      </c>
      <c r="AN202" s="7"/>
      <c r="AO202" s="7"/>
      <c r="AP202" s="7"/>
      <c r="AQ202" s="7"/>
    </row>
    <row r="203" spans="1:45" s="12" customFormat="1" ht="12.75" customHeight="1" x14ac:dyDescent="0.2">
      <c r="A203" s="4" t="s">
        <v>218</v>
      </c>
      <c r="C203" s="4" t="s">
        <v>64</v>
      </c>
      <c r="E203" s="8">
        <v>1142812</v>
      </c>
      <c r="F203" s="8"/>
      <c r="G203" s="8">
        <v>0</v>
      </c>
      <c r="H203" s="8"/>
      <c r="I203" s="8">
        <v>353445</v>
      </c>
      <c r="J203" s="8"/>
      <c r="K203" s="8">
        <v>0</v>
      </c>
      <c r="L203" s="8"/>
      <c r="M203" s="8">
        <v>0</v>
      </c>
      <c r="N203" s="8"/>
      <c r="O203" s="8">
        <v>27966</v>
      </c>
      <c r="P203" s="8"/>
      <c r="Q203" s="8">
        <v>0</v>
      </c>
      <c r="R203" s="8"/>
      <c r="S203" s="8">
        <v>0</v>
      </c>
      <c r="T203" s="8"/>
      <c r="U203" s="8">
        <v>0</v>
      </c>
      <c r="V203" s="8"/>
      <c r="W203" s="8">
        <v>0</v>
      </c>
      <c r="X203" s="8"/>
      <c r="Y203" s="8">
        <v>0</v>
      </c>
      <c r="Z203" s="7"/>
      <c r="AA203" s="8">
        <v>0</v>
      </c>
      <c r="AB203" s="7"/>
      <c r="AC203" s="8">
        <f t="shared" si="12"/>
        <v>1524223</v>
      </c>
      <c r="AD203" s="8"/>
      <c r="AE203" s="11">
        <v>0</v>
      </c>
      <c r="AF203" s="11"/>
      <c r="AG203" s="8">
        <v>3230295</v>
      </c>
      <c r="AH203" s="8"/>
      <c r="AI203" s="8">
        <v>8471946</v>
      </c>
      <c r="AJ203" s="8"/>
      <c r="AK203" s="8">
        <v>0</v>
      </c>
      <c r="AL203" s="8"/>
      <c r="AM203" s="8">
        <f>+'Gen rev'!U202-'Gen exp'!AC203-AG203+'Gen rev'!W202+AI203+AK203-'Gen Bal'!W203-'Gen exp'!AE203</f>
        <v>0</v>
      </c>
      <c r="AN203" s="7"/>
      <c r="AO203" s="7"/>
      <c r="AP203" s="7"/>
      <c r="AQ203" s="7"/>
    </row>
    <row r="204" spans="1:45" s="12" customFormat="1" ht="12.75" customHeight="1" x14ac:dyDescent="0.2">
      <c r="A204" s="4" t="s">
        <v>219</v>
      </c>
      <c r="C204" s="4" t="s">
        <v>25</v>
      </c>
      <c r="E204" s="8">
        <v>5088225</v>
      </c>
      <c r="F204" s="8"/>
      <c r="G204" s="8">
        <v>7337148</v>
      </c>
      <c r="H204" s="8"/>
      <c r="I204" s="8">
        <v>766902</v>
      </c>
      <c r="J204" s="8"/>
      <c r="K204" s="8">
        <v>0</v>
      </c>
      <c r="L204" s="8"/>
      <c r="M204" s="8">
        <v>622370</v>
      </c>
      <c r="N204" s="8"/>
      <c r="O204" s="8">
        <v>319861</v>
      </c>
      <c r="P204" s="8"/>
      <c r="Q204" s="8">
        <v>0</v>
      </c>
      <c r="R204" s="8"/>
      <c r="S204" s="8">
        <v>29440</v>
      </c>
      <c r="T204" s="8"/>
      <c r="U204" s="8">
        <v>0</v>
      </c>
      <c r="V204" s="8"/>
      <c r="W204" s="8">
        <v>0</v>
      </c>
      <c r="X204" s="8"/>
      <c r="Y204" s="8">
        <v>0</v>
      </c>
      <c r="Z204" s="7"/>
      <c r="AA204" s="8">
        <v>0</v>
      </c>
      <c r="AB204" s="7"/>
      <c r="AC204" s="8">
        <f t="shared" si="12"/>
        <v>14163946</v>
      </c>
      <c r="AD204" s="8"/>
      <c r="AE204" s="11">
        <v>0</v>
      </c>
      <c r="AF204" s="11"/>
      <c r="AG204" s="8">
        <v>3994000</v>
      </c>
      <c r="AH204" s="8"/>
      <c r="AI204" s="8">
        <v>3596882</v>
      </c>
      <c r="AJ204" s="8"/>
      <c r="AK204" s="8">
        <v>0</v>
      </c>
      <c r="AL204" s="8"/>
      <c r="AM204" s="8">
        <f>+'Gen rev'!U203-'Gen exp'!AC204-AG204+'Gen rev'!W203+AI204+AK204-'Gen Bal'!W204-'Gen exp'!AE204</f>
        <v>0</v>
      </c>
      <c r="AN204" s="7"/>
      <c r="AO204" s="7"/>
      <c r="AP204" s="7"/>
      <c r="AQ204" s="7"/>
    </row>
    <row r="205" spans="1:45" s="12" customFormat="1" ht="12.75" customHeight="1" x14ac:dyDescent="0.2">
      <c r="A205" s="4" t="s">
        <v>220</v>
      </c>
      <c r="C205" s="4" t="s">
        <v>45</v>
      </c>
      <c r="E205" s="8">
        <v>1249519</v>
      </c>
      <c r="F205" s="8"/>
      <c r="G205" s="8">
        <v>1897448</v>
      </c>
      <c r="H205" s="8"/>
      <c r="I205" s="8">
        <v>0</v>
      </c>
      <c r="J205" s="8"/>
      <c r="K205" s="8">
        <v>0</v>
      </c>
      <c r="L205" s="8"/>
      <c r="M205" s="8">
        <v>538942</v>
      </c>
      <c r="N205" s="8"/>
      <c r="O205" s="8">
        <v>3697</v>
      </c>
      <c r="P205" s="8"/>
      <c r="Q205" s="8">
        <v>257033</v>
      </c>
      <c r="R205" s="8"/>
      <c r="S205" s="8">
        <v>0</v>
      </c>
      <c r="T205" s="8"/>
      <c r="U205" s="8">
        <v>0</v>
      </c>
      <c r="V205" s="8"/>
      <c r="W205" s="8">
        <v>0</v>
      </c>
      <c r="X205" s="8"/>
      <c r="Y205" s="8">
        <v>0</v>
      </c>
      <c r="Z205" s="7"/>
      <c r="AA205" s="8">
        <v>0</v>
      </c>
      <c r="AB205" s="7"/>
      <c r="AC205" s="8">
        <f t="shared" si="12"/>
        <v>3946639</v>
      </c>
      <c r="AD205" s="8"/>
      <c r="AE205" s="11">
        <v>0</v>
      </c>
      <c r="AF205" s="11"/>
      <c r="AG205" s="8">
        <v>799195</v>
      </c>
      <c r="AH205" s="8"/>
      <c r="AI205" s="8">
        <v>4563233</v>
      </c>
      <c r="AJ205" s="8"/>
      <c r="AK205" s="8">
        <v>0</v>
      </c>
      <c r="AL205" s="8"/>
      <c r="AM205" s="8">
        <f>+'Gen rev'!U204-'Gen exp'!AC205-AG205+'Gen rev'!W204+AI205+AK205-'Gen Bal'!W205-'Gen exp'!AE205</f>
        <v>0</v>
      </c>
      <c r="AN205" s="7"/>
      <c r="AO205" s="7"/>
      <c r="AP205" s="7"/>
      <c r="AQ205" s="7"/>
    </row>
    <row r="206" spans="1:45" s="12" customFormat="1" ht="12.75" customHeight="1" x14ac:dyDescent="0.2">
      <c r="A206" s="4" t="s">
        <v>221</v>
      </c>
      <c r="C206" s="4" t="s">
        <v>92</v>
      </c>
      <c r="E206" s="8">
        <v>1297727</v>
      </c>
      <c r="F206" s="8"/>
      <c r="G206" s="8">
        <v>2870122</v>
      </c>
      <c r="H206" s="8"/>
      <c r="I206" s="8">
        <v>108617</v>
      </c>
      <c r="J206" s="8"/>
      <c r="K206" s="8">
        <v>668</v>
      </c>
      <c r="L206" s="8"/>
      <c r="M206" s="8">
        <v>16685</v>
      </c>
      <c r="N206" s="8"/>
      <c r="O206" s="8">
        <v>2922</v>
      </c>
      <c r="P206" s="8"/>
      <c r="Q206" s="8">
        <v>0</v>
      </c>
      <c r="R206" s="8"/>
      <c r="S206" s="8">
        <v>0</v>
      </c>
      <c r="T206" s="8"/>
      <c r="U206" s="8">
        <v>0</v>
      </c>
      <c r="V206" s="8"/>
      <c r="W206" s="8">
        <v>0</v>
      </c>
      <c r="X206" s="8"/>
      <c r="Y206" s="8">
        <v>0</v>
      </c>
      <c r="Z206" s="7"/>
      <c r="AA206" s="8">
        <v>0</v>
      </c>
      <c r="AB206" s="7"/>
      <c r="AC206" s="8">
        <f t="shared" si="12"/>
        <v>4296741</v>
      </c>
      <c r="AD206" s="8"/>
      <c r="AE206" s="11">
        <v>0</v>
      </c>
      <c r="AF206" s="11"/>
      <c r="AG206" s="8">
        <v>723532</v>
      </c>
      <c r="AH206" s="8"/>
      <c r="AI206" s="8">
        <v>1711233</v>
      </c>
      <c r="AJ206" s="8"/>
      <c r="AK206" s="8">
        <v>0</v>
      </c>
      <c r="AL206" s="8"/>
      <c r="AM206" s="8">
        <f>+'Gen rev'!U205-'Gen exp'!AC206-AG206+'Gen rev'!W205+AI206+AK206-'Gen Bal'!W206-'Gen exp'!AE206</f>
        <v>0</v>
      </c>
      <c r="AN206" s="7"/>
      <c r="AO206" s="7"/>
      <c r="AP206" s="7"/>
      <c r="AQ206" s="7"/>
    </row>
    <row r="207" spans="1:45" s="12" customFormat="1" ht="12.75" customHeight="1" x14ac:dyDescent="0.2">
      <c r="A207" s="4" t="s">
        <v>74</v>
      </c>
      <c r="C207" s="4" t="s">
        <v>130</v>
      </c>
      <c r="E207" s="8">
        <f>908653+2819738</f>
        <v>3728391</v>
      </c>
      <c r="F207" s="8"/>
      <c r="G207" s="8">
        <f>4441305+4214756+244688</f>
        <v>8900749</v>
      </c>
      <c r="H207" s="8"/>
      <c r="I207" s="8">
        <v>1291747</v>
      </c>
      <c r="J207" s="8"/>
      <c r="K207" s="8">
        <v>199455</v>
      </c>
      <c r="L207" s="8"/>
      <c r="M207" s="8">
        <v>456</v>
      </c>
      <c r="N207" s="8"/>
      <c r="O207" s="8">
        <v>445892</v>
      </c>
      <c r="P207" s="8"/>
      <c r="Q207" s="8">
        <v>0</v>
      </c>
      <c r="R207" s="8"/>
      <c r="S207" s="8">
        <v>0</v>
      </c>
      <c r="T207" s="8"/>
      <c r="U207" s="8">
        <v>0</v>
      </c>
      <c r="V207" s="8"/>
      <c r="W207" s="8">
        <v>70170</v>
      </c>
      <c r="X207" s="8"/>
      <c r="Y207" s="8">
        <v>19186</v>
      </c>
      <c r="Z207" s="7"/>
      <c r="AA207" s="8">
        <v>0</v>
      </c>
      <c r="AB207" s="7"/>
      <c r="AC207" s="8">
        <f t="shared" si="12"/>
        <v>14656046</v>
      </c>
      <c r="AD207" s="8"/>
      <c r="AE207" s="11">
        <v>0</v>
      </c>
      <c r="AF207" s="11"/>
      <c r="AG207" s="8">
        <v>1700342</v>
      </c>
      <c r="AH207" s="8"/>
      <c r="AI207" s="8">
        <v>4107422</v>
      </c>
      <c r="AJ207" s="8"/>
      <c r="AK207" s="8">
        <v>0</v>
      </c>
      <c r="AL207" s="8"/>
      <c r="AM207" s="8">
        <f>+'Gen rev'!U206-'Gen exp'!AC207-AG207+'Gen rev'!W206+AI207+AK207-'Gen Bal'!W207-'Gen exp'!AE207</f>
        <v>0</v>
      </c>
      <c r="AN207" s="7"/>
      <c r="AO207" s="7"/>
      <c r="AP207" s="7"/>
      <c r="AQ207" s="7"/>
    </row>
    <row r="208" spans="1:45" s="12" customFormat="1" ht="12.75" customHeight="1" x14ac:dyDescent="0.2">
      <c r="A208" s="4" t="s">
        <v>222</v>
      </c>
      <c r="C208" s="4" t="s">
        <v>25</v>
      </c>
      <c r="E208" s="8">
        <v>1692519</v>
      </c>
      <c r="F208" s="8"/>
      <c r="G208" s="8">
        <v>2695267</v>
      </c>
      <c r="H208" s="8"/>
      <c r="I208" s="8">
        <v>543751</v>
      </c>
      <c r="J208" s="8"/>
      <c r="K208" s="8">
        <v>45327</v>
      </c>
      <c r="L208" s="8"/>
      <c r="M208" s="8">
        <v>682838</v>
      </c>
      <c r="N208" s="8"/>
      <c r="O208" s="8">
        <v>1048713</v>
      </c>
      <c r="P208" s="8"/>
      <c r="Q208" s="8">
        <v>0</v>
      </c>
      <c r="R208" s="8"/>
      <c r="S208" s="8">
        <v>213493</v>
      </c>
      <c r="T208" s="8"/>
      <c r="U208" s="8">
        <v>0</v>
      </c>
      <c r="V208" s="8"/>
      <c r="W208" s="8">
        <v>0</v>
      </c>
      <c r="X208" s="8"/>
      <c r="Y208" s="8">
        <v>0</v>
      </c>
      <c r="Z208" s="7"/>
      <c r="AA208" s="8">
        <v>0</v>
      </c>
      <c r="AB208" s="7"/>
      <c r="AC208" s="8">
        <f t="shared" si="12"/>
        <v>6921908</v>
      </c>
      <c r="AD208" s="8"/>
      <c r="AE208" s="11">
        <v>0</v>
      </c>
      <c r="AF208" s="11"/>
      <c r="AG208" s="8">
        <v>871350</v>
      </c>
      <c r="AH208" s="8"/>
      <c r="AI208" s="8">
        <v>2286809</v>
      </c>
      <c r="AJ208" s="8"/>
      <c r="AK208" s="8">
        <v>0</v>
      </c>
      <c r="AL208" s="8"/>
      <c r="AM208" s="8">
        <f>+'Gen rev'!U207-'Gen exp'!AC208-AG208+'Gen rev'!W207+AI208+AK208-'Gen Bal'!W208-'Gen exp'!AE208</f>
        <v>0</v>
      </c>
      <c r="AN208" s="7"/>
      <c r="AO208" s="7"/>
      <c r="AP208" s="7"/>
      <c r="AQ208" s="7"/>
    </row>
    <row r="209" spans="1:45" s="7" customFormat="1" ht="12.75" customHeight="1" x14ac:dyDescent="0.2">
      <c r="A209" s="6" t="s">
        <v>223</v>
      </c>
      <c r="C209" s="6" t="s">
        <v>25</v>
      </c>
      <c r="E209" s="8">
        <f>3791856+2160382</f>
        <v>5952238</v>
      </c>
      <c r="F209" s="8"/>
      <c r="G209" s="8">
        <f>8577183+6299771+76314</f>
        <v>14953268</v>
      </c>
      <c r="H209" s="8"/>
      <c r="I209" s="8">
        <v>4679225</v>
      </c>
      <c r="J209" s="8"/>
      <c r="K209" s="8">
        <v>475323</v>
      </c>
      <c r="L209" s="8"/>
      <c r="M209" s="8">
        <v>560434</v>
      </c>
      <c r="N209" s="8"/>
      <c r="O209" s="8">
        <f>2448145+860427</f>
        <v>3308572</v>
      </c>
      <c r="P209" s="8"/>
      <c r="Q209" s="8">
        <f>2952959+2516223</f>
        <v>5469182</v>
      </c>
      <c r="R209" s="8"/>
      <c r="S209" s="8">
        <v>0</v>
      </c>
      <c r="T209" s="8"/>
      <c r="U209" s="8">
        <v>0</v>
      </c>
      <c r="V209" s="8"/>
      <c r="W209" s="8">
        <v>0</v>
      </c>
      <c r="X209" s="8"/>
      <c r="Y209" s="8">
        <v>0</v>
      </c>
      <c r="AA209" s="7">
        <v>0</v>
      </c>
      <c r="AC209" s="8">
        <f t="shared" ref="AC209" si="13">SUM(E209:AA209)</f>
        <v>35398242</v>
      </c>
      <c r="AD209" s="8"/>
      <c r="AE209" s="11">
        <v>0</v>
      </c>
      <c r="AF209" s="11"/>
      <c r="AG209" s="8">
        <v>4404192</v>
      </c>
      <c r="AH209" s="8"/>
      <c r="AI209" s="8">
        <v>18702872</v>
      </c>
      <c r="AJ209" s="8"/>
      <c r="AK209" s="8">
        <v>0</v>
      </c>
      <c r="AL209" s="8"/>
      <c r="AM209" s="8">
        <f>+'Gen rev'!U208-'Gen exp'!AC209-AG209+'Gen rev'!W208+AI209+AK209-'Gen Bal'!W209-'Gen exp'!AE209</f>
        <v>0</v>
      </c>
    </row>
    <row r="210" spans="1:45" s="12" customFormat="1" ht="12.75" customHeight="1" x14ac:dyDescent="0.2">
      <c r="A210" s="4" t="s">
        <v>224</v>
      </c>
      <c r="C210" s="4" t="s">
        <v>43</v>
      </c>
      <c r="E210" s="8">
        <v>3094667</v>
      </c>
      <c r="F210" s="8"/>
      <c r="G210" s="8">
        <v>5689890</v>
      </c>
      <c r="H210" s="8"/>
      <c r="I210" s="8">
        <v>482632</v>
      </c>
      <c r="J210" s="8"/>
      <c r="K210" s="8">
        <v>369086</v>
      </c>
      <c r="L210" s="8"/>
      <c r="M210" s="8">
        <v>0</v>
      </c>
      <c r="N210" s="8"/>
      <c r="O210" s="8">
        <v>2586820</v>
      </c>
      <c r="P210" s="8"/>
      <c r="Q210" s="8">
        <v>511018</v>
      </c>
      <c r="R210" s="8"/>
      <c r="S210" s="8">
        <v>0</v>
      </c>
      <c r="T210" s="8"/>
      <c r="U210" s="8">
        <v>0</v>
      </c>
      <c r="V210" s="8"/>
      <c r="W210" s="8">
        <v>0</v>
      </c>
      <c r="X210" s="8"/>
      <c r="Y210" s="8">
        <v>0</v>
      </c>
      <c r="Z210" s="7"/>
      <c r="AA210" s="8">
        <v>0</v>
      </c>
      <c r="AB210" s="7"/>
      <c r="AC210" s="8">
        <f t="shared" ref="AC210:AC226" si="14">SUM(E210:AA210)</f>
        <v>12734113</v>
      </c>
      <c r="AD210" s="8"/>
      <c r="AE210" s="11">
        <v>0</v>
      </c>
      <c r="AF210" s="11"/>
      <c r="AG210" s="8">
        <v>4265207</v>
      </c>
      <c r="AH210" s="8"/>
      <c r="AI210" s="8">
        <v>7710420</v>
      </c>
      <c r="AJ210" s="8"/>
      <c r="AK210" s="8">
        <v>0</v>
      </c>
      <c r="AL210" s="8"/>
      <c r="AM210" s="8">
        <f>+'Gen rev'!U209-'Gen exp'!AC210-AG210+'Gen rev'!W209+AI210+AK210-'Gen Bal'!W210-'Gen exp'!AE210</f>
        <v>0</v>
      </c>
      <c r="AN210" s="7"/>
      <c r="AO210" s="7"/>
      <c r="AP210" s="7"/>
      <c r="AQ210" s="7"/>
    </row>
    <row r="211" spans="1:45" s="9" customFormat="1" ht="12.75" customHeight="1" x14ac:dyDescent="0.2">
      <c r="A211" s="19" t="s">
        <v>225</v>
      </c>
      <c r="C211" s="19" t="s">
        <v>15</v>
      </c>
      <c r="E211" s="8">
        <v>964372</v>
      </c>
      <c r="F211" s="8"/>
      <c r="G211" s="8">
        <v>1941626</v>
      </c>
      <c r="H211" s="8"/>
      <c r="I211" s="8">
        <v>88732</v>
      </c>
      <c r="J211" s="8"/>
      <c r="K211" s="8">
        <v>35536</v>
      </c>
      <c r="L211" s="8"/>
      <c r="M211" s="8">
        <v>0</v>
      </c>
      <c r="N211" s="8"/>
      <c r="O211" s="8">
        <v>118136</v>
      </c>
      <c r="P211" s="8"/>
      <c r="Q211" s="8">
        <v>693127</v>
      </c>
      <c r="R211" s="8"/>
      <c r="S211" s="8">
        <v>0</v>
      </c>
      <c r="T211" s="8"/>
      <c r="U211" s="8">
        <v>0</v>
      </c>
      <c r="V211" s="8"/>
      <c r="W211" s="8">
        <f>45000+2358+24450</f>
        <v>71808</v>
      </c>
      <c r="X211" s="8"/>
      <c r="Y211" s="8">
        <v>95416</v>
      </c>
      <c r="Z211" s="7"/>
      <c r="AA211" s="8">
        <v>0</v>
      </c>
      <c r="AB211" s="7"/>
      <c r="AC211" s="8">
        <f t="shared" si="14"/>
        <v>4008753</v>
      </c>
      <c r="AD211" s="8"/>
      <c r="AE211" s="11">
        <v>0</v>
      </c>
      <c r="AF211" s="11"/>
      <c r="AG211" s="8">
        <v>0</v>
      </c>
      <c r="AH211" s="8"/>
      <c r="AI211" s="8">
        <v>606428</v>
      </c>
      <c r="AJ211" s="8"/>
      <c r="AK211" s="8">
        <v>0</v>
      </c>
      <c r="AL211" s="8"/>
      <c r="AM211" s="8">
        <f>+'Gen rev'!U210-'Gen exp'!AC211-AG211+'Gen rev'!W210+AI211+AK211-'Gen Bal'!W211-'Gen exp'!AE211</f>
        <v>0</v>
      </c>
    </row>
    <row r="212" spans="1:45" s="12" customFormat="1" ht="12.75" customHeight="1" x14ac:dyDescent="0.2">
      <c r="A212" s="4" t="s">
        <v>226</v>
      </c>
      <c r="C212" s="4" t="s">
        <v>151</v>
      </c>
      <c r="E212" s="8">
        <v>1074366</v>
      </c>
      <c r="F212" s="8"/>
      <c r="G212" s="8">
        <v>2821493</v>
      </c>
      <c r="H212" s="8"/>
      <c r="I212" s="8">
        <v>76032</v>
      </c>
      <c r="J212" s="8"/>
      <c r="K212" s="8">
        <v>0</v>
      </c>
      <c r="L212" s="8"/>
      <c r="M212" s="8">
        <v>54115</v>
      </c>
      <c r="N212" s="8"/>
      <c r="O212" s="8">
        <v>0</v>
      </c>
      <c r="P212" s="8"/>
      <c r="Q212" s="8">
        <v>0</v>
      </c>
      <c r="R212" s="8"/>
      <c r="S212" s="8">
        <v>13708</v>
      </c>
      <c r="T212" s="8"/>
      <c r="U212" s="8">
        <v>0</v>
      </c>
      <c r="V212" s="8"/>
      <c r="W212" s="8">
        <v>0</v>
      </c>
      <c r="X212" s="8"/>
      <c r="Y212" s="8">
        <v>0</v>
      </c>
      <c r="Z212" s="7"/>
      <c r="AA212" s="8">
        <v>0</v>
      </c>
      <c r="AB212" s="7"/>
      <c r="AC212" s="8">
        <f t="shared" si="14"/>
        <v>4039714</v>
      </c>
      <c r="AD212" s="8"/>
      <c r="AE212" s="11">
        <v>0</v>
      </c>
      <c r="AF212" s="11"/>
      <c r="AG212" s="8">
        <v>305000</v>
      </c>
      <c r="AH212" s="8"/>
      <c r="AI212" s="8">
        <v>1136096</v>
      </c>
      <c r="AJ212" s="8">
        <f>-AJ213</f>
        <v>0</v>
      </c>
      <c r="AK212" s="8">
        <v>-237</v>
      </c>
      <c r="AL212" s="8"/>
      <c r="AM212" s="8">
        <f>+'Gen rev'!U211-'Gen exp'!AC212-AG212+'Gen rev'!W211+AI212+AK212-'Gen Bal'!W212-'Gen exp'!AE212</f>
        <v>0</v>
      </c>
      <c r="AN212" s="8"/>
      <c r="AO212" s="8"/>
      <c r="AP212" s="8"/>
      <c r="AQ212" s="8"/>
      <c r="AR212" s="15"/>
      <c r="AS212" s="13"/>
    </row>
    <row r="213" spans="1:45" s="12" customFormat="1" ht="12.75" customHeight="1" x14ac:dyDescent="0.2">
      <c r="A213" s="4" t="s">
        <v>227</v>
      </c>
      <c r="C213" s="4" t="s">
        <v>226</v>
      </c>
      <c r="E213" s="8">
        <f>832273+1259491</f>
        <v>2091764</v>
      </c>
      <c r="F213" s="8"/>
      <c r="G213" s="8">
        <f>5615362+4383023</f>
        <v>9998385</v>
      </c>
      <c r="H213" s="8"/>
      <c r="I213" s="8">
        <f>126280+686418</f>
        <v>812698</v>
      </c>
      <c r="J213" s="8"/>
      <c r="K213" s="8">
        <v>0</v>
      </c>
      <c r="L213" s="8"/>
      <c r="M213" s="8">
        <v>5643</v>
      </c>
      <c r="N213" s="8"/>
      <c r="O213" s="8">
        <v>1255588</v>
      </c>
      <c r="P213" s="8"/>
      <c r="Q213" s="8">
        <v>54751</v>
      </c>
      <c r="R213" s="8"/>
      <c r="S213" s="8">
        <v>32653</v>
      </c>
      <c r="T213" s="8"/>
      <c r="U213" s="8">
        <v>0</v>
      </c>
      <c r="V213" s="8"/>
      <c r="W213" s="8">
        <v>25000</v>
      </c>
      <c r="X213" s="8"/>
      <c r="Y213" s="8">
        <v>7719</v>
      </c>
      <c r="Z213" s="7"/>
      <c r="AA213" s="8">
        <v>0</v>
      </c>
      <c r="AB213" s="7"/>
      <c r="AC213" s="8">
        <f t="shared" si="14"/>
        <v>14284201</v>
      </c>
      <c r="AD213" s="8"/>
      <c r="AE213" s="11">
        <v>0</v>
      </c>
      <c r="AF213" s="11"/>
      <c r="AG213" s="8">
        <v>470500</v>
      </c>
      <c r="AH213" s="8"/>
      <c r="AI213" s="8">
        <v>5212504</v>
      </c>
      <c r="AJ213" s="8"/>
      <c r="AK213" s="8">
        <v>0</v>
      </c>
      <c r="AL213" s="8"/>
      <c r="AM213" s="8">
        <f>+'Gen rev'!U212-'Gen exp'!AC213-AG213+'Gen rev'!W212+AI213+AK213-'Gen Bal'!W213-'Gen exp'!AE213</f>
        <v>0</v>
      </c>
      <c r="AN213" s="8"/>
      <c r="AO213" s="8"/>
      <c r="AP213" s="8"/>
      <c r="AQ213" s="8"/>
      <c r="AR213" s="15"/>
      <c r="AS213" s="13"/>
    </row>
    <row r="214" spans="1:45" s="12" customFormat="1" ht="12.75" hidden="1" customHeight="1" x14ac:dyDescent="0.2">
      <c r="A214" s="19" t="s">
        <v>228</v>
      </c>
      <c r="B214" s="9"/>
      <c r="C214" s="19" t="s">
        <v>43</v>
      </c>
      <c r="D214" s="9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7"/>
      <c r="AA214" s="8"/>
      <c r="AB214" s="7"/>
      <c r="AC214" s="8">
        <f t="shared" si="14"/>
        <v>0</v>
      </c>
      <c r="AD214" s="8"/>
      <c r="AE214" s="11"/>
      <c r="AF214" s="11"/>
      <c r="AG214" s="8"/>
      <c r="AH214" s="8"/>
      <c r="AI214" s="8"/>
      <c r="AJ214" s="8"/>
      <c r="AK214" s="8"/>
      <c r="AL214" s="8"/>
      <c r="AM214" s="8">
        <f>+'Gen rev'!U213-'Gen exp'!AC214-AG214+'Gen rev'!W213+AI214+AK214-'Gen Bal'!W214-'Gen exp'!AE214</f>
        <v>0</v>
      </c>
      <c r="AN214" s="7"/>
      <c r="AO214" s="7"/>
      <c r="AP214" s="7"/>
      <c r="AQ214" s="7"/>
    </row>
    <row r="215" spans="1:45" s="12" customFormat="1" ht="12.75" customHeight="1" x14ac:dyDescent="0.2">
      <c r="A215" s="4" t="s">
        <v>229</v>
      </c>
      <c r="C215" s="4" t="s">
        <v>25</v>
      </c>
      <c r="E215" s="8">
        <v>4613814</v>
      </c>
      <c r="F215" s="8"/>
      <c r="G215" s="8">
        <f>7679010+6722679+246909</f>
        <v>14648598</v>
      </c>
      <c r="H215" s="8"/>
      <c r="I215" s="8">
        <v>3071463</v>
      </c>
      <c r="J215" s="8"/>
      <c r="K215" s="8">
        <v>94691</v>
      </c>
      <c r="L215" s="8"/>
      <c r="M215" s="8">
        <v>4808241</v>
      </c>
      <c r="N215" s="8"/>
      <c r="O215" s="8">
        <v>586226</v>
      </c>
      <c r="P215" s="8"/>
      <c r="Q215" s="8">
        <v>1739955</v>
      </c>
      <c r="R215" s="8"/>
      <c r="S215" s="8">
        <v>0</v>
      </c>
      <c r="T215" s="8"/>
      <c r="U215" s="8">
        <v>0</v>
      </c>
      <c r="V215" s="8"/>
      <c r="W215" s="8">
        <v>0</v>
      </c>
      <c r="X215" s="8"/>
      <c r="Y215" s="8">
        <v>0</v>
      </c>
      <c r="Z215" s="7"/>
      <c r="AA215" s="8">
        <v>0</v>
      </c>
      <c r="AB215" s="7"/>
      <c r="AC215" s="8">
        <f t="shared" si="14"/>
        <v>29562988</v>
      </c>
      <c r="AD215" s="8"/>
      <c r="AE215" s="11">
        <v>0</v>
      </c>
      <c r="AF215" s="11"/>
      <c r="AG215" s="8">
        <v>5300000</v>
      </c>
      <c r="AH215" s="8"/>
      <c r="AI215" s="8">
        <v>23293311</v>
      </c>
      <c r="AJ215" s="8"/>
      <c r="AK215" s="8">
        <v>0</v>
      </c>
      <c r="AL215" s="8"/>
      <c r="AM215" s="8">
        <f>+'Gen rev'!U214-'Gen exp'!AC215-AG215+'Gen rev'!W214+AI215+AK215-'Gen Bal'!W215-'Gen exp'!AE215</f>
        <v>0</v>
      </c>
      <c r="AN215" s="7"/>
      <c r="AO215" s="7"/>
      <c r="AP215" s="7"/>
      <c r="AQ215" s="7"/>
    </row>
    <row r="216" spans="1:45" s="12" customFormat="1" ht="12.75" customHeight="1" x14ac:dyDescent="0.2">
      <c r="A216" s="4" t="s">
        <v>230</v>
      </c>
      <c r="C216" s="4" t="s">
        <v>25</v>
      </c>
      <c r="E216" s="8">
        <f>2351939+770977</f>
        <v>3122916</v>
      </c>
      <c r="F216" s="8"/>
      <c r="G216" s="8">
        <f>5221926+3815552</f>
        <v>9037478</v>
      </c>
      <c r="H216" s="8"/>
      <c r="I216" s="8">
        <v>198062</v>
      </c>
      <c r="J216" s="8"/>
      <c r="K216" s="8">
        <v>131696</v>
      </c>
      <c r="L216" s="8"/>
      <c r="M216" s="8">
        <v>866917</v>
      </c>
      <c r="N216" s="8"/>
      <c r="O216" s="8">
        <v>239857</v>
      </c>
      <c r="P216" s="8"/>
      <c r="Q216" s="8">
        <f>687476+1199660+252428</f>
        <v>2139564</v>
      </c>
      <c r="R216" s="8"/>
      <c r="S216" s="8">
        <v>0</v>
      </c>
      <c r="T216" s="8"/>
      <c r="U216" s="8">
        <v>0</v>
      </c>
      <c r="V216" s="8"/>
      <c r="W216" s="8">
        <v>7368</v>
      </c>
      <c r="X216" s="8"/>
      <c r="Y216" s="8">
        <v>12182</v>
      </c>
      <c r="Z216" s="7"/>
      <c r="AA216" s="8">
        <v>0</v>
      </c>
      <c r="AB216" s="7"/>
      <c r="AC216" s="8">
        <f t="shared" si="14"/>
        <v>15756040</v>
      </c>
      <c r="AD216" s="8"/>
      <c r="AE216" s="11">
        <v>0</v>
      </c>
      <c r="AF216" s="11"/>
      <c r="AG216" s="8">
        <v>335000</v>
      </c>
      <c r="AH216" s="8"/>
      <c r="AI216" s="8">
        <v>4872168</v>
      </c>
      <c r="AJ216" s="8"/>
      <c r="AK216" s="8">
        <v>0</v>
      </c>
      <c r="AL216" s="8"/>
      <c r="AM216" s="8">
        <f>+'Gen rev'!U215-'Gen exp'!AC216-AG216+'Gen rev'!W215+AI216+AK216-'Gen Bal'!W216-'Gen exp'!AE216</f>
        <v>0</v>
      </c>
      <c r="AN216" s="8"/>
      <c r="AO216" s="8"/>
      <c r="AP216" s="8"/>
      <c r="AQ216" s="8"/>
      <c r="AR216" s="15"/>
      <c r="AS216" s="13"/>
    </row>
    <row r="217" spans="1:45" s="12" customFormat="1" ht="12.75" customHeight="1" x14ac:dyDescent="0.2">
      <c r="A217" s="4" t="s">
        <v>231</v>
      </c>
      <c r="C217" s="4" t="s">
        <v>109</v>
      </c>
      <c r="E217" s="8">
        <v>2920248</v>
      </c>
      <c r="F217" s="8"/>
      <c r="G217" s="8">
        <v>2838724</v>
      </c>
      <c r="H217" s="8"/>
      <c r="I217" s="8">
        <v>587997</v>
      </c>
      <c r="J217" s="8"/>
      <c r="K217" s="8">
        <v>14723</v>
      </c>
      <c r="L217" s="8"/>
      <c r="M217" s="8">
        <v>0</v>
      </c>
      <c r="N217" s="8"/>
      <c r="O217" s="8">
        <v>565858</v>
      </c>
      <c r="P217" s="8"/>
      <c r="Q217" s="8">
        <v>0</v>
      </c>
      <c r="R217" s="8"/>
      <c r="S217" s="8">
        <v>0</v>
      </c>
      <c r="T217" s="8"/>
      <c r="U217" s="8">
        <v>0</v>
      </c>
      <c r="V217" s="8"/>
      <c r="W217" s="8">
        <v>0</v>
      </c>
      <c r="X217" s="8"/>
      <c r="Y217" s="8">
        <v>0</v>
      </c>
      <c r="Z217" s="7"/>
      <c r="AA217" s="8">
        <v>0</v>
      </c>
      <c r="AB217" s="7"/>
      <c r="AC217" s="8">
        <f t="shared" si="14"/>
        <v>6927550</v>
      </c>
      <c r="AD217" s="8"/>
      <c r="AE217" s="11">
        <v>0</v>
      </c>
      <c r="AF217" s="11"/>
      <c r="AG217" s="8">
        <v>3593918</v>
      </c>
      <c r="AH217" s="8"/>
      <c r="AI217" s="8">
        <v>9284528</v>
      </c>
      <c r="AJ217" s="8"/>
      <c r="AK217" s="8">
        <v>4396</v>
      </c>
      <c r="AL217" s="8"/>
      <c r="AM217" s="8">
        <f>+'Gen rev'!U216-'Gen exp'!AC217-AG217+'Gen rev'!W216+AI217+AK217-'Gen Bal'!W217-'Gen exp'!AE217</f>
        <v>0</v>
      </c>
      <c r="AN217" s="6"/>
      <c r="AO217" s="6"/>
      <c r="AP217" s="6"/>
      <c r="AQ217" s="6"/>
      <c r="AR217" s="13"/>
      <c r="AS217" s="13"/>
    </row>
    <row r="218" spans="1:45" s="12" customFormat="1" ht="12.75" customHeight="1" x14ac:dyDescent="0.2">
      <c r="A218" s="4" t="s">
        <v>232</v>
      </c>
      <c r="C218" s="4" t="s">
        <v>43</v>
      </c>
      <c r="E218" s="8">
        <v>3312699</v>
      </c>
      <c r="F218" s="8"/>
      <c r="G218" s="8">
        <v>8121800</v>
      </c>
      <c r="H218" s="8"/>
      <c r="I218" s="8">
        <v>498446</v>
      </c>
      <c r="J218" s="8"/>
      <c r="K218" s="8">
        <v>314860</v>
      </c>
      <c r="L218" s="8"/>
      <c r="M218" s="8">
        <v>944525</v>
      </c>
      <c r="N218" s="8"/>
      <c r="O218" s="8">
        <v>1365643</v>
      </c>
      <c r="P218" s="8"/>
      <c r="Q218" s="8">
        <v>0</v>
      </c>
      <c r="R218" s="8"/>
      <c r="S218" s="8">
        <v>164887</v>
      </c>
      <c r="T218" s="8"/>
      <c r="U218" s="8">
        <v>0</v>
      </c>
      <c r="V218" s="8"/>
      <c r="W218" s="8">
        <v>6564</v>
      </c>
      <c r="X218" s="8"/>
      <c r="Y218" s="8">
        <v>1035</v>
      </c>
      <c r="Z218" s="7"/>
      <c r="AA218" s="8">
        <v>0</v>
      </c>
      <c r="AB218" s="7"/>
      <c r="AC218" s="8">
        <f t="shared" si="14"/>
        <v>14730459</v>
      </c>
      <c r="AD218" s="8"/>
      <c r="AE218" s="11">
        <v>0</v>
      </c>
      <c r="AF218" s="11"/>
      <c r="AG218" s="8">
        <v>1037500</v>
      </c>
      <c r="AH218" s="8"/>
      <c r="AI218" s="8">
        <v>7021445</v>
      </c>
      <c r="AJ218" s="8"/>
      <c r="AK218" s="8">
        <v>0</v>
      </c>
      <c r="AL218" s="8"/>
      <c r="AM218" s="8">
        <f>+'Gen rev'!U217-'Gen exp'!AC218-AG218+'Gen rev'!W217+AI218+AK218-'Gen Bal'!W218-'Gen exp'!AE218</f>
        <v>0</v>
      </c>
      <c r="AN218" s="7"/>
      <c r="AO218" s="7"/>
      <c r="AP218" s="7"/>
      <c r="AQ218" s="7"/>
    </row>
    <row r="219" spans="1:45" s="12" customFormat="1" ht="12.75" customHeight="1" x14ac:dyDescent="0.2">
      <c r="A219" s="4" t="s">
        <v>233</v>
      </c>
      <c r="C219" s="4" t="s">
        <v>181</v>
      </c>
      <c r="E219" s="8">
        <v>9099929</v>
      </c>
      <c r="F219" s="8"/>
      <c r="G219" s="8">
        <v>21213859</v>
      </c>
      <c r="H219" s="8"/>
      <c r="I219" s="8">
        <v>694757</v>
      </c>
      <c r="J219" s="8"/>
      <c r="K219" s="8">
        <v>54400</v>
      </c>
      <c r="L219" s="8"/>
      <c r="M219" s="8">
        <v>118300</v>
      </c>
      <c r="N219" s="8"/>
      <c r="O219" s="8">
        <v>1274608</v>
      </c>
      <c r="P219" s="8"/>
      <c r="Q219" s="8">
        <v>0</v>
      </c>
      <c r="R219" s="8"/>
      <c r="S219" s="8">
        <v>54125</v>
      </c>
      <c r="T219" s="8"/>
      <c r="U219" s="8">
        <v>0</v>
      </c>
      <c r="V219" s="8"/>
      <c r="W219" s="8">
        <v>0</v>
      </c>
      <c r="X219" s="8"/>
      <c r="Y219" s="8">
        <v>0</v>
      </c>
      <c r="Z219" s="7"/>
      <c r="AA219" s="8">
        <v>0</v>
      </c>
      <c r="AB219" s="7"/>
      <c r="AC219" s="8">
        <f t="shared" si="14"/>
        <v>32509978</v>
      </c>
      <c r="AD219" s="8"/>
      <c r="AE219" s="11">
        <v>0</v>
      </c>
      <c r="AF219" s="11"/>
      <c r="AG219" s="8">
        <v>2223794</v>
      </c>
      <c r="AH219" s="8"/>
      <c r="AI219" s="8">
        <v>7712280</v>
      </c>
      <c r="AJ219" s="8"/>
      <c r="AK219" s="8">
        <v>0</v>
      </c>
      <c r="AL219" s="8"/>
      <c r="AM219" s="8">
        <f>+'Gen rev'!U218-'Gen exp'!AC219-AG219+'Gen rev'!W218+AI219+AK219-'Gen Bal'!W219-'Gen exp'!AE219</f>
        <v>0</v>
      </c>
      <c r="AN219" s="7"/>
      <c r="AO219" s="7"/>
      <c r="AP219" s="7"/>
      <c r="AQ219" s="7"/>
    </row>
    <row r="220" spans="1:45" s="12" customFormat="1" ht="12.75" hidden="1" customHeight="1" x14ac:dyDescent="0.2">
      <c r="A220" s="19" t="s">
        <v>234</v>
      </c>
      <c r="B220" s="9"/>
      <c r="C220" s="19" t="s">
        <v>43</v>
      </c>
      <c r="D220" s="9"/>
      <c r="E220" s="8">
        <v>4542158</v>
      </c>
      <c r="F220" s="8"/>
      <c r="G220" s="8">
        <v>5321191</v>
      </c>
      <c r="H220" s="8"/>
      <c r="I220" s="8">
        <v>0</v>
      </c>
      <c r="J220" s="8"/>
      <c r="K220" s="8">
        <v>85658</v>
      </c>
      <c r="L220" s="8"/>
      <c r="M220" s="8">
        <v>118775</v>
      </c>
      <c r="N220" s="8"/>
      <c r="O220" s="8">
        <v>147564</v>
      </c>
      <c r="P220" s="8"/>
      <c r="Q220" s="8">
        <v>1692542</v>
      </c>
      <c r="R220" s="8"/>
      <c r="S220" s="8">
        <v>0</v>
      </c>
      <c r="T220" s="8"/>
      <c r="U220" s="8">
        <v>0</v>
      </c>
      <c r="V220" s="8"/>
      <c r="W220" s="8">
        <v>0</v>
      </c>
      <c r="X220" s="8"/>
      <c r="Y220" s="8">
        <v>3638</v>
      </c>
      <c r="Z220" s="7"/>
      <c r="AA220" s="8">
        <v>0</v>
      </c>
      <c r="AB220" s="7"/>
      <c r="AC220" s="8">
        <f t="shared" si="14"/>
        <v>11911526</v>
      </c>
      <c r="AD220" s="8"/>
      <c r="AE220" s="11">
        <v>0</v>
      </c>
      <c r="AF220" s="11"/>
      <c r="AG220" s="8">
        <v>2696376</v>
      </c>
      <c r="AH220" s="8"/>
      <c r="AI220" s="8">
        <v>5664904</v>
      </c>
      <c r="AJ220" s="8"/>
      <c r="AK220" s="8">
        <v>2736</v>
      </c>
      <c r="AL220" s="8"/>
      <c r="AM220" s="8">
        <f>+'Gen rev'!U219-'Gen exp'!AC220-AG220+'Gen rev'!W219+AI220+AK220-'Gen Bal'!W220-'Gen exp'!AE220</f>
        <v>0</v>
      </c>
      <c r="AN220" s="8"/>
      <c r="AO220" s="8"/>
      <c r="AP220" s="8"/>
      <c r="AQ220" s="8"/>
      <c r="AR220" s="15"/>
      <c r="AS220" s="13"/>
    </row>
    <row r="221" spans="1:45" s="12" customFormat="1" ht="12.75" hidden="1" customHeight="1" x14ac:dyDescent="0.2">
      <c r="A221" s="4" t="s">
        <v>235</v>
      </c>
      <c r="C221" s="4" t="s">
        <v>31</v>
      </c>
      <c r="E221" s="8">
        <v>288027</v>
      </c>
      <c r="F221" s="8"/>
      <c r="G221" s="8">
        <v>3567</v>
      </c>
      <c r="H221" s="8"/>
      <c r="I221" s="8">
        <v>0</v>
      </c>
      <c r="J221" s="8"/>
      <c r="K221" s="8">
        <v>32215</v>
      </c>
      <c r="L221" s="8"/>
      <c r="M221" s="8">
        <v>0</v>
      </c>
      <c r="N221" s="8"/>
      <c r="O221" s="8">
        <v>0</v>
      </c>
      <c r="P221" s="8"/>
      <c r="Q221" s="8">
        <v>0</v>
      </c>
      <c r="R221" s="8"/>
      <c r="S221" s="8">
        <v>0</v>
      </c>
      <c r="T221" s="8"/>
      <c r="U221" s="8">
        <v>0</v>
      </c>
      <c r="V221" s="8"/>
      <c r="W221" s="8">
        <v>0</v>
      </c>
      <c r="X221" s="8"/>
      <c r="Y221" s="8">
        <v>0</v>
      </c>
      <c r="Z221" s="7"/>
      <c r="AA221" s="8">
        <v>0</v>
      </c>
      <c r="AB221" s="7"/>
      <c r="AC221" s="8">
        <f t="shared" si="14"/>
        <v>323809</v>
      </c>
      <c r="AD221" s="8"/>
      <c r="AE221" s="11">
        <v>0</v>
      </c>
      <c r="AF221" s="11"/>
      <c r="AG221" s="8">
        <v>844420</v>
      </c>
      <c r="AH221" s="8"/>
      <c r="AI221" s="8">
        <v>-11923</v>
      </c>
      <c r="AJ221" s="8"/>
      <c r="AK221" s="8">
        <v>0</v>
      </c>
      <c r="AL221" s="8"/>
      <c r="AM221" s="8">
        <f>+'Gen rev'!U220-'Gen exp'!AC221-AG221+'Gen rev'!W220+AI221+AK221-'Gen Bal'!W221-'Gen exp'!AE221</f>
        <v>0</v>
      </c>
      <c r="AN221" s="8"/>
      <c r="AO221" s="8"/>
      <c r="AP221" s="8"/>
      <c r="AQ221" s="8"/>
      <c r="AR221" s="15"/>
      <c r="AS221" s="13"/>
    </row>
    <row r="222" spans="1:45" s="12" customFormat="1" ht="12.75" customHeight="1" x14ac:dyDescent="0.2">
      <c r="A222" s="4" t="s">
        <v>236</v>
      </c>
      <c r="C222" s="4" t="s">
        <v>237</v>
      </c>
      <c r="E222" s="8">
        <v>901697</v>
      </c>
      <c r="F222" s="8"/>
      <c r="G222" s="8">
        <v>2659987</v>
      </c>
      <c r="H222" s="8"/>
      <c r="I222" s="8">
        <v>15742</v>
      </c>
      <c r="J222" s="8"/>
      <c r="K222" s="8">
        <v>26221</v>
      </c>
      <c r="L222" s="8"/>
      <c r="M222" s="8">
        <v>0</v>
      </c>
      <c r="N222" s="8"/>
      <c r="O222" s="8">
        <v>172489</v>
      </c>
      <c r="P222" s="8"/>
      <c r="Q222" s="8">
        <v>0</v>
      </c>
      <c r="R222" s="8"/>
      <c r="S222" s="8">
        <v>0</v>
      </c>
      <c r="T222" s="8"/>
      <c r="U222" s="8">
        <v>0</v>
      </c>
      <c r="V222" s="8"/>
      <c r="W222" s="8">
        <v>0</v>
      </c>
      <c r="X222" s="8"/>
      <c r="Y222" s="8">
        <v>0</v>
      </c>
      <c r="Z222" s="7"/>
      <c r="AA222" s="8">
        <v>0</v>
      </c>
      <c r="AB222" s="7"/>
      <c r="AC222" s="8">
        <f t="shared" si="14"/>
        <v>3776136</v>
      </c>
      <c r="AD222" s="8"/>
      <c r="AE222" s="11">
        <v>0</v>
      </c>
      <c r="AF222" s="11"/>
      <c r="AG222" s="8">
        <v>1192876</v>
      </c>
      <c r="AH222" s="8"/>
      <c r="AI222" s="8">
        <v>4031336</v>
      </c>
      <c r="AJ222" s="8"/>
      <c r="AK222" s="8">
        <v>-3231</v>
      </c>
      <c r="AL222" s="8"/>
      <c r="AM222" s="8">
        <f>+'Gen rev'!U221-'Gen exp'!AC222-AG222+'Gen rev'!W221+AI222+AK222-'Gen Bal'!W222-'Gen exp'!AE222</f>
        <v>0</v>
      </c>
      <c r="AN222" s="8"/>
      <c r="AO222" s="8"/>
      <c r="AP222" s="8"/>
      <c r="AQ222" s="8"/>
      <c r="AR222" s="15"/>
      <c r="AS222" s="13"/>
    </row>
    <row r="223" spans="1:45" s="12" customFormat="1" ht="12.75" customHeight="1" x14ac:dyDescent="0.2">
      <c r="A223" s="4" t="s">
        <v>480</v>
      </c>
      <c r="C223" s="4" t="s">
        <v>247</v>
      </c>
      <c r="E223" s="8">
        <v>2478161</v>
      </c>
      <c r="F223" s="8"/>
      <c r="G223" s="8">
        <v>7002169</v>
      </c>
      <c r="H223" s="8"/>
      <c r="I223" s="8">
        <v>95496</v>
      </c>
      <c r="J223" s="8"/>
      <c r="K223" s="8">
        <v>564227</v>
      </c>
      <c r="L223" s="8"/>
      <c r="M223" s="8">
        <v>925461</v>
      </c>
      <c r="N223" s="8"/>
      <c r="O223" s="8">
        <v>566209</v>
      </c>
      <c r="P223" s="8"/>
      <c r="Q223" s="8">
        <v>0</v>
      </c>
      <c r="R223" s="8"/>
      <c r="S223" s="8">
        <v>24995</v>
      </c>
      <c r="T223" s="8"/>
      <c r="U223" s="8">
        <v>0</v>
      </c>
      <c r="V223" s="8"/>
      <c r="W223" s="8">
        <v>53894</v>
      </c>
      <c r="X223" s="8"/>
      <c r="Y223" s="8">
        <v>81126</v>
      </c>
      <c r="Z223" s="7"/>
      <c r="AA223" s="8">
        <v>0</v>
      </c>
      <c r="AB223" s="7"/>
      <c r="AC223" s="8">
        <f t="shared" si="14"/>
        <v>11791738</v>
      </c>
      <c r="AD223" s="8"/>
      <c r="AE223" s="11">
        <v>0</v>
      </c>
      <c r="AF223" s="11"/>
      <c r="AG223" s="8">
        <v>28952</v>
      </c>
      <c r="AH223" s="8"/>
      <c r="AI223" s="8">
        <v>1866961</v>
      </c>
      <c r="AJ223" s="8"/>
      <c r="AK223" s="8">
        <v>0</v>
      </c>
      <c r="AL223" s="8"/>
      <c r="AM223" s="8">
        <f>+'Gen rev'!U222-'Gen exp'!AC223-AG223+'Gen rev'!W222+AI223+AK223-'Gen Bal'!W223-'Gen exp'!AE223</f>
        <v>0</v>
      </c>
      <c r="AN223" s="7"/>
      <c r="AO223" s="7"/>
      <c r="AP223" s="7"/>
      <c r="AQ223" s="7"/>
    </row>
    <row r="224" spans="1:45" s="12" customFormat="1" ht="12.75" customHeight="1" x14ac:dyDescent="0.2">
      <c r="A224" s="4" t="s">
        <v>238</v>
      </c>
      <c r="C224" s="4" t="s">
        <v>11</v>
      </c>
      <c r="E224" s="8">
        <v>7423934</v>
      </c>
      <c r="F224" s="8"/>
      <c r="G224" s="8">
        <v>9705888</v>
      </c>
      <c r="H224" s="8"/>
      <c r="I224" s="8">
        <v>998339</v>
      </c>
      <c r="J224" s="8"/>
      <c r="K224" s="8">
        <v>380981</v>
      </c>
      <c r="L224" s="8"/>
      <c r="M224" s="8">
        <v>928883</v>
      </c>
      <c r="N224" s="8"/>
      <c r="O224" s="8">
        <v>1290188</v>
      </c>
      <c r="P224" s="8"/>
      <c r="Q224" s="8">
        <v>0</v>
      </c>
      <c r="R224" s="8"/>
      <c r="S224" s="8">
        <v>0</v>
      </c>
      <c r="T224" s="8"/>
      <c r="U224" s="8">
        <v>0</v>
      </c>
      <c r="V224" s="8"/>
      <c r="W224" s="8">
        <v>0</v>
      </c>
      <c r="X224" s="8"/>
      <c r="Y224" s="8">
        <v>0</v>
      </c>
      <c r="Z224" s="7"/>
      <c r="AA224" s="8">
        <v>0</v>
      </c>
      <c r="AB224" s="7"/>
      <c r="AC224" s="8">
        <f t="shared" si="14"/>
        <v>20728213</v>
      </c>
      <c r="AD224" s="8"/>
      <c r="AE224" s="11">
        <v>0</v>
      </c>
      <c r="AF224" s="11"/>
      <c r="AG224" s="8">
        <v>683228</v>
      </c>
      <c r="AH224" s="8"/>
      <c r="AI224" s="8">
        <v>5374179</v>
      </c>
      <c r="AJ224" s="8"/>
      <c r="AK224" s="8">
        <v>0</v>
      </c>
      <c r="AL224" s="8"/>
      <c r="AM224" s="8">
        <f>+'Gen rev'!U223-'Gen exp'!AC224-AG224+'Gen rev'!W223+AI224+AK224-'Gen Bal'!W224-'Gen exp'!AE224</f>
        <v>0</v>
      </c>
      <c r="AN224" s="7"/>
      <c r="AO224" s="7"/>
      <c r="AP224" s="7"/>
      <c r="AQ224" s="7"/>
    </row>
    <row r="225" spans="1:45" s="12" customFormat="1" ht="12.75" customHeight="1" x14ac:dyDescent="0.2">
      <c r="A225" s="4" t="s">
        <v>239</v>
      </c>
      <c r="C225" s="4" t="s">
        <v>20</v>
      </c>
      <c r="E225" s="8">
        <v>3489386</v>
      </c>
      <c r="F225" s="8"/>
      <c r="G225" s="8">
        <v>5493847</v>
      </c>
      <c r="H225" s="8"/>
      <c r="I225" s="8">
        <v>686348</v>
      </c>
      <c r="J225" s="8"/>
      <c r="K225" s="8">
        <v>0</v>
      </c>
      <c r="L225" s="8"/>
      <c r="M225" s="8">
        <v>0</v>
      </c>
      <c r="N225" s="8"/>
      <c r="O225" s="8">
        <v>361726</v>
      </c>
      <c r="P225" s="8"/>
      <c r="Q225" s="8">
        <v>809274</v>
      </c>
      <c r="R225" s="8"/>
      <c r="S225" s="8">
        <v>0</v>
      </c>
      <c r="T225" s="8"/>
      <c r="U225" s="8">
        <v>0</v>
      </c>
      <c r="V225" s="8"/>
      <c r="W225" s="8">
        <v>750000</v>
      </c>
      <c r="X225" s="8"/>
      <c r="Y225" s="8">
        <v>0</v>
      </c>
      <c r="Z225" s="7"/>
      <c r="AA225" s="8">
        <v>0</v>
      </c>
      <c r="AB225" s="7"/>
      <c r="AC225" s="8">
        <f t="shared" si="14"/>
        <v>11590581</v>
      </c>
      <c r="AD225" s="8"/>
      <c r="AE225" s="11">
        <v>0</v>
      </c>
      <c r="AF225" s="11"/>
      <c r="AG225" s="8">
        <v>0</v>
      </c>
      <c r="AH225" s="8"/>
      <c r="AI225" s="8">
        <v>3074943</v>
      </c>
      <c r="AJ225" s="8"/>
      <c r="AK225" s="8">
        <v>0</v>
      </c>
      <c r="AL225" s="8"/>
      <c r="AM225" s="8">
        <f>+'Gen rev'!U224-'Gen exp'!AC225-AG225+'Gen rev'!W224+AI225+AK225-'Gen Bal'!W225-'Gen exp'!AE225</f>
        <v>0</v>
      </c>
      <c r="AN225" s="8"/>
      <c r="AO225" s="8"/>
      <c r="AP225" s="8"/>
      <c r="AQ225" s="8"/>
      <c r="AR225" s="15"/>
      <c r="AS225" s="13"/>
    </row>
    <row r="226" spans="1:45" s="12" customFormat="1" ht="12.75" customHeight="1" x14ac:dyDescent="0.2">
      <c r="A226" s="4" t="s">
        <v>240</v>
      </c>
      <c r="C226" s="4" t="s">
        <v>25</v>
      </c>
      <c r="E226" s="8">
        <v>4047968</v>
      </c>
      <c r="F226" s="8"/>
      <c r="G226" s="8">
        <v>11065681</v>
      </c>
      <c r="H226" s="8"/>
      <c r="I226" s="8">
        <v>1624324</v>
      </c>
      <c r="J226" s="8"/>
      <c r="K226" s="8">
        <v>275670</v>
      </c>
      <c r="L226" s="8"/>
      <c r="M226" s="8">
        <v>0</v>
      </c>
      <c r="N226" s="8"/>
      <c r="O226" s="8">
        <v>212876</v>
      </c>
      <c r="P226" s="8"/>
      <c r="Q226" s="8">
        <v>1991272</v>
      </c>
      <c r="R226" s="8"/>
      <c r="S226" s="8">
        <v>28182</v>
      </c>
      <c r="T226" s="8"/>
      <c r="U226" s="8">
        <v>0</v>
      </c>
      <c r="V226" s="8"/>
      <c r="W226" s="8">
        <v>0</v>
      </c>
      <c r="X226" s="8"/>
      <c r="Y226" s="8">
        <v>0</v>
      </c>
      <c r="Z226" s="7"/>
      <c r="AA226" s="8">
        <v>0</v>
      </c>
      <c r="AB226" s="7"/>
      <c r="AC226" s="8">
        <f t="shared" si="14"/>
        <v>19245973</v>
      </c>
      <c r="AD226" s="8"/>
      <c r="AE226" s="11">
        <v>0</v>
      </c>
      <c r="AF226" s="11"/>
      <c r="AG226" s="8">
        <v>9092000</v>
      </c>
      <c r="AH226" s="8"/>
      <c r="AI226" s="8">
        <v>12934590</v>
      </c>
      <c r="AJ226" s="8"/>
      <c r="AK226" s="8">
        <v>0</v>
      </c>
      <c r="AL226" s="8"/>
      <c r="AM226" s="8">
        <f>+'Gen rev'!U225-'Gen exp'!AC226-AG226+'Gen rev'!W225+AI226+AK226-'Gen Bal'!W226-'Gen exp'!AE226</f>
        <v>0</v>
      </c>
      <c r="AN226" s="7"/>
      <c r="AO226" s="7"/>
      <c r="AP226" s="7"/>
      <c r="AQ226" s="7"/>
    </row>
    <row r="227" spans="1:45" s="12" customFormat="1" ht="12.75" customHeight="1" x14ac:dyDescent="0.2">
      <c r="A227" s="4" t="s">
        <v>510</v>
      </c>
      <c r="C227" s="4" t="s">
        <v>59</v>
      </c>
      <c r="E227" s="8">
        <v>1842438</v>
      </c>
      <c r="F227" s="8"/>
      <c r="G227" s="8">
        <v>1473519</v>
      </c>
      <c r="H227" s="8"/>
      <c r="I227" s="8">
        <v>0</v>
      </c>
      <c r="J227" s="8"/>
      <c r="K227" s="8">
        <v>0</v>
      </c>
      <c r="L227" s="8"/>
      <c r="M227" s="8">
        <v>0</v>
      </c>
      <c r="N227" s="8"/>
      <c r="O227" s="8">
        <v>46645</v>
      </c>
      <c r="P227" s="8"/>
      <c r="Q227" s="8">
        <v>0</v>
      </c>
      <c r="R227" s="8"/>
      <c r="S227" s="8">
        <v>163903</v>
      </c>
      <c r="T227" s="8"/>
      <c r="U227" s="8">
        <v>0</v>
      </c>
      <c r="V227" s="8"/>
      <c r="W227" s="8">
        <v>0</v>
      </c>
      <c r="X227" s="8"/>
      <c r="Y227" s="8">
        <v>0</v>
      </c>
      <c r="Z227" s="7"/>
      <c r="AA227" s="8">
        <v>0</v>
      </c>
      <c r="AB227" s="7"/>
      <c r="AC227" s="8">
        <f t="shared" ref="AC227" si="15">SUM(E227:AA227)</f>
        <v>3526505</v>
      </c>
      <c r="AD227" s="8"/>
      <c r="AE227" s="11">
        <v>0</v>
      </c>
      <c r="AF227" s="11"/>
      <c r="AG227" s="8">
        <f>15000+256000</f>
        <v>271000</v>
      </c>
      <c r="AH227" s="8"/>
      <c r="AI227" s="8">
        <v>325587</v>
      </c>
      <c r="AJ227" s="8"/>
      <c r="AK227" s="8">
        <v>0</v>
      </c>
      <c r="AL227" s="8"/>
      <c r="AM227" s="8">
        <f>+'Gen rev'!U226-'Gen exp'!AC227-AG227+'Gen rev'!W226+AI227+AK227-'Gen Bal'!W227-'Gen exp'!AE227</f>
        <v>0</v>
      </c>
      <c r="AN227" s="7"/>
      <c r="AO227" s="7"/>
      <c r="AP227" s="7"/>
      <c r="AQ227" s="7"/>
    </row>
    <row r="228" spans="1:45" s="12" customFormat="1" ht="12.75" customHeight="1" x14ac:dyDescent="0.2">
      <c r="A228" s="4" t="s">
        <v>241</v>
      </c>
      <c r="C228" s="4" t="s">
        <v>161</v>
      </c>
      <c r="E228" s="8">
        <v>4604710</v>
      </c>
      <c r="F228" s="8"/>
      <c r="G228" s="8">
        <v>4577423</v>
      </c>
      <c r="H228" s="8"/>
      <c r="I228" s="8">
        <v>390019</v>
      </c>
      <c r="J228" s="8"/>
      <c r="K228" s="8">
        <v>143941</v>
      </c>
      <c r="L228" s="8"/>
      <c r="M228" s="8">
        <v>198205</v>
      </c>
      <c r="N228" s="8"/>
      <c r="O228" s="8">
        <v>934408</v>
      </c>
      <c r="P228" s="8"/>
      <c r="Q228" s="8">
        <v>732074</v>
      </c>
      <c r="R228" s="8"/>
      <c r="S228" s="8">
        <v>0</v>
      </c>
      <c r="T228" s="8"/>
      <c r="U228" s="8">
        <v>0</v>
      </c>
      <c r="V228" s="8"/>
      <c r="W228" s="8">
        <v>0</v>
      </c>
      <c r="X228" s="8"/>
      <c r="Y228" s="8">
        <v>0</v>
      </c>
      <c r="Z228" s="7"/>
      <c r="AA228" s="8">
        <v>0</v>
      </c>
      <c r="AB228" s="7"/>
      <c r="AC228" s="8">
        <f t="shared" ref="AC228:AC241" si="16">SUM(E228:AA228)</f>
        <v>11580780</v>
      </c>
      <c r="AD228" s="8"/>
      <c r="AE228" s="11">
        <v>0</v>
      </c>
      <c r="AF228" s="11"/>
      <c r="AG228" s="8">
        <v>4384381</v>
      </c>
      <c r="AH228" s="8"/>
      <c r="AI228" s="8">
        <v>4833448</v>
      </c>
      <c r="AJ228" s="8"/>
      <c r="AK228" s="8">
        <v>-32567</v>
      </c>
      <c r="AL228" s="8"/>
      <c r="AM228" s="8">
        <f>+'Gen rev'!U227-'Gen exp'!AC228-AG228+'Gen rev'!W227+AI228+AK228-'Gen Bal'!W228-'Gen exp'!AE228</f>
        <v>0</v>
      </c>
      <c r="AN228" s="7"/>
      <c r="AO228" s="7"/>
      <c r="AP228" s="7"/>
      <c r="AQ228" s="7"/>
    </row>
    <row r="229" spans="1:45" s="12" customFormat="1" ht="12.75" customHeight="1" x14ac:dyDescent="0.2">
      <c r="A229" s="4" t="s">
        <v>242</v>
      </c>
      <c r="C229" s="4" t="s">
        <v>11</v>
      </c>
      <c r="E229" s="8">
        <v>3054651</v>
      </c>
      <c r="F229" s="8"/>
      <c r="G229" s="8">
        <f>3092203+32020</f>
        <v>3124223</v>
      </c>
      <c r="H229" s="8"/>
      <c r="I229" s="8">
        <v>141516</v>
      </c>
      <c r="J229" s="8"/>
      <c r="K229" s="8">
        <v>0</v>
      </c>
      <c r="L229" s="8"/>
      <c r="M229" s="8">
        <v>227215</v>
      </c>
      <c r="N229" s="8"/>
      <c r="O229" s="8">
        <v>1547470</v>
      </c>
      <c r="P229" s="8"/>
      <c r="Q229" s="8">
        <v>0</v>
      </c>
      <c r="R229" s="8"/>
      <c r="S229" s="8">
        <v>186403</v>
      </c>
      <c r="T229" s="8"/>
      <c r="U229" s="8">
        <v>0</v>
      </c>
      <c r="V229" s="8"/>
      <c r="W229" s="8">
        <v>13865</v>
      </c>
      <c r="X229" s="8"/>
      <c r="Y229" s="8">
        <v>5523</v>
      </c>
      <c r="Z229" s="7"/>
      <c r="AA229" s="8">
        <v>0</v>
      </c>
      <c r="AB229" s="7"/>
      <c r="AC229" s="8">
        <f t="shared" si="16"/>
        <v>8300866</v>
      </c>
      <c r="AD229" s="8"/>
      <c r="AE229" s="11">
        <v>0</v>
      </c>
      <c r="AF229" s="11"/>
      <c r="AG229" s="8">
        <v>4335205</v>
      </c>
      <c r="AH229" s="8"/>
      <c r="AI229" s="8">
        <v>5690805</v>
      </c>
      <c r="AJ229" s="8"/>
      <c r="AK229" s="8">
        <v>0</v>
      </c>
      <c r="AL229" s="8"/>
      <c r="AM229" s="8">
        <f>+'Gen rev'!U228-'Gen exp'!AC229-AG229+'Gen rev'!W228+AI229+AK229-'Gen Bal'!W229-'Gen exp'!AE229</f>
        <v>0</v>
      </c>
      <c r="AN229" s="8"/>
      <c r="AO229" s="8"/>
      <c r="AP229" s="8"/>
      <c r="AQ229" s="8"/>
      <c r="AR229" s="15"/>
      <c r="AS229" s="13"/>
    </row>
    <row r="230" spans="1:45" s="9" customFormat="1" ht="12.75" customHeight="1" x14ac:dyDescent="0.2">
      <c r="A230" s="4" t="s">
        <v>339</v>
      </c>
      <c r="B230" s="12"/>
      <c r="C230" s="4" t="s">
        <v>108</v>
      </c>
      <c r="D230" s="12"/>
      <c r="E230" s="8">
        <v>2325249</v>
      </c>
      <c r="F230" s="8"/>
      <c r="G230" s="8">
        <v>6181379</v>
      </c>
      <c r="H230" s="8"/>
      <c r="I230" s="8">
        <v>167811</v>
      </c>
      <c r="J230" s="8"/>
      <c r="K230" s="8">
        <v>0</v>
      </c>
      <c r="L230" s="8"/>
      <c r="M230" s="8">
        <v>0</v>
      </c>
      <c r="N230" s="8"/>
      <c r="O230" s="8">
        <v>0</v>
      </c>
      <c r="P230" s="8"/>
      <c r="Q230" s="8">
        <v>0</v>
      </c>
      <c r="R230" s="8"/>
      <c r="S230" s="8">
        <v>0</v>
      </c>
      <c r="T230" s="8"/>
      <c r="U230" s="8">
        <v>0</v>
      </c>
      <c r="V230" s="8"/>
      <c r="W230" s="8">
        <v>15493</v>
      </c>
      <c r="X230" s="8"/>
      <c r="Y230" s="8">
        <v>409</v>
      </c>
      <c r="Z230" s="7"/>
      <c r="AA230" s="8">
        <v>0</v>
      </c>
      <c r="AB230" s="7"/>
      <c r="AC230" s="8">
        <f t="shared" si="16"/>
        <v>8690341</v>
      </c>
      <c r="AD230" s="8"/>
      <c r="AE230" s="11">
        <v>0</v>
      </c>
      <c r="AF230" s="11"/>
      <c r="AG230" s="8">
        <v>1069804</v>
      </c>
      <c r="AH230" s="8"/>
      <c r="AI230" s="8">
        <v>1378947</v>
      </c>
      <c r="AJ230" s="8"/>
      <c r="AK230" s="8">
        <v>-741</v>
      </c>
      <c r="AL230" s="8"/>
      <c r="AM230" s="8">
        <f>+'Gen rev'!U229-'Gen exp'!AC230-AG230+'Gen rev'!W229+AI230+AK230-'Gen Bal'!W230-'Gen exp'!AE230</f>
        <v>0</v>
      </c>
      <c r="AN230" s="40"/>
      <c r="AO230" s="40"/>
      <c r="AP230" s="40"/>
      <c r="AQ230" s="40"/>
      <c r="AR230" s="36"/>
      <c r="AS230" s="19"/>
    </row>
    <row r="231" spans="1:45" s="12" customFormat="1" ht="12.75" customHeight="1" x14ac:dyDescent="0.2">
      <c r="A231" s="4" t="s">
        <v>244</v>
      </c>
      <c r="C231" s="4" t="s">
        <v>207</v>
      </c>
      <c r="E231" s="8">
        <v>1437545</v>
      </c>
      <c r="F231" s="8"/>
      <c r="G231" s="8">
        <v>3142198</v>
      </c>
      <c r="H231" s="8"/>
      <c r="I231" s="8">
        <v>263439</v>
      </c>
      <c r="J231" s="8"/>
      <c r="K231" s="8">
        <v>0</v>
      </c>
      <c r="L231" s="8"/>
      <c r="M231" s="8">
        <v>0</v>
      </c>
      <c r="N231" s="8"/>
      <c r="O231" s="8">
        <v>387146</v>
      </c>
      <c r="P231" s="8"/>
      <c r="Q231" s="8">
        <v>217147</v>
      </c>
      <c r="R231" s="8"/>
      <c r="S231" s="8">
        <v>50742</v>
      </c>
      <c r="T231" s="8"/>
      <c r="U231" s="8">
        <v>0</v>
      </c>
      <c r="V231" s="8"/>
      <c r="W231" s="8">
        <v>0</v>
      </c>
      <c r="X231" s="8"/>
      <c r="Y231" s="8">
        <v>0</v>
      </c>
      <c r="Z231" s="7"/>
      <c r="AA231" s="8">
        <v>0</v>
      </c>
      <c r="AB231" s="7"/>
      <c r="AC231" s="8">
        <f t="shared" si="16"/>
        <v>5498217</v>
      </c>
      <c r="AD231" s="8"/>
      <c r="AE231" s="11">
        <v>0</v>
      </c>
      <c r="AF231" s="11"/>
      <c r="AG231" s="8">
        <v>0</v>
      </c>
      <c r="AH231" s="8"/>
      <c r="AI231" s="8">
        <v>4520269</v>
      </c>
      <c r="AJ231" s="8"/>
      <c r="AK231" s="8">
        <v>1823</v>
      </c>
      <c r="AL231" s="8"/>
      <c r="AM231" s="8">
        <f>+'Gen rev'!U230-'Gen exp'!AC231-AG231+'Gen rev'!W230+AI231+AK231-'Gen Bal'!W231-'Gen exp'!AE231</f>
        <v>0</v>
      </c>
      <c r="AN231" s="6"/>
      <c r="AO231" s="6"/>
      <c r="AP231" s="6"/>
      <c r="AQ231" s="6"/>
      <c r="AR231" s="13"/>
      <c r="AS231" s="13"/>
    </row>
    <row r="232" spans="1:45" s="12" customFormat="1" ht="12.75" hidden="1" customHeight="1" x14ac:dyDescent="0.2">
      <c r="A232" s="4" t="s">
        <v>245</v>
      </c>
      <c r="C232" s="4" t="s">
        <v>161</v>
      </c>
      <c r="E232" s="8">
        <v>14164000</v>
      </c>
      <c r="F232" s="8"/>
      <c r="G232" s="8">
        <v>158979000</v>
      </c>
      <c r="H232" s="8"/>
      <c r="I232" s="8">
        <v>4355000</v>
      </c>
      <c r="J232" s="8"/>
      <c r="K232" s="8">
        <v>13511000</v>
      </c>
      <c r="L232" s="8"/>
      <c r="M232" s="8">
        <v>1928000</v>
      </c>
      <c r="N232" s="8"/>
      <c r="O232" s="8">
        <v>2750000</v>
      </c>
      <c r="P232" s="8"/>
      <c r="Q232" s="8">
        <v>0</v>
      </c>
      <c r="R232" s="8"/>
      <c r="S232" s="8">
        <v>53000</v>
      </c>
      <c r="T232" s="8"/>
      <c r="U232" s="8">
        <v>0</v>
      </c>
      <c r="V232" s="8"/>
      <c r="W232" s="8">
        <v>505000</v>
      </c>
      <c r="X232" s="8"/>
      <c r="Y232" s="8">
        <v>221000</v>
      </c>
      <c r="Z232" s="7"/>
      <c r="AA232" s="8">
        <v>0</v>
      </c>
      <c r="AB232" s="7"/>
      <c r="AC232" s="8">
        <f t="shared" si="16"/>
        <v>196466000</v>
      </c>
      <c r="AD232" s="8"/>
      <c r="AE232" s="11">
        <v>0</v>
      </c>
      <c r="AF232" s="11"/>
      <c r="AG232" s="8">
        <v>35999000</v>
      </c>
      <c r="AH232" s="8"/>
      <c r="AI232" s="8">
        <v>326000</v>
      </c>
      <c r="AJ232" s="8"/>
      <c r="AK232" s="8">
        <v>138000</v>
      </c>
      <c r="AL232" s="8"/>
      <c r="AM232" s="8">
        <f>+'Gen rev'!U231-'Gen exp'!AC232-AG232+'Gen rev'!W231+AI232+AK232-'Gen Bal'!W232-'Gen exp'!AE232</f>
        <v>0</v>
      </c>
      <c r="AN232" s="10"/>
      <c r="AO232" s="7"/>
      <c r="AP232" s="7"/>
      <c r="AQ232" s="7"/>
    </row>
    <row r="233" spans="1:45" s="12" customFormat="1" ht="12.75" customHeight="1" x14ac:dyDescent="0.2">
      <c r="A233" s="4" t="s">
        <v>246</v>
      </c>
      <c r="C233" s="4" t="s">
        <v>247</v>
      </c>
      <c r="E233" s="8">
        <v>479568</v>
      </c>
      <c r="F233" s="8"/>
      <c r="G233" s="8">
        <v>1401626</v>
      </c>
      <c r="H233" s="8"/>
      <c r="I233" s="8">
        <v>0</v>
      </c>
      <c r="J233" s="8"/>
      <c r="K233" s="8">
        <v>0</v>
      </c>
      <c r="L233" s="8"/>
      <c r="M233" s="8">
        <v>90641</v>
      </c>
      <c r="N233" s="8"/>
      <c r="O233" s="8">
        <v>6000</v>
      </c>
      <c r="P233" s="8"/>
      <c r="Q233" s="8">
        <v>0</v>
      </c>
      <c r="R233" s="8"/>
      <c r="S233" s="8">
        <v>52610</v>
      </c>
      <c r="T233" s="8"/>
      <c r="U233" s="8">
        <v>0</v>
      </c>
      <c r="V233" s="8"/>
      <c r="W233" s="8">
        <v>46767</v>
      </c>
      <c r="X233" s="8"/>
      <c r="Y233" s="8">
        <v>7919</v>
      </c>
      <c r="Z233" s="7"/>
      <c r="AA233" s="8">
        <v>0</v>
      </c>
      <c r="AB233" s="7"/>
      <c r="AC233" s="8">
        <f t="shared" si="16"/>
        <v>2085131</v>
      </c>
      <c r="AD233" s="8"/>
      <c r="AE233" s="11">
        <v>0</v>
      </c>
      <c r="AF233" s="11"/>
      <c r="AG233" s="8">
        <v>752600</v>
      </c>
      <c r="AH233" s="8"/>
      <c r="AI233" s="8">
        <v>944243</v>
      </c>
      <c r="AJ233" s="8"/>
      <c r="AK233" s="8">
        <v>0</v>
      </c>
      <c r="AL233" s="8"/>
      <c r="AM233" s="8">
        <f>+'Gen rev'!U232-'Gen exp'!AC233-AG233+'Gen rev'!W232+AI233+AK233-'Gen Bal'!W233-'Gen exp'!AE233</f>
        <v>0</v>
      </c>
      <c r="AN233" s="7"/>
      <c r="AO233" s="7"/>
      <c r="AP233" s="7"/>
      <c r="AQ233" s="7"/>
    </row>
    <row r="234" spans="1:45" s="12" customFormat="1" ht="12.75" customHeight="1" x14ac:dyDescent="0.2">
      <c r="A234" s="4" t="s">
        <v>248</v>
      </c>
      <c r="C234" s="4" t="s">
        <v>101</v>
      </c>
      <c r="E234" s="8">
        <v>495280</v>
      </c>
      <c r="F234" s="8"/>
      <c r="G234" s="8">
        <v>1958895</v>
      </c>
      <c r="H234" s="8"/>
      <c r="I234" s="8">
        <v>141900</v>
      </c>
      <c r="J234" s="8"/>
      <c r="K234" s="8">
        <v>52690</v>
      </c>
      <c r="L234" s="8"/>
      <c r="M234" s="8">
        <v>0</v>
      </c>
      <c r="N234" s="8"/>
      <c r="O234" s="8">
        <v>77502</v>
      </c>
      <c r="P234" s="8"/>
      <c r="Q234" s="8">
        <v>52490</v>
      </c>
      <c r="R234" s="8"/>
      <c r="S234" s="8">
        <v>4600</v>
      </c>
      <c r="T234" s="8"/>
      <c r="U234" s="8">
        <v>0</v>
      </c>
      <c r="V234" s="8"/>
      <c r="W234" s="8">
        <v>0</v>
      </c>
      <c r="X234" s="8"/>
      <c r="Y234" s="8">
        <v>0</v>
      </c>
      <c r="Z234" s="7"/>
      <c r="AA234" s="8">
        <v>0</v>
      </c>
      <c r="AB234" s="7"/>
      <c r="AC234" s="8">
        <f t="shared" si="16"/>
        <v>2783357</v>
      </c>
      <c r="AD234" s="8"/>
      <c r="AE234" s="11">
        <v>0</v>
      </c>
      <c r="AF234" s="11"/>
      <c r="AG234" s="8">
        <v>357000</v>
      </c>
      <c r="AH234" s="8"/>
      <c r="AI234" s="8">
        <v>1858690</v>
      </c>
      <c r="AJ234" s="8"/>
      <c r="AK234" s="8">
        <v>0</v>
      </c>
      <c r="AL234" s="8"/>
      <c r="AM234" s="8">
        <f>+'Gen rev'!U233-'Gen exp'!AC234-AG234+'Gen rev'!W233+AI234+AK234-'Gen Bal'!W234-'Gen exp'!AE234</f>
        <v>0</v>
      </c>
      <c r="AN234" s="11"/>
      <c r="AO234" s="11"/>
      <c r="AP234" s="11"/>
      <c r="AQ234" s="11"/>
      <c r="AR234" s="15"/>
      <c r="AS234" s="13"/>
    </row>
    <row r="235" spans="1:45" s="12" customFormat="1" ht="12.75" customHeight="1" x14ac:dyDescent="0.2">
      <c r="A235" s="4" t="s">
        <v>249</v>
      </c>
      <c r="C235" s="4" t="s">
        <v>64</v>
      </c>
      <c r="E235" s="8">
        <v>3043505</v>
      </c>
      <c r="F235" s="8"/>
      <c r="G235" s="8">
        <v>4324152</v>
      </c>
      <c r="H235" s="8"/>
      <c r="I235" s="8">
        <v>610990</v>
      </c>
      <c r="J235" s="8"/>
      <c r="K235" s="8">
        <v>0</v>
      </c>
      <c r="L235" s="8"/>
      <c r="M235" s="8">
        <v>212315</v>
      </c>
      <c r="N235" s="8"/>
      <c r="O235" s="8">
        <v>388687</v>
      </c>
      <c r="P235" s="8"/>
      <c r="Q235" s="8">
        <v>0</v>
      </c>
      <c r="R235" s="8"/>
      <c r="S235" s="8">
        <v>1988718</v>
      </c>
      <c r="T235" s="8"/>
      <c r="U235" s="8">
        <v>0</v>
      </c>
      <c r="V235" s="8"/>
      <c r="W235" s="8">
        <v>207500</v>
      </c>
      <c r="X235" s="8"/>
      <c r="Y235" s="8">
        <v>244600</v>
      </c>
      <c r="Z235" s="7"/>
      <c r="AA235" s="8">
        <v>0</v>
      </c>
      <c r="AB235" s="7"/>
      <c r="AC235" s="8">
        <f t="shared" si="16"/>
        <v>11020467</v>
      </c>
      <c r="AD235" s="8"/>
      <c r="AE235" s="11">
        <v>0</v>
      </c>
      <c r="AF235" s="11"/>
      <c r="AG235" s="8">
        <v>777000</v>
      </c>
      <c r="AH235" s="8"/>
      <c r="AI235" s="8">
        <v>1699945</v>
      </c>
      <c r="AJ235" s="8"/>
      <c r="AK235" s="8">
        <v>0</v>
      </c>
      <c r="AL235" s="8"/>
      <c r="AM235" s="8">
        <f>+'Gen rev'!U234-'Gen exp'!AC235-AG235+'Gen rev'!W234+AI235+AK235-'Gen Bal'!W235-'Gen exp'!AE235</f>
        <v>0</v>
      </c>
      <c r="AN235" s="8"/>
      <c r="AO235" s="8"/>
      <c r="AP235" s="8"/>
      <c r="AQ235" s="8"/>
      <c r="AR235" s="15"/>
      <c r="AS235" s="13"/>
    </row>
    <row r="236" spans="1:45" s="12" customFormat="1" ht="12.75" customHeight="1" x14ac:dyDescent="0.2">
      <c r="A236" s="19" t="s">
        <v>250</v>
      </c>
      <c r="B236" s="9"/>
      <c r="C236" s="19" t="s">
        <v>207</v>
      </c>
      <c r="D236" s="9"/>
      <c r="E236" s="8">
        <v>3860515</v>
      </c>
      <c r="F236" s="8"/>
      <c r="G236" s="8">
        <v>9371461</v>
      </c>
      <c r="H236" s="8"/>
      <c r="I236" s="8">
        <v>774312</v>
      </c>
      <c r="J236" s="8"/>
      <c r="K236" s="8">
        <v>0</v>
      </c>
      <c r="L236" s="8"/>
      <c r="M236" s="8">
        <v>0</v>
      </c>
      <c r="N236" s="8"/>
      <c r="O236" s="8">
        <v>1568078</v>
      </c>
      <c r="P236" s="8"/>
      <c r="Q236" s="8">
        <v>1052079</v>
      </c>
      <c r="R236" s="8"/>
      <c r="S236" s="8">
        <v>0</v>
      </c>
      <c r="T236" s="8"/>
      <c r="U236" s="8">
        <v>0</v>
      </c>
      <c r="V236" s="8"/>
      <c r="W236" s="8">
        <v>0</v>
      </c>
      <c r="X236" s="8"/>
      <c r="Y236" s="8">
        <v>0</v>
      </c>
      <c r="Z236" s="7"/>
      <c r="AA236" s="8">
        <v>0</v>
      </c>
      <c r="AB236" s="7"/>
      <c r="AC236" s="8">
        <f t="shared" si="16"/>
        <v>16626445</v>
      </c>
      <c r="AD236" s="8"/>
      <c r="AE236" s="11">
        <v>0</v>
      </c>
      <c r="AF236" s="11"/>
      <c r="AG236" s="8">
        <v>3333118</v>
      </c>
      <c r="AH236" s="8"/>
      <c r="AI236" s="8">
        <v>48054833</v>
      </c>
      <c r="AJ236" s="8"/>
      <c r="AK236" s="8">
        <v>0</v>
      </c>
      <c r="AL236" s="8"/>
      <c r="AM236" s="8">
        <f>+'Gen rev'!U235-'Gen exp'!AC236-AG236+'Gen rev'!W235+AI236+AK236-'Gen Bal'!W236-'Gen exp'!AE236</f>
        <v>0</v>
      </c>
      <c r="AN236" s="8"/>
      <c r="AO236" s="8"/>
      <c r="AP236" s="8"/>
      <c r="AQ236" s="8"/>
      <c r="AR236" s="15"/>
      <c r="AS236" s="13"/>
    </row>
    <row r="237" spans="1:45" s="12" customFormat="1" ht="12.75" hidden="1" customHeight="1" x14ac:dyDescent="0.2">
      <c r="A237" s="4" t="s">
        <v>251</v>
      </c>
      <c r="C237" s="4" t="s">
        <v>11</v>
      </c>
      <c r="E237" s="8">
        <v>4583054</v>
      </c>
      <c r="F237" s="8"/>
      <c r="G237" s="8">
        <v>5710312</v>
      </c>
      <c r="H237" s="8"/>
      <c r="I237" s="8">
        <v>1236221</v>
      </c>
      <c r="J237" s="8"/>
      <c r="K237" s="8">
        <v>0</v>
      </c>
      <c r="L237" s="8"/>
      <c r="M237" s="8">
        <v>3930546</v>
      </c>
      <c r="N237" s="8"/>
      <c r="O237" s="8">
        <v>1964427</v>
      </c>
      <c r="P237" s="8"/>
      <c r="Q237" s="8">
        <v>105253</v>
      </c>
      <c r="R237" s="8"/>
      <c r="S237" s="8">
        <v>0</v>
      </c>
      <c r="T237" s="8"/>
      <c r="U237" s="8">
        <v>0</v>
      </c>
      <c r="V237" s="8"/>
      <c r="W237" s="8">
        <v>0</v>
      </c>
      <c r="X237" s="8"/>
      <c r="Y237" s="8">
        <v>0</v>
      </c>
      <c r="Z237" s="7"/>
      <c r="AA237" s="8">
        <v>0</v>
      </c>
      <c r="AB237" s="7"/>
      <c r="AC237" s="8">
        <f t="shared" si="16"/>
        <v>17529813</v>
      </c>
      <c r="AD237" s="8"/>
      <c r="AE237" s="11">
        <v>0</v>
      </c>
      <c r="AF237" s="11"/>
      <c r="AG237" s="8">
        <v>1080747</v>
      </c>
      <c r="AH237" s="8"/>
      <c r="AI237" s="8">
        <v>13943003</v>
      </c>
      <c r="AJ237" s="8"/>
      <c r="AK237" s="8">
        <v>0</v>
      </c>
      <c r="AL237" s="8"/>
      <c r="AM237" s="8">
        <f>+'Gen rev'!U236-'Gen exp'!AC237-AG237+'Gen rev'!W236+AI237+AK237-'Gen Bal'!W237-'Gen exp'!AE237</f>
        <v>0</v>
      </c>
      <c r="AN237" s="8"/>
      <c r="AO237" s="8"/>
      <c r="AP237" s="8"/>
      <c r="AQ237" s="8"/>
      <c r="AR237" s="15"/>
      <c r="AS237" s="13"/>
    </row>
    <row r="238" spans="1:45" s="12" customFormat="1" ht="12.75" customHeight="1" x14ac:dyDescent="0.2">
      <c r="A238" s="4" t="s">
        <v>252</v>
      </c>
      <c r="C238" s="4" t="s">
        <v>87</v>
      </c>
      <c r="E238" s="8">
        <v>573810</v>
      </c>
      <c r="F238" s="8"/>
      <c r="G238" s="8">
        <v>1083559</v>
      </c>
      <c r="H238" s="8"/>
      <c r="I238" s="8">
        <v>0</v>
      </c>
      <c r="J238" s="8"/>
      <c r="K238" s="8">
        <v>2100</v>
      </c>
      <c r="L238" s="8"/>
      <c r="M238" s="8">
        <v>0</v>
      </c>
      <c r="N238" s="8"/>
      <c r="O238" s="8">
        <v>0</v>
      </c>
      <c r="P238" s="8"/>
      <c r="Q238" s="8">
        <v>0</v>
      </c>
      <c r="R238" s="8"/>
      <c r="S238" s="8">
        <v>0</v>
      </c>
      <c r="T238" s="8"/>
      <c r="U238" s="8">
        <v>0</v>
      </c>
      <c r="V238" s="8"/>
      <c r="W238" s="8">
        <v>7229</v>
      </c>
      <c r="X238" s="8"/>
      <c r="Y238" s="8">
        <v>11951</v>
      </c>
      <c r="Z238" s="7"/>
      <c r="AA238" s="8">
        <v>0</v>
      </c>
      <c r="AB238" s="7"/>
      <c r="AC238" s="8">
        <f t="shared" si="16"/>
        <v>1678649</v>
      </c>
      <c r="AD238" s="8"/>
      <c r="AE238" s="11">
        <v>0</v>
      </c>
      <c r="AF238" s="11"/>
      <c r="AG238" s="8">
        <v>30000</v>
      </c>
      <c r="AH238" s="8"/>
      <c r="AI238" s="8">
        <v>469160</v>
      </c>
      <c r="AJ238" s="8"/>
      <c r="AK238" s="8">
        <v>0</v>
      </c>
      <c r="AL238" s="8"/>
      <c r="AM238" s="8">
        <f>+'Gen rev'!U237-'Gen exp'!AC238-AG238+'Gen rev'!W237+AI238+AK238-'Gen Bal'!W238-'Gen exp'!AE238</f>
        <v>0</v>
      </c>
      <c r="AN238" s="8"/>
      <c r="AO238" s="8"/>
      <c r="AP238" s="8"/>
      <c r="AQ238" s="8"/>
      <c r="AR238" s="15"/>
      <c r="AS238" s="13"/>
    </row>
    <row r="239" spans="1:45" s="12" customFormat="1" ht="12.75" customHeight="1" x14ac:dyDescent="0.2">
      <c r="A239" s="4" t="s">
        <v>157</v>
      </c>
      <c r="C239" s="4" t="s">
        <v>64</v>
      </c>
      <c r="E239" s="8">
        <v>854386</v>
      </c>
      <c r="F239" s="8"/>
      <c r="G239" s="8">
        <v>0</v>
      </c>
      <c r="H239" s="8"/>
      <c r="I239" s="8">
        <v>0</v>
      </c>
      <c r="J239" s="8"/>
      <c r="K239" s="8">
        <v>0</v>
      </c>
      <c r="L239" s="8"/>
      <c r="M239" s="8">
        <v>0</v>
      </c>
      <c r="N239" s="8"/>
      <c r="O239" s="8">
        <v>89133</v>
      </c>
      <c r="P239" s="8"/>
      <c r="Q239" s="8">
        <v>0</v>
      </c>
      <c r="R239" s="8"/>
      <c r="S239" s="8">
        <v>215192</v>
      </c>
      <c r="T239" s="8"/>
      <c r="U239" s="8">
        <v>0</v>
      </c>
      <c r="V239" s="8"/>
      <c r="W239" s="8">
        <v>20100</v>
      </c>
      <c r="X239" s="8"/>
      <c r="Y239" s="8">
        <v>1708</v>
      </c>
      <c r="Z239" s="7"/>
      <c r="AA239" s="8">
        <v>0</v>
      </c>
      <c r="AB239" s="7"/>
      <c r="AC239" s="8">
        <f t="shared" si="16"/>
        <v>1180519</v>
      </c>
      <c r="AD239" s="8"/>
      <c r="AE239" s="11">
        <v>0</v>
      </c>
      <c r="AF239" s="11"/>
      <c r="AG239" s="8">
        <v>46800</v>
      </c>
      <c r="AH239" s="8"/>
      <c r="AI239" s="8">
        <v>656369</v>
      </c>
      <c r="AJ239" s="8"/>
      <c r="AK239" s="8">
        <v>0</v>
      </c>
      <c r="AL239" s="8"/>
      <c r="AM239" s="8">
        <f>+'Gen rev'!U238-'Gen exp'!AC239-AG239+'Gen rev'!W238+AI239+AK239-'Gen Bal'!W239-'Gen exp'!AE239</f>
        <v>0</v>
      </c>
      <c r="AN239" s="8"/>
      <c r="AO239" s="8"/>
      <c r="AP239" s="8"/>
      <c r="AQ239" s="8"/>
      <c r="AR239" s="15"/>
      <c r="AS239" s="13"/>
    </row>
    <row r="240" spans="1:45" s="12" customFormat="1" ht="12.75" customHeight="1" x14ac:dyDescent="0.2">
      <c r="A240" s="4" t="s">
        <v>253</v>
      </c>
      <c r="C240" s="4" t="s">
        <v>25</v>
      </c>
      <c r="E240" s="8">
        <v>1610759</v>
      </c>
      <c r="F240" s="8"/>
      <c r="G240" s="8">
        <v>6688749</v>
      </c>
      <c r="H240" s="8"/>
      <c r="I240" s="8">
        <v>582952</v>
      </c>
      <c r="J240" s="8"/>
      <c r="K240" s="8">
        <v>51950</v>
      </c>
      <c r="L240" s="8"/>
      <c r="M240" s="8">
        <v>407640</v>
      </c>
      <c r="N240" s="8"/>
      <c r="O240" s="8">
        <v>313905</v>
      </c>
      <c r="P240" s="8"/>
      <c r="Q240" s="8">
        <v>1104225</v>
      </c>
      <c r="R240" s="8"/>
      <c r="S240" s="8">
        <v>18529</v>
      </c>
      <c r="T240" s="8"/>
      <c r="U240" s="8">
        <v>0</v>
      </c>
      <c r="V240" s="8"/>
      <c r="W240" s="8">
        <v>35424</v>
      </c>
      <c r="X240" s="8"/>
      <c r="Y240" s="8">
        <v>5563</v>
      </c>
      <c r="Z240" s="7"/>
      <c r="AA240" s="8">
        <v>0</v>
      </c>
      <c r="AB240" s="7"/>
      <c r="AC240" s="8">
        <f t="shared" si="16"/>
        <v>10819696</v>
      </c>
      <c r="AD240" s="8"/>
      <c r="AE240" s="11">
        <v>0</v>
      </c>
      <c r="AF240" s="11"/>
      <c r="AG240" s="8">
        <v>2290000</v>
      </c>
      <c r="AH240" s="8"/>
      <c r="AI240" s="8">
        <v>3242551</v>
      </c>
      <c r="AJ240" s="8"/>
      <c r="AK240" s="8">
        <v>0</v>
      </c>
      <c r="AL240" s="8"/>
      <c r="AM240" s="8">
        <f>+'Gen rev'!U239-'Gen exp'!AC240-AG240+'Gen rev'!W239+AI240+AK240-'Gen Bal'!W240-'Gen exp'!AE240</f>
        <v>0</v>
      </c>
      <c r="AN240" s="8"/>
      <c r="AO240" s="8"/>
      <c r="AP240" s="6"/>
      <c r="AQ240" s="6"/>
      <c r="AR240" s="13"/>
      <c r="AS240" s="13"/>
    </row>
    <row r="241" spans="1:45" s="9" customFormat="1" ht="12.75" customHeight="1" x14ac:dyDescent="0.2">
      <c r="A241" s="19" t="s">
        <v>254</v>
      </c>
      <c r="C241" s="19" t="s">
        <v>41</v>
      </c>
      <c r="E241" s="8">
        <v>6752570</v>
      </c>
      <c r="F241" s="8"/>
      <c r="G241" s="8">
        <v>15433774</v>
      </c>
      <c r="H241" s="8"/>
      <c r="I241" s="8">
        <v>993938</v>
      </c>
      <c r="J241" s="8"/>
      <c r="K241" s="8">
        <v>0</v>
      </c>
      <c r="L241" s="8"/>
      <c r="M241" s="8">
        <v>0</v>
      </c>
      <c r="N241" s="8"/>
      <c r="O241" s="8">
        <v>2835958</v>
      </c>
      <c r="P241" s="8"/>
      <c r="Q241" s="8">
        <v>1853179</v>
      </c>
      <c r="R241" s="8"/>
      <c r="S241" s="8">
        <v>1570668</v>
      </c>
      <c r="T241" s="8"/>
      <c r="U241" s="8">
        <v>0</v>
      </c>
      <c r="V241" s="8"/>
      <c r="W241" s="8">
        <v>0</v>
      </c>
      <c r="X241" s="8"/>
      <c r="Y241" s="8">
        <v>0</v>
      </c>
      <c r="Z241" s="7"/>
      <c r="AA241" s="7">
        <v>0</v>
      </c>
      <c r="AB241" s="7"/>
      <c r="AC241" s="8">
        <f t="shared" si="16"/>
        <v>29440087</v>
      </c>
      <c r="AD241" s="8"/>
      <c r="AE241" s="11">
        <v>0</v>
      </c>
      <c r="AF241" s="11"/>
      <c r="AG241" s="8">
        <v>7297160</v>
      </c>
      <c r="AH241" s="40"/>
      <c r="AI241" s="8">
        <v>31122897</v>
      </c>
      <c r="AJ241" s="8"/>
      <c r="AK241" s="8">
        <v>0</v>
      </c>
      <c r="AL241" s="40"/>
      <c r="AM241" s="40">
        <f>+'Gen rev'!U240-'Gen exp'!AC241-AG241+'Gen rev'!W240+AI241+AK241-'Gen Bal'!W241-'Gen exp'!AE241</f>
        <v>0</v>
      </c>
      <c r="AN241" s="40"/>
      <c r="AO241" s="40"/>
      <c r="AP241" s="40"/>
      <c r="AQ241" s="40"/>
      <c r="AR241" s="36"/>
      <c r="AS241" s="19"/>
    </row>
    <row r="242" spans="1:45" s="12" customFormat="1" ht="12.75" customHeight="1" x14ac:dyDescent="0.2">
      <c r="A242" s="4"/>
      <c r="C242" s="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7"/>
      <c r="AA242" s="8"/>
      <c r="AB242" s="7"/>
      <c r="AC242" s="8"/>
      <c r="AD242" s="8"/>
      <c r="AE242" s="11"/>
      <c r="AF242" s="11"/>
      <c r="AG242" s="11" t="s">
        <v>478</v>
      </c>
      <c r="AH242" s="8"/>
      <c r="AI242" s="8"/>
      <c r="AJ242" s="8"/>
      <c r="AK242" s="8"/>
      <c r="AL242" s="8"/>
      <c r="AM242" s="8"/>
      <c r="AN242" s="8"/>
      <c r="AO242" s="8"/>
      <c r="AP242" s="6"/>
      <c r="AQ242" s="6"/>
      <c r="AR242" s="13"/>
      <c r="AS242" s="13"/>
    </row>
    <row r="243" spans="1:45" s="12" customFormat="1" ht="12.75" customHeight="1" x14ac:dyDescent="0.2">
      <c r="A243" s="4" t="s">
        <v>255</v>
      </c>
      <c r="C243" s="4" t="s">
        <v>256</v>
      </c>
      <c r="E243" s="40">
        <f>881708+544971</f>
        <v>1426679</v>
      </c>
      <c r="F243" s="40"/>
      <c r="G243" s="40">
        <v>1824717</v>
      </c>
      <c r="H243" s="40"/>
      <c r="I243" s="40">
        <v>62806</v>
      </c>
      <c r="J243" s="40"/>
      <c r="K243" s="40">
        <v>19525</v>
      </c>
      <c r="L243" s="40"/>
      <c r="M243" s="40">
        <v>0</v>
      </c>
      <c r="N243" s="40"/>
      <c r="O243" s="40">
        <v>402330</v>
      </c>
      <c r="P243" s="40"/>
      <c r="Q243" s="40">
        <v>0</v>
      </c>
      <c r="R243" s="40"/>
      <c r="S243" s="40">
        <v>0</v>
      </c>
      <c r="T243" s="40"/>
      <c r="U243" s="40">
        <v>0</v>
      </c>
      <c r="V243" s="40"/>
      <c r="W243" s="40">
        <v>23770</v>
      </c>
      <c r="X243" s="40"/>
      <c r="Y243" s="40">
        <v>1634</v>
      </c>
      <c r="Z243" s="9"/>
      <c r="AA243" s="40">
        <v>0</v>
      </c>
      <c r="AB243" s="9"/>
      <c r="AC243" s="40">
        <f t="shared" ref="AC243:AC261" si="17">SUM(E243:AA243)</f>
        <v>3761461</v>
      </c>
      <c r="AD243" s="40"/>
      <c r="AE243" s="22">
        <v>0</v>
      </c>
      <c r="AF243" s="22"/>
      <c r="AG243" s="40">
        <v>260309</v>
      </c>
      <c r="AH243" s="8"/>
      <c r="AI243" s="8">
        <v>557877</v>
      </c>
      <c r="AJ243" s="8"/>
      <c r="AK243" s="8">
        <v>-1276</v>
      </c>
      <c r="AL243" s="8"/>
      <c r="AM243" s="8">
        <f>+'Gen rev'!U242-'Gen exp'!AC243-AG243+'Gen rev'!W242+AI243+AK243-'Gen Bal'!W243-'Gen exp'!AE243</f>
        <v>0</v>
      </c>
      <c r="AN243" s="7"/>
      <c r="AO243" s="7"/>
      <c r="AP243" s="7"/>
      <c r="AQ243" s="7"/>
    </row>
    <row r="244" spans="1:45" s="12" customFormat="1" ht="12.75" customHeight="1" x14ac:dyDescent="0.2">
      <c r="A244" s="4" t="s">
        <v>257</v>
      </c>
      <c r="C244" s="4" t="s">
        <v>258</v>
      </c>
      <c r="E244" s="8">
        <v>1692128</v>
      </c>
      <c r="F244" s="8"/>
      <c r="G244" s="8">
        <v>3371971</v>
      </c>
      <c r="H244" s="8"/>
      <c r="I244" s="8">
        <v>0</v>
      </c>
      <c r="J244" s="8"/>
      <c r="K244" s="8">
        <v>42001</v>
      </c>
      <c r="L244" s="8"/>
      <c r="M244" s="8">
        <v>0</v>
      </c>
      <c r="N244" s="8"/>
      <c r="O244" s="8">
        <v>271655</v>
      </c>
      <c r="P244" s="8"/>
      <c r="Q244" s="8">
        <v>0</v>
      </c>
      <c r="R244" s="8"/>
      <c r="S244" s="8">
        <v>0</v>
      </c>
      <c r="T244" s="8"/>
      <c r="U244" s="8">
        <v>0</v>
      </c>
      <c r="V244" s="8"/>
      <c r="W244" s="8">
        <v>0</v>
      </c>
      <c r="X244" s="8"/>
      <c r="Y244" s="8">
        <v>0</v>
      </c>
      <c r="Z244" s="7"/>
      <c r="AA244" s="8">
        <v>0</v>
      </c>
      <c r="AB244" s="7"/>
      <c r="AC244" s="8">
        <f t="shared" si="17"/>
        <v>5377755</v>
      </c>
      <c r="AD244" s="8"/>
      <c r="AE244" s="11">
        <v>0</v>
      </c>
      <c r="AF244" s="11"/>
      <c r="AG244" s="8">
        <v>235000</v>
      </c>
      <c r="AH244" s="8"/>
      <c r="AI244" s="8">
        <v>1320754</v>
      </c>
      <c r="AJ244" s="8"/>
      <c r="AK244" s="8">
        <v>0</v>
      </c>
      <c r="AL244" s="8"/>
      <c r="AM244" s="8">
        <f>+'Gen rev'!U243-'Gen exp'!AC244-AG244+'Gen rev'!W243+AI244+AK244-'Gen Bal'!W244-'Gen exp'!AE244</f>
        <v>0</v>
      </c>
      <c r="AN244" s="7"/>
      <c r="AO244" s="7"/>
      <c r="AP244" s="7"/>
      <c r="AQ244" s="7"/>
    </row>
    <row r="245" spans="1:45" s="12" customFormat="1" ht="12.75" customHeight="1" x14ac:dyDescent="0.2">
      <c r="A245" s="4" t="s">
        <v>259</v>
      </c>
      <c r="C245" s="4" t="s">
        <v>64</v>
      </c>
      <c r="E245" s="8">
        <f>3462280+1801368</f>
        <v>5263648</v>
      </c>
      <c r="F245" s="8"/>
      <c r="G245" s="8">
        <f>4200091+1687193</f>
        <v>5887284</v>
      </c>
      <c r="H245" s="8"/>
      <c r="I245" s="8">
        <v>0</v>
      </c>
      <c r="J245" s="8"/>
      <c r="K245" s="8">
        <v>0</v>
      </c>
      <c r="L245" s="8"/>
      <c r="M245" s="8">
        <f>887402+630101</f>
        <v>1517503</v>
      </c>
      <c r="N245" s="8"/>
      <c r="O245" s="8">
        <v>3175319</v>
      </c>
      <c r="P245" s="8"/>
      <c r="Q245" s="8">
        <v>965658</v>
      </c>
      <c r="R245" s="8"/>
      <c r="S245" s="8">
        <v>8000</v>
      </c>
      <c r="T245" s="8"/>
      <c r="U245" s="8">
        <v>0</v>
      </c>
      <c r="V245" s="8"/>
      <c r="W245" s="8">
        <v>0</v>
      </c>
      <c r="X245" s="8"/>
      <c r="Y245" s="8">
        <v>0</v>
      </c>
      <c r="Z245" s="7"/>
      <c r="AA245" s="8">
        <v>0</v>
      </c>
      <c r="AB245" s="7"/>
      <c r="AC245" s="8">
        <f t="shared" si="17"/>
        <v>16817412</v>
      </c>
      <c r="AD245" s="8"/>
      <c r="AE245" s="11">
        <v>0</v>
      </c>
      <c r="AF245" s="11"/>
      <c r="AG245" s="8">
        <v>3855648</v>
      </c>
      <c r="AH245" s="8"/>
      <c r="AI245" s="8">
        <v>13445787</v>
      </c>
      <c r="AJ245" s="8"/>
      <c r="AK245" s="8">
        <v>0</v>
      </c>
      <c r="AL245" s="8"/>
      <c r="AM245" s="8">
        <f>+'Gen rev'!U244-'Gen exp'!AC245-AG245+'Gen rev'!W244+AI245+AK245-'Gen Bal'!W245-'Gen exp'!AE245</f>
        <v>0</v>
      </c>
      <c r="AN245" s="7"/>
      <c r="AO245" s="7"/>
      <c r="AP245" s="7"/>
      <c r="AQ245" s="7"/>
    </row>
    <row r="246" spans="1:45" s="12" customFormat="1" ht="12.75" customHeight="1" x14ac:dyDescent="0.2">
      <c r="A246" s="4" t="s">
        <v>260</v>
      </c>
      <c r="C246" s="4" t="s">
        <v>130</v>
      </c>
      <c r="E246" s="8">
        <v>2130529</v>
      </c>
      <c r="F246" s="8"/>
      <c r="G246" s="8">
        <v>2076039</v>
      </c>
      <c r="H246" s="8"/>
      <c r="I246" s="8">
        <v>170562</v>
      </c>
      <c r="J246" s="8"/>
      <c r="K246" s="8">
        <v>0</v>
      </c>
      <c r="L246" s="8"/>
      <c r="M246" s="8">
        <v>0</v>
      </c>
      <c r="N246" s="8"/>
      <c r="O246" s="8">
        <v>170583</v>
      </c>
      <c r="P246" s="8"/>
      <c r="Q246" s="8">
        <v>79445</v>
      </c>
      <c r="R246" s="8"/>
      <c r="S246" s="8">
        <v>0</v>
      </c>
      <c r="T246" s="8"/>
      <c r="U246" s="8">
        <v>0</v>
      </c>
      <c r="V246" s="8"/>
      <c r="W246" s="8">
        <v>59632</v>
      </c>
      <c r="X246" s="8"/>
      <c r="Y246" s="8">
        <v>12154</v>
      </c>
      <c r="Z246" s="7"/>
      <c r="AA246" s="8">
        <v>0</v>
      </c>
      <c r="AB246" s="7"/>
      <c r="AC246" s="8">
        <f t="shared" si="17"/>
        <v>4698944</v>
      </c>
      <c r="AD246" s="8"/>
      <c r="AE246" s="11">
        <v>0</v>
      </c>
      <c r="AF246" s="11"/>
      <c r="AG246" s="8">
        <v>457485</v>
      </c>
      <c r="AH246" s="8"/>
      <c r="AI246" s="8">
        <v>121429</v>
      </c>
      <c r="AJ246" s="8"/>
      <c r="AK246" s="8">
        <v>0</v>
      </c>
      <c r="AL246" s="8"/>
      <c r="AM246" s="8">
        <f>+'Gen rev'!U245-'Gen exp'!AC246-AG246+'Gen rev'!W245+AI246+AK246-'Gen Bal'!W246-'Gen exp'!AE246</f>
        <v>0</v>
      </c>
      <c r="AN246" s="7"/>
      <c r="AO246" s="7"/>
      <c r="AP246" s="7"/>
      <c r="AQ246" s="7"/>
    </row>
    <row r="247" spans="1:45" s="12" customFormat="1" ht="12.75" customHeight="1" x14ac:dyDescent="0.2">
      <c r="A247" s="7" t="s">
        <v>497</v>
      </c>
      <c r="B247" s="10"/>
      <c r="C247" s="7" t="s">
        <v>43</v>
      </c>
      <c r="E247" s="8">
        <v>1773279</v>
      </c>
      <c r="F247" s="8"/>
      <c r="G247" s="8">
        <v>4512265</v>
      </c>
      <c r="H247" s="8"/>
      <c r="I247" s="8">
        <v>1500612</v>
      </c>
      <c r="J247" s="8"/>
      <c r="K247" s="8">
        <v>111488</v>
      </c>
      <c r="L247" s="8"/>
      <c r="M247" s="8">
        <v>0</v>
      </c>
      <c r="N247" s="8"/>
      <c r="O247" s="8">
        <v>782460</v>
      </c>
      <c r="P247" s="8"/>
      <c r="Q247" s="8">
        <v>0</v>
      </c>
      <c r="R247" s="8"/>
      <c r="S247" s="8">
        <v>0</v>
      </c>
      <c r="T247" s="8"/>
      <c r="U247" s="8">
        <v>0</v>
      </c>
      <c r="V247" s="8"/>
      <c r="W247" s="8">
        <v>0</v>
      </c>
      <c r="X247" s="8"/>
      <c r="Y247" s="8">
        <v>0</v>
      </c>
      <c r="Z247" s="7"/>
      <c r="AA247" s="8">
        <v>0</v>
      </c>
      <c r="AB247" s="7"/>
      <c r="AC247" s="8">
        <f t="shared" si="17"/>
        <v>8680104</v>
      </c>
      <c r="AD247" s="8"/>
      <c r="AE247" s="11">
        <v>0</v>
      </c>
      <c r="AF247" s="11"/>
      <c r="AG247" s="8">
        <v>2619629</v>
      </c>
      <c r="AH247" s="8"/>
      <c r="AI247" s="8">
        <v>10838290</v>
      </c>
      <c r="AJ247" s="8"/>
      <c r="AK247" s="8">
        <v>1499</v>
      </c>
      <c r="AL247" s="8"/>
      <c r="AM247" s="8">
        <f>+'Gen rev'!U246-'Gen exp'!AC247-AG247+'Gen rev'!W246+AI247+AK247-'Gen Bal'!W247-'Gen exp'!AE247</f>
        <v>0</v>
      </c>
      <c r="AN247" s="7"/>
      <c r="AO247" s="7"/>
      <c r="AP247" s="7"/>
      <c r="AQ247" s="7"/>
    </row>
    <row r="248" spans="1:45" s="12" customFormat="1" ht="12.75" customHeight="1" x14ac:dyDescent="0.2">
      <c r="A248" s="4" t="s">
        <v>261</v>
      </c>
      <c r="C248" s="4" t="s">
        <v>51</v>
      </c>
      <c r="E248" s="8">
        <v>2786449</v>
      </c>
      <c r="F248" s="8"/>
      <c r="G248" s="8">
        <v>4465530</v>
      </c>
      <c r="H248" s="8"/>
      <c r="I248" s="8">
        <v>444249</v>
      </c>
      <c r="J248" s="8"/>
      <c r="K248" s="8">
        <v>105571</v>
      </c>
      <c r="L248" s="8"/>
      <c r="M248" s="8">
        <v>219</v>
      </c>
      <c r="N248" s="8"/>
      <c r="O248" s="8">
        <v>1098706</v>
      </c>
      <c r="P248" s="8"/>
      <c r="Q248" s="8">
        <v>0</v>
      </c>
      <c r="R248" s="8"/>
      <c r="S248" s="8">
        <v>194227</v>
      </c>
      <c r="T248" s="8"/>
      <c r="U248" s="8">
        <v>0</v>
      </c>
      <c r="V248" s="8"/>
      <c r="W248" s="8">
        <v>2351</v>
      </c>
      <c r="X248" s="8"/>
      <c r="Y248" s="8">
        <v>3887</v>
      </c>
      <c r="Z248" s="7"/>
      <c r="AA248" s="8">
        <v>0</v>
      </c>
      <c r="AB248" s="7"/>
      <c r="AC248" s="8">
        <f t="shared" si="17"/>
        <v>9101189</v>
      </c>
      <c r="AD248" s="8"/>
      <c r="AE248" s="11">
        <v>0</v>
      </c>
      <c r="AF248" s="11"/>
      <c r="AG248" s="8">
        <v>807110</v>
      </c>
      <c r="AH248" s="8"/>
      <c r="AI248" s="8">
        <v>6064690</v>
      </c>
      <c r="AJ248" s="8"/>
      <c r="AK248" s="8">
        <v>0</v>
      </c>
      <c r="AL248" s="8"/>
      <c r="AM248" s="8">
        <f>+'Gen rev'!U247-'Gen exp'!AC248-AG248+'Gen rev'!W247+AI248+AK248-'Gen Bal'!W248-'Gen exp'!AE248</f>
        <v>0</v>
      </c>
      <c r="AN248" s="8"/>
      <c r="AO248" s="8"/>
      <c r="AP248" s="8"/>
      <c r="AQ248" s="8"/>
      <c r="AR248" s="15"/>
      <c r="AS248" s="13"/>
    </row>
    <row r="249" spans="1:45" s="9" customFormat="1" ht="12.75" customHeight="1" x14ac:dyDescent="0.2">
      <c r="A249" s="4" t="s">
        <v>262</v>
      </c>
      <c r="B249" s="12"/>
      <c r="C249" s="4" t="s">
        <v>237</v>
      </c>
      <c r="D249" s="12"/>
      <c r="E249" s="8">
        <v>491108</v>
      </c>
      <c r="F249" s="8"/>
      <c r="G249" s="8">
        <f>1547057+1461318+4592</f>
        <v>3012967</v>
      </c>
      <c r="H249" s="8"/>
      <c r="I249" s="8">
        <v>63344</v>
      </c>
      <c r="J249" s="8"/>
      <c r="K249" s="8">
        <v>143550</v>
      </c>
      <c r="L249" s="8"/>
      <c r="M249" s="8">
        <v>0</v>
      </c>
      <c r="N249" s="8"/>
      <c r="O249" s="8">
        <v>225017</v>
      </c>
      <c r="P249" s="8"/>
      <c r="Q249" s="8">
        <v>0</v>
      </c>
      <c r="R249" s="8"/>
      <c r="S249" s="8">
        <v>0</v>
      </c>
      <c r="T249" s="8"/>
      <c r="U249" s="8">
        <v>0</v>
      </c>
      <c r="V249" s="8"/>
      <c r="W249" s="8">
        <v>35615</v>
      </c>
      <c r="X249" s="8"/>
      <c r="Y249" s="8">
        <v>10729</v>
      </c>
      <c r="Z249" s="7"/>
      <c r="AA249" s="8">
        <v>0</v>
      </c>
      <c r="AB249" s="7"/>
      <c r="AC249" s="8">
        <f t="shared" si="17"/>
        <v>3982330</v>
      </c>
      <c r="AD249" s="8"/>
      <c r="AE249" s="11">
        <v>0</v>
      </c>
      <c r="AF249" s="11"/>
      <c r="AG249" s="8">
        <v>1075000</v>
      </c>
      <c r="AH249" s="8"/>
      <c r="AI249" s="8">
        <v>2346900</v>
      </c>
      <c r="AJ249" s="8"/>
      <c r="AK249" s="8">
        <v>0</v>
      </c>
      <c r="AL249" s="8"/>
      <c r="AM249" s="8">
        <f>+'Gen rev'!U248-'Gen exp'!AC249-AG249+'Gen rev'!W248+AI249+AK249-'Gen Bal'!W249-'Gen exp'!AE249</f>
        <v>0</v>
      </c>
      <c r="AN249" s="40"/>
      <c r="AO249" s="40"/>
      <c r="AP249" s="40"/>
      <c r="AQ249" s="40"/>
      <c r="AR249" s="36"/>
      <c r="AS249" s="19"/>
    </row>
    <row r="250" spans="1:45" s="12" customFormat="1" ht="12.75" customHeight="1" x14ac:dyDescent="0.2">
      <c r="A250" s="4" t="s">
        <v>109</v>
      </c>
      <c r="C250" s="4" t="s">
        <v>78</v>
      </c>
      <c r="E250" s="8">
        <v>7515876</v>
      </c>
      <c r="F250" s="8"/>
      <c r="G250" s="8">
        <v>16694826</v>
      </c>
      <c r="H250" s="8"/>
      <c r="I250" s="8">
        <v>1766330</v>
      </c>
      <c r="J250" s="8"/>
      <c r="K250" s="8">
        <v>631915</v>
      </c>
      <c r="L250" s="8"/>
      <c r="M250" s="8">
        <v>0</v>
      </c>
      <c r="N250" s="8"/>
      <c r="O250" s="8">
        <v>493165</v>
      </c>
      <c r="P250" s="8"/>
      <c r="Q250" s="8">
        <v>0</v>
      </c>
      <c r="R250" s="8"/>
      <c r="S250" s="8">
        <v>0</v>
      </c>
      <c r="T250" s="8"/>
      <c r="U250" s="8">
        <v>0</v>
      </c>
      <c r="V250" s="8"/>
      <c r="W250" s="8">
        <v>58521</v>
      </c>
      <c r="X250" s="8"/>
      <c r="Y250" s="8">
        <v>5353</v>
      </c>
      <c r="Z250" s="7"/>
      <c r="AA250" s="8">
        <v>9259</v>
      </c>
      <c r="AB250" s="7"/>
      <c r="AC250" s="8">
        <f t="shared" si="17"/>
        <v>27175245</v>
      </c>
      <c r="AD250" s="8"/>
      <c r="AE250" s="11">
        <v>0</v>
      </c>
      <c r="AF250" s="11"/>
      <c r="AG250" s="8">
        <v>878864</v>
      </c>
      <c r="AH250" s="8"/>
      <c r="AI250" s="8">
        <v>5585283</v>
      </c>
      <c r="AJ250" s="8"/>
      <c r="AK250" s="8">
        <v>0</v>
      </c>
      <c r="AL250" s="8"/>
      <c r="AM250" s="8">
        <f>+'Gen rev'!U249-'Gen exp'!AC250-AG250+'Gen rev'!W249+AI250+AK250-'Gen Bal'!W250-'Gen exp'!AE250</f>
        <v>0</v>
      </c>
      <c r="AN250" s="8"/>
      <c r="AO250" s="8"/>
      <c r="AP250" s="8"/>
      <c r="AQ250" s="8"/>
      <c r="AR250" s="15"/>
      <c r="AS250" s="13"/>
    </row>
    <row r="251" spans="1:45" s="12" customFormat="1" ht="12.75" hidden="1" customHeight="1" x14ac:dyDescent="0.2">
      <c r="A251" s="4" t="s">
        <v>263</v>
      </c>
      <c r="C251" s="4" t="s">
        <v>25</v>
      </c>
      <c r="E251" s="8">
        <v>3241132</v>
      </c>
      <c r="F251" s="8"/>
      <c r="G251" s="8">
        <f>5075963+3527751</f>
        <v>8603714</v>
      </c>
      <c r="H251" s="8"/>
      <c r="I251" s="8">
        <v>662848</v>
      </c>
      <c r="J251" s="8"/>
      <c r="K251" s="8">
        <v>55903</v>
      </c>
      <c r="L251" s="8"/>
      <c r="M251" s="8">
        <v>1245332</v>
      </c>
      <c r="N251" s="8"/>
      <c r="O251" s="8">
        <v>227370</v>
      </c>
      <c r="P251" s="8"/>
      <c r="Q251" s="8">
        <v>995680</v>
      </c>
      <c r="R251" s="8"/>
      <c r="S251" s="8">
        <v>0</v>
      </c>
      <c r="T251" s="8"/>
      <c r="U251" s="8">
        <v>0</v>
      </c>
      <c r="V251" s="8"/>
      <c r="W251" s="8">
        <v>0</v>
      </c>
      <c r="X251" s="8"/>
      <c r="Y251" s="8">
        <v>14235</v>
      </c>
      <c r="Z251" s="7"/>
      <c r="AA251" s="8">
        <v>0</v>
      </c>
      <c r="AB251" s="7"/>
      <c r="AC251" s="8">
        <f t="shared" si="17"/>
        <v>15046214</v>
      </c>
      <c r="AD251" s="8"/>
      <c r="AE251" s="11">
        <v>0</v>
      </c>
      <c r="AF251" s="11"/>
      <c r="AG251" s="8">
        <f>474500+1000000</f>
        <v>1474500</v>
      </c>
      <c r="AH251" s="8"/>
      <c r="AI251" s="8">
        <v>2667909</v>
      </c>
      <c r="AJ251" s="8"/>
      <c r="AK251" s="8">
        <v>0</v>
      </c>
      <c r="AL251" s="8"/>
      <c r="AM251" s="8">
        <f>+'Gen rev'!U250-'Gen exp'!AC251-AG251+'Gen rev'!W250+AI251+AK251-'Gen Bal'!W251-'Gen exp'!AE251</f>
        <v>-1540992</v>
      </c>
      <c r="AN251" s="7"/>
      <c r="AO251" s="7"/>
      <c r="AP251" s="7"/>
      <c r="AQ251" s="7"/>
    </row>
    <row r="252" spans="1:45" s="12" customFormat="1" ht="12.75" customHeight="1" x14ac:dyDescent="0.2">
      <c r="A252" s="4" t="s">
        <v>498</v>
      </c>
      <c r="C252" s="10" t="s">
        <v>448</v>
      </c>
      <c r="E252" s="8">
        <v>2291808</v>
      </c>
      <c r="F252" s="8"/>
      <c r="G252" s="8">
        <v>3703464</v>
      </c>
      <c r="H252" s="8"/>
      <c r="I252" s="8">
        <v>799639</v>
      </c>
      <c r="J252" s="8"/>
      <c r="K252" s="8">
        <v>34750</v>
      </c>
      <c r="L252" s="8"/>
      <c r="M252" s="8">
        <v>0</v>
      </c>
      <c r="N252" s="8"/>
      <c r="O252" s="8">
        <v>67150</v>
      </c>
      <c r="P252" s="8"/>
      <c r="Q252" s="8">
        <v>0</v>
      </c>
      <c r="R252" s="8"/>
      <c r="S252" s="8">
        <v>0</v>
      </c>
      <c r="T252" s="8"/>
      <c r="U252" s="8">
        <v>0</v>
      </c>
      <c r="V252" s="8"/>
      <c r="W252" s="8">
        <v>0</v>
      </c>
      <c r="X252" s="8"/>
      <c r="Y252" s="8">
        <v>0</v>
      </c>
      <c r="Z252" s="7"/>
      <c r="AA252" s="8">
        <v>0</v>
      </c>
      <c r="AB252" s="7"/>
      <c r="AC252" s="8">
        <f t="shared" si="17"/>
        <v>6896811</v>
      </c>
      <c r="AD252" s="8"/>
      <c r="AE252" s="11">
        <v>0</v>
      </c>
      <c r="AF252" s="11"/>
      <c r="AG252" s="8">
        <v>0</v>
      </c>
      <c r="AH252" s="8"/>
      <c r="AI252" s="8">
        <v>977280</v>
      </c>
      <c r="AJ252" s="8"/>
      <c r="AK252" s="8">
        <v>0</v>
      </c>
      <c r="AL252" s="8"/>
      <c r="AM252" s="8">
        <f>+'Gen rev'!U251-'Gen exp'!AC252-AG252+'Gen rev'!W251+AI252+AK252-'Gen Bal'!W252-'Gen exp'!AE252</f>
        <v>0</v>
      </c>
      <c r="AN252" s="7"/>
      <c r="AO252" s="7"/>
      <c r="AP252" s="7"/>
      <c r="AQ252" s="7"/>
    </row>
    <row r="253" spans="1:45" s="12" customFormat="1" ht="12.75" customHeight="1" x14ac:dyDescent="0.2">
      <c r="A253" s="7" t="s">
        <v>499</v>
      </c>
      <c r="B253" s="10"/>
      <c r="C253" s="7" t="s">
        <v>161</v>
      </c>
      <c r="E253" s="8">
        <v>1024985</v>
      </c>
      <c r="F253" s="8"/>
      <c r="G253" s="8">
        <f>1084768+354332+69844</f>
        <v>1508944</v>
      </c>
      <c r="H253" s="8"/>
      <c r="I253" s="8">
        <v>39311</v>
      </c>
      <c r="J253" s="8"/>
      <c r="K253" s="8">
        <v>0</v>
      </c>
      <c r="L253" s="8"/>
      <c r="M253" s="8">
        <v>0</v>
      </c>
      <c r="N253" s="8"/>
      <c r="O253" s="8">
        <v>17700</v>
      </c>
      <c r="P253" s="8"/>
      <c r="Q253" s="8">
        <v>257572</v>
      </c>
      <c r="R253" s="8"/>
      <c r="S253" s="8">
        <v>0</v>
      </c>
      <c r="T253" s="8"/>
      <c r="U253" s="8">
        <v>0</v>
      </c>
      <c r="V253" s="8"/>
      <c r="W253" s="8">
        <v>3997</v>
      </c>
      <c r="X253" s="8"/>
      <c r="Y253" s="8">
        <v>215</v>
      </c>
      <c r="Z253" s="7"/>
      <c r="AA253" s="8">
        <v>0</v>
      </c>
      <c r="AB253" s="7"/>
      <c r="AC253" s="8">
        <f t="shared" ref="AC253" si="18">SUM(E253:AA253)</f>
        <v>2852724</v>
      </c>
      <c r="AD253" s="8"/>
      <c r="AE253" s="11">
        <v>0</v>
      </c>
      <c r="AF253" s="11"/>
      <c r="AG253" s="8">
        <v>574908</v>
      </c>
      <c r="AH253" s="8"/>
      <c r="AI253" s="8">
        <v>1146455</v>
      </c>
      <c r="AJ253" s="8"/>
      <c r="AK253" s="8">
        <v>0</v>
      </c>
      <c r="AL253" s="8"/>
      <c r="AM253" s="8">
        <f>+'Gen rev'!U252-'Gen exp'!AC253-AG253+'Gen rev'!W252+AI253+AK253-'Gen Bal'!W253-'Gen exp'!AE253</f>
        <v>0</v>
      </c>
      <c r="AN253" s="7"/>
      <c r="AO253" s="7"/>
      <c r="AP253" s="7"/>
      <c r="AQ253" s="7"/>
    </row>
    <row r="254" spans="1:45" s="9" customFormat="1" ht="12.75" customHeight="1" x14ac:dyDescent="0.2">
      <c r="A254" s="4" t="s">
        <v>264</v>
      </c>
      <c r="B254" s="12"/>
      <c r="C254" s="4" t="s">
        <v>265</v>
      </c>
      <c r="D254" s="12"/>
      <c r="E254" s="8">
        <v>587474</v>
      </c>
      <c r="F254" s="8"/>
      <c r="G254" s="8">
        <v>2275213</v>
      </c>
      <c r="H254" s="8"/>
      <c r="I254" s="8">
        <v>187382</v>
      </c>
      <c r="J254" s="8"/>
      <c r="K254" s="8">
        <v>0</v>
      </c>
      <c r="L254" s="8"/>
      <c r="M254" s="8">
        <v>292618</v>
      </c>
      <c r="N254" s="8"/>
      <c r="O254" s="8">
        <v>380274</v>
      </c>
      <c r="P254" s="8"/>
      <c r="Q254" s="8">
        <v>16310</v>
      </c>
      <c r="R254" s="8"/>
      <c r="S254" s="8">
        <v>125</v>
      </c>
      <c r="T254" s="8"/>
      <c r="U254" s="8">
        <v>0</v>
      </c>
      <c r="V254" s="8"/>
      <c r="W254" s="8">
        <v>0</v>
      </c>
      <c r="X254" s="8"/>
      <c r="Y254" s="8">
        <v>0</v>
      </c>
      <c r="Z254" s="7"/>
      <c r="AA254" s="8">
        <v>0</v>
      </c>
      <c r="AB254" s="7"/>
      <c r="AC254" s="8">
        <f t="shared" si="17"/>
        <v>3739396</v>
      </c>
      <c r="AD254" s="8"/>
      <c r="AE254" s="11">
        <v>0</v>
      </c>
      <c r="AF254" s="11"/>
      <c r="AG254" s="8">
        <v>39012</v>
      </c>
      <c r="AH254" s="8"/>
      <c r="AI254" s="8">
        <v>639334</v>
      </c>
      <c r="AJ254" s="8"/>
      <c r="AK254" s="8">
        <v>-5895</v>
      </c>
      <c r="AL254" s="8"/>
      <c r="AM254" s="8">
        <f>+'Gen rev'!U253-'Gen exp'!AC254-AG254+'Gen rev'!W253+AI254+AK254-'Gen Bal'!W254-'Gen exp'!AE254</f>
        <v>0</v>
      </c>
      <c r="AN254" s="40"/>
      <c r="AO254" s="40"/>
      <c r="AP254" s="40"/>
      <c r="AQ254" s="40"/>
      <c r="AR254" s="36"/>
      <c r="AS254" s="19"/>
    </row>
    <row r="255" spans="1:45" s="12" customFormat="1" ht="12.75" hidden="1" customHeight="1" x14ac:dyDescent="0.2">
      <c r="A255" s="4" t="s">
        <v>266</v>
      </c>
      <c r="C255" s="4" t="s">
        <v>267</v>
      </c>
      <c r="E255" s="8">
        <v>843285</v>
      </c>
      <c r="F255" s="8"/>
      <c r="G255" s="8">
        <v>75072</v>
      </c>
      <c r="H255" s="8"/>
      <c r="I255" s="8">
        <v>0</v>
      </c>
      <c r="J255" s="8"/>
      <c r="K255" s="8">
        <v>1470</v>
      </c>
      <c r="L255" s="8"/>
      <c r="M255" s="8">
        <v>0</v>
      </c>
      <c r="N255" s="8"/>
      <c r="O255" s="8">
        <v>82919</v>
      </c>
      <c r="P255" s="8"/>
      <c r="Q255" s="8">
        <v>0</v>
      </c>
      <c r="R255" s="8"/>
      <c r="S255" s="8">
        <v>0</v>
      </c>
      <c r="T255" s="8"/>
      <c r="U255" s="8">
        <v>0</v>
      </c>
      <c r="V255" s="8"/>
      <c r="W255" s="8">
        <v>0</v>
      </c>
      <c r="X255" s="8"/>
      <c r="Y255" s="8">
        <v>0</v>
      </c>
      <c r="Z255" s="7"/>
      <c r="AA255" s="8">
        <v>0</v>
      </c>
      <c r="AB255" s="7"/>
      <c r="AC255" s="8">
        <f t="shared" si="17"/>
        <v>1002746</v>
      </c>
      <c r="AD255" s="8"/>
      <c r="AE255" s="11">
        <v>0</v>
      </c>
      <c r="AF255" s="11"/>
      <c r="AG255" s="8">
        <v>1079556</v>
      </c>
      <c r="AH255" s="8"/>
      <c r="AI255" s="8">
        <v>762375</v>
      </c>
      <c r="AJ255" s="8"/>
      <c r="AK255" s="8">
        <v>0</v>
      </c>
      <c r="AL255" s="8"/>
      <c r="AM255" s="8">
        <f>+'Gen rev'!U254-'Gen exp'!AC255-AG255+'Gen rev'!W254+AI255+AK255-'Gen Bal'!W255-'Gen exp'!AE255</f>
        <v>0</v>
      </c>
      <c r="AN255" s="7"/>
      <c r="AO255" s="7"/>
      <c r="AP255" s="7"/>
      <c r="AQ255" s="7"/>
    </row>
    <row r="256" spans="1:45" s="12" customFormat="1" ht="12.75" customHeight="1" x14ac:dyDescent="0.2">
      <c r="A256" s="4" t="s">
        <v>268</v>
      </c>
      <c r="C256" s="4" t="s">
        <v>134</v>
      </c>
      <c r="E256" s="8">
        <v>596925</v>
      </c>
      <c r="F256" s="8"/>
      <c r="G256" s="8">
        <v>820204</v>
      </c>
      <c r="H256" s="8"/>
      <c r="I256" s="8">
        <v>0</v>
      </c>
      <c r="J256" s="8"/>
      <c r="K256" s="8">
        <v>0</v>
      </c>
      <c r="L256" s="8"/>
      <c r="M256" s="8">
        <v>0</v>
      </c>
      <c r="N256" s="8"/>
      <c r="O256" s="8">
        <v>0</v>
      </c>
      <c r="P256" s="8"/>
      <c r="Q256" s="8">
        <v>0</v>
      </c>
      <c r="R256" s="8"/>
      <c r="S256" s="8">
        <v>0</v>
      </c>
      <c r="T256" s="8"/>
      <c r="U256" s="8">
        <v>0</v>
      </c>
      <c r="V256" s="8"/>
      <c r="W256" s="8">
        <v>0</v>
      </c>
      <c r="X256" s="8"/>
      <c r="Y256" s="8">
        <v>0</v>
      </c>
      <c r="Z256" s="7"/>
      <c r="AA256" s="8">
        <v>0</v>
      </c>
      <c r="AB256" s="7"/>
      <c r="AC256" s="8">
        <f t="shared" si="17"/>
        <v>1417129</v>
      </c>
      <c r="AD256" s="8"/>
      <c r="AE256" s="11">
        <v>0</v>
      </c>
      <c r="AF256" s="11"/>
      <c r="AG256" s="8">
        <v>179356</v>
      </c>
      <c r="AH256" s="8"/>
      <c r="AI256" s="8">
        <v>476060</v>
      </c>
      <c r="AJ256" s="8"/>
      <c r="AK256" s="8">
        <v>0</v>
      </c>
      <c r="AL256" s="8"/>
      <c r="AM256" s="8">
        <f>+'Gen rev'!U255-'Gen exp'!AC256-AG256+'Gen rev'!W255+AI256+AK256-'Gen Bal'!W256-'Gen exp'!AE256</f>
        <v>0</v>
      </c>
      <c r="AN256" s="7"/>
      <c r="AO256" s="7"/>
      <c r="AP256" s="7"/>
      <c r="AQ256" s="7"/>
    </row>
    <row r="257" spans="1:45" s="9" customFormat="1" ht="12.75" customHeight="1" x14ac:dyDescent="0.2">
      <c r="A257" s="4" t="s">
        <v>269</v>
      </c>
      <c r="B257" s="12"/>
      <c r="C257" s="4" t="s">
        <v>64</v>
      </c>
      <c r="D257" s="12"/>
      <c r="E257" s="8">
        <v>870550</v>
      </c>
      <c r="F257" s="8"/>
      <c r="G257" s="8">
        <v>4659734</v>
      </c>
      <c r="H257" s="8"/>
      <c r="I257" s="8">
        <v>502973</v>
      </c>
      <c r="J257" s="8"/>
      <c r="K257" s="8">
        <v>0</v>
      </c>
      <c r="L257" s="8"/>
      <c r="M257" s="8">
        <v>0</v>
      </c>
      <c r="N257" s="8"/>
      <c r="O257" s="8">
        <v>685046</v>
      </c>
      <c r="P257" s="8"/>
      <c r="Q257" s="8">
        <v>0</v>
      </c>
      <c r="R257" s="8"/>
      <c r="S257" s="8">
        <v>0</v>
      </c>
      <c r="T257" s="8"/>
      <c r="U257" s="8">
        <v>0</v>
      </c>
      <c r="V257" s="8"/>
      <c r="W257" s="8">
        <v>0</v>
      </c>
      <c r="X257" s="8"/>
      <c r="Y257" s="8">
        <v>0</v>
      </c>
      <c r="Z257" s="7"/>
      <c r="AA257" s="8">
        <v>0</v>
      </c>
      <c r="AB257" s="7"/>
      <c r="AC257" s="8">
        <f t="shared" si="17"/>
        <v>6718303</v>
      </c>
      <c r="AD257" s="8"/>
      <c r="AE257" s="11">
        <v>0</v>
      </c>
      <c r="AF257" s="11"/>
      <c r="AG257" s="8">
        <v>327798</v>
      </c>
      <c r="AH257" s="8"/>
      <c r="AI257" s="8">
        <v>1778784</v>
      </c>
      <c r="AJ257" s="8"/>
      <c r="AK257" s="8">
        <v>0</v>
      </c>
      <c r="AL257" s="8"/>
      <c r="AM257" s="8">
        <f>+'Gen rev'!U256-'Gen exp'!AC257-AG257+'Gen rev'!W256+AI257+AK257-'Gen Bal'!W257-'Gen exp'!AE257</f>
        <v>0</v>
      </c>
    </row>
    <row r="258" spans="1:45" s="7" customFormat="1" ht="12.75" customHeight="1" x14ac:dyDescent="0.2">
      <c r="A258" s="6" t="s">
        <v>270</v>
      </c>
      <c r="C258" s="6" t="s">
        <v>41</v>
      </c>
      <c r="E258" s="8">
        <v>10858658</v>
      </c>
      <c r="F258" s="8"/>
      <c r="G258" s="8">
        <v>13717635</v>
      </c>
      <c r="H258" s="8"/>
      <c r="I258" s="8">
        <v>2853154</v>
      </c>
      <c r="J258" s="8"/>
      <c r="K258" s="8">
        <v>71500</v>
      </c>
      <c r="L258" s="8"/>
      <c r="M258" s="8">
        <v>0</v>
      </c>
      <c r="N258" s="8"/>
      <c r="O258" s="8">
        <v>0</v>
      </c>
      <c r="P258" s="8"/>
      <c r="Q258" s="8">
        <v>665789</v>
      </c>
      <c r="R258" s="8"/>
      <c r="S258" s="8">
        <v>0</v>
      </c>
      <c r="T258" s="8"/>
      <c r="U258" s="8">
        <v>0</v>
      </c>
      <c r="V258" s="8"/>
      <c r="W258" s="8">
        <v>693</v>
      </c>
      <c r="X258" s="8"/>
      <c r="Y258" s="8">
        <v>799</v>
      </c>
      <c r="AA258" s="8">
        <v>0</v>
      </c>
      <c r="AC258" s="8">
        <f t="shared" si="17"/>
        <v>28168228</v>
      </c>
      <c r="AD258" s="8"/>
      <c r="AE258" s="11">
        <v>0</v>
      </c>
      <c r="AF258" s="11"/>
      <c r="AG258" s="8">
        <v>8739495</v>
      </c>
      <c r="AH258" s="8"/>
      <c r="AI258" s="8">
        <v>38437456</v>
      </c>
      <c r="AJ258" s="8"/>
      <c r="AK258" s="8">
        <v>0</v>
      </c>
      <c r="AL258" s="8"/>
      <c r="AM258" s="8">
        <f>+'Gen rev'!U257-'Gen exp'!AC258-AG258+'Gen rev'!W257+AI258+AK258-'Gen Bal'!W258-'Gen exp'!AE258</f>
        <v>0</v>
      </c>
      <c r="AN258" s="8"/>
      <c r="AO258" s="8"/>
      <c r="AP258" s="8"/>
      <c r="AQ258" s="8"/>
      <c r="AR258" s="18"/>
      <c r="AS258" s="6"/>
    </row>
    <row r="259" spans="1:45" s="12" customFormat="1" ht="12.75" customHeight="1" x14ac:dyDescent="0.2">
      <c r="A259" s="4" t="s">
        <v>271</v>
      </c>
      <c r="C259" s="4" t="s">
        <v>25</v>
      </c>
      <c r="E259" s="8">
        <v>6733666</v>
      </c>
      <c r="F259" s="8"/>
      <c r="G259" s="8">
        <v>10225989</v>
      </c>
      <c r="H259" s="8"/>
      <c r="I259" s="8">
        <v>1433611</v>
      </c>
      <c r="J259" s="8"/>
      <c r="K259" s="8">
        <v>1058241</v>
      </c>
      <c r="L259" s="8"/>
      <c r="M259" s="8">
        <v>5400384</v>
      </c>
      <c r="N259" s="8"/>
      <c r="O259" s="8">
        <v>919862</v>
      </c>
      <c r="P259" s="8"/>
      <c r="Q259" s="8">
        <v>731157</v>
      </c>
      <c r="R259" s="8"/>
      <c r="S259" s="8">
        <v>0</v>
      </c>
      <c r="T259" s="8"/>
      <c r="U259" s="8">
        <v>0</v>
      </c>
      <c r="V259" s="8"/>
      <c r="W259" s="8">
        <v>0</v>
      </c>
      <c r="X259" s="8"/>
      <c r="Y259" s="8">
        <v>0</v>
      </c>
      <c r="Z259" s="7"/>
      <c r="AA259" s="8">
        <v>0</v>
      </c>
      <c r="AB259" s="7"/>
      <c r="AC259" s="8">
        <f t="shared" si="17"/>
        <v>26502910</v>
      </c>
      <c r="AD259" s="8"/>
      <c r="AE259" s="11">
        <v>0</v>
      </c>
      <c r="AF259" s="11"/>
      <c r="AG259" s="8">
        <v>746926</v>
      </c>
      <c r="AH259" s="8"/>
      <c r="AI259" s="8">
        <v>36109113</v>
      </c>
      <c r="AJ259" s="8"/>
      <c r="AK259" s="8">
        <v>0</v>
      </c>
      <c r="AL259" s="8"/>
      <c r="AM259" s="8">
        <f>+'Gen rev'!U258-'Gen exp'!AC259-AG259+'Gen rev'!W258+AI259+AK259-'Gen Bal'!W259-'Gen exp'!AE259</f>
        <v>0</v>
      </c>
      <c r="AN259" s="8"/>
      <c r="AO259" s="8"/>
      <c r="AP259" s="8"/>
      <c r="AQ259" s="8"/>
      <c r="AR259" s="15"/>
      <c r="AS259" s="13"/>
    </row>
    <row r="260" spans="1:45" s="12" customFormat="1" ht="12.75" customHeight="1" x14ac:dyDescent="0.2">
      <c r="A260" s="4" t="s">
        <v>272</v>
      </c>
      <c r="C260" s="4" t="s">
        <v>41</v>
      </c>
      <c r="E260" s="8">
        <v>7887404</v>
      </c>
      <c r="F260" s="8"/>
      <c r="G260" s="8">
        <v>11583576</v>
      </c>
      <c r="H260" s="8"/>
      <c r="I260" s="8">
        <v>25635</v>
      </c>
      <c r="J260" s="8"/>
      <c r="K260" s="8">
        <v>104000</v>
      </c>
      <c r="L260" s="8"/>
      <c r="M260" s="8">
        <v>184804</v>
      </c>
      <c r="N260" s="8"/>
      <c r="O260" s="8">
        <v>724127</v>
      </c>
      <c r="P260" s="8"/>
      <c r="Q260" s="8">
        <v>969174</v>
      </c>
      <c r="R260" s="8"/>
      <c r="S260" s="8">
        <v>85384</v>
      </c>
      <c r="T260" s="8"/>
      <c r="U260" s="8">
        <v>0</v>
      </c>
      <c r="V260" s="8"/>
      <c r="W260" s="8">
        <v>0</v>
      </c>
      <c r="X260" s="8"/>
      <c r="Y260" s="8">
        <v>0</v>
      </c>
      <c r="Z260" s="7"/>
      <c r="AA260" s="8">
        <v>0</v>
      </c>
      <c r="AB260" s="7"/>
      <c r="AC260" s="8">
        <f t="shared" si="17"/>
        <v>21564104</v>
      </c>
      <c r="AD260" s="8"/>
      <c r="AE260" s="11">
        <v>0</v>
      </c>
      <c r="AF260" s="11"/>
      <c r="AG260" s="8">
        <v>2822623</v>
      </c>
      <c r="AH260" s="8"/>
      <c r="AI260" s="8">
        <v>6265688</v>
      </c>
      <c r="AJ260" s="8"/>
      <c r="AK260" s="8">
        <v>0</v>
      </c>
      <c r="AL260" s="8"/>
      <c r="AM260" s="8">
        <f>+'Gen rev'!U259-'Gen exp'!AC260-AG260+'Gen rev'!W259+AI260+AK260-'Gen Bal'!W260-'Gen exp'!AE260</f>
        <v>0</v>
      </c>
      <c r="AN260" s="7"/>
      <c r="AO260" s="7"/>
      <c r="AP260" s="7"/>
      <c r="AQ260" s="7"/>
    </row>
    <row r="261" spans="1:45" s="12" customFormat="1" ht="12.75" customHeight="1" x14ac:dyDescent="0.2">
      <c r="A261" s="4" t="s">
        <v>273</v>
      </c>
      <c r="C261" s="4" t="s">
        <v>90</v>
      </c>
      <c r="E261" s="8">
        <v>4496600</v>
      </c>
      <c r="F261" s="8"/>
      <c r="G261" s="8">
        <v>6178316</v>
      </c>
      <c r="H261" s="8"/>
      <c r="I261" s="8">
        <v>280302</v>
      </c>
      <c r="J261" s="8"/>
      <c r="K261" s="8">
        <v>10304</v>
      </c>
      <c r="L261" s="8"/>
      <c r="M261" s="8">
        <v>1298537</v>
      </c>
      <c r="N261" s="8"/>
      <c r="O261" s="8">
        <v>276614</v>
      </c>
      <c r="P261" s="8"/>
      <c r="Q261" s="8">
        <v>823337</v>
      </c>
      <c r="R261" s="8"/>
      <c r="S261" s="8">
        <v>0</v>
      </c>
      <c r="T261" s="8"/>
      <c r="U261" s="8">
        <v>0</v>
      </c>
      <c r="V261" s="8"/>
      <c r="W261" s="8">
        <v>0</v>
      </c>
      <c r="X261" s="8"/>
      <c r="Y261" s="8">
        <v>0</v>
      </c>
      <c r="Z261" s="7"/>
      <c r="AA261" s="8">
        <v>0</v>
      </c>
      <c r="AB261" s="7"/>
      <c r="AC261" s="8">
        <f t="shared" si="17"/>
        <v>13364010</v>
      </c>
      <c r="AD261" s="8"/>
      <c r="AE261" s="11">
        <v>0</v>
      </c>
      <c r="AF261" s="11"/>
      <c r="AG261" s="8">
        <v>213753</v>
      </c>
      <c r="AH261" s="8"/>
      <c r="AI261" s="8">
        <v>10482973</v>
      </c>
      <c r="AJ261" s="8"/>
      <c r="AK261" s="8">
        <v>-1137</v>
      </c>
      <c r="AL261" s="8"/>
      <c r="AM261" s="8">
        <f>+'Gen rev'!U260-'Gen exp'!AC261-AG261+'Gen rev'!W260+AI261+AK261-'Gen Bal'!W261-'Gen exp'!AE261</f>
        <v>0</v>
      </c>
      <c r="AN261" s="7"/>
      <c r="AO261" s="7"/>
      <c r="AP261" s="7"/>
      <c r="AQ261" s="7"/>
    </row>
    <row r="262" spans="1:45" s="9" customFormat="1" ht="12.75" customHeight="1" x14ac:dyDescent="0.2">
      <c r="A262" s="19" t="s">
        <v>274</v>
      </c>
      <c r="C262" s="19" t="s">
        <v>36</v>
      </c>
      <c r="E262" s="8">
        <v>731113</v>
      </c>
      <c r="F262" s="8"/>
      <c r="G262" s="8">
        <v>2093354</v>
      </c>
      <c r="H262" s="8"/>
      <c r="I262" s="8">
        <v>195053</v>
      </c>
      <c r="J262" s="8"/>
      <c r="K262" s="8">
        <v>36929</v>
      </c>
      <c r="L262" s="8"/>
      <c r="M262" s="8">
        <v>260779</v>
      </c>
      <c r="N262" s="8"/>
      <c r="O262" s="8">
        <v>0</v>
      </c>
      <c r="P262" s="8"/>
      <c r="Q262" s="8">
        <v>0</v>
      </c>
      <c r="R262" s="8"/>
      <c r="S262" s="8">
        <v>100000</v>
      </c>
      <c r="T262" s="8"/>
      <c r="U262" s="8">
        <v>0</v>
      </c>
      <c r="V262" s="8"/>
      <c r="W262" s="8">
        <v>0</v>
      </c>
      <c r="X262" s="8"/>
      <c r="Y262" s="8">
        <v>0</v>
      </c>
      <c r="Z262" s="7"/>
      <c r="AA262" s="8">
        <v>0</v>
      </c>
      <c r="AB262" s="7"/>
      <c r="AC262" s="8">
        <f t="shared" ref="AC262:AC271" si="19">SUM(E262:AA262)</f>
        <v>3417228</v>
      </c>
      <c r="AD262" s="8"/>
      <c r="AE262" s="11">
        <v>0</v>
      </c>
      <c r="AF262" s="11"/>
      <c r="AG262" s="8">
        <v>12000</v>
      </c>
      <c r="AH262" s="40"/>
      <c r="AI262" s="40">
        <v>4244222</v>
      </c>
      <c r="AJ262" s="40"/>
      <c r="AK262" s="40">
        <v>0</v>
      </c>
      <c r="AL262" s="40"/>
      <c r="AM262" s="40">
        <f>+'Gen rev'!U261-'Gen exp'!AC262-AG262+'Gen rev'!W261+AI262+AK262-'Gen Bal'!W262-'Gen exp'!AE262</f>
        <v>0</v>
      </c>
      <c r="AN262" s="40"/>
      <c r="AO262" s="40"/>
      <c r="AP262" s="40"/>
      <c r="AQ262" s="40"/>
      <c r="AR262" s="36"/>
      <c r="AS262" s="19"/>
    </row>
    <row r="263" spans="1:45" s="12" customFormat="1" ht="12.75" customHeight="1" x14ac:dyDescent="0.2">
      <c r="A263" s="4" t="s">
        <v>275</v>
      </c>
      <c r="C263" s="4" t="s">
        <v>90</v>
      </c>
      <c r="E263" s="8">
        <v>6076314</v>
      </c>
      <c r="F263" s="8"/>
      <c r="G263" s="8">
        <v>11751886</v>
      </c>
      <c r="H263" s="8"/>
      <c r="I263" s="8">
        <v>777704</v>
      </c>
      <c r="J263" s="8"/>
      <c r="K263" s="8">
        <v>390500</v>
      </c>
      <c r="L263" s="8"/>
      <c r="M263" s="8">
        <v>28691</v>
      </c>
      <c r="N263" s="8"/>
      <c r="O263" s="8">
        <v>878662</v>
      </c>
      <c r="P263" s="8"/>
      <c r="Q263" s="8">
        <v>718336</v>
      </c>
      <c r="R263" s="8"/>
      <c r="S263" s="8">
        <v>31855</v>
      </c>
      <c r="T263" s="8"/>
      <c r="U263" s="8">
        <v>0</v>
      </c>
      <c r="V263" s="8"/>
      <c r="W263" s="8">
        <v>0</v>
      </c>
      <c r="X263" s="8"/>
      <c r="Y263" s="8">
        <v>0</v>
      </c>
      <c r="Z263" s="7"/>
      <c r="AA263" s="8">
        <v>0</v>
      </c>
      <c r="AB263" s="7"/>
      <c r="AC263" s="8">
        <f t="shared" si="19"/>
        <v>20653948</v>
      </c>
      <c r="AD263" s="8"/>
      <c r="AE263" s="11">
        <v>0</v>
      </c>
      <c r="AF263" s="11"/>
      <c r="AG263" s="8">
        <v>2855923</v>
      </c>
      <c r="AH263" s="8"/>
      <c r="AI263" s="8">
        <v>10570685</v>
      </c>
      <c r="AJ263" s="8"/>
      <c r="AK263" s="8">
        <v>10210</v>
      </c>
      <c r="AL263" s="8"/>
      <c r="AM263" s="8">
        <f>+'Gen rev'!U262-'Gen exp'!AC263-AG263+'Gen rev'!W262+AI263+AK263-'Gen Bal'!W263-'Gen exp'!AE263</f>
        <v>0</v>
      </c>
      <c r="AN263" s="7"/>
      <c r="AO263" s="7"/>
      <c r="AP263" s="7"/>
      <c r="AQ263" s="7"/>
    </row>
    <row r="264" spans="1:45" s="12" customFormat="1" ht="12.75" customHeight="1" x14ac:dyDescent="0.2">
      <c r="A264" s="4" t="s">
        <v>276</v>
      </c>
      <c r="C264" s="4" t="s">
        <v>90</v>
      </c>
      <c r="E264" s="8">
        <v>2709296</v>
      </c>
      <c r="F264" s="8"/>
      <c r="G264" s="8">
        <v>0</v>
      </c>
      <c r="H264" s="8"/>
      <c r="I264" s="8">
        <v>159558</v>
      </c>
      <c r="J264" s="8"/>
      <c r="K264" s="8">
        <v>0</v>
      </c>
      <c r="L264" s="8"/>
      <c r="M264" s="8">
        <v>117387</v>
      </c>
      <c r="N264" s="8"/>
      <c r="O264" s="8">
        <v>222217</v>
      </c>
      <c r="P264" s="8"/>
      <c r="Q264" s="8">
        <v>0</v>
      </c>
      <c r="R264" s="8"/>
      <c r="S264" s="8">
        <v>0</v>
      </c>
      <c r="T264" s="8"/>
      <c r="U264" s="8">
        <v>0</v>
      </c>
      <c r="V264" s="8"/>
      <c r="W264" s="8">
        <v>0</v>
      </c>
      <c r="X264" s="8"/>
      <c r="Y264" s="8">
        <v>0</v>
      </c>
      <c r="Z264" s="7"/>
      <c r="AA264" s="8">
        <v>0</v>
      </c>
      <c r="AB264" s="7"/>
      <c r="AC264" s="8">
        <f t="shared" si="19"/>
        <v>3208458</v>
      </c>
      <c r="AD264" s="8"/>
      <c r="AE264" s="11">
        <v>0</v>
      </c>
      <c r="AF264" s="11"/>
      <c r="AG264" s="8">
        <v>4411474</v>
      </c>
      <c r="AH264" s="8"/>
      <c r="AI264" s="8">
        <v>1137591</v>
      </c>
      <c r="AJ264" s="8"/>
      <c r="AK264" s="8">
        <v>0</v>
      </c>
      <c r="AL264" s="8"/>
      <c r="AM264" s="8">
        <f>+'Gen rev'!U263-'Gen exp'!AC264-AG264+'Gen rev'!W263+AI264+AK264-'Gen Bal'!W264-'Gen exp'!AE264</f>
        <v>0</v>
      </c>
      <c r="AN264" s="7"/>
      <c r="AO264" s="7"/>
      <c r="AP264" s="7"/>
      <c r="AQ264" s="7"/>
    </row>
    <row r="265" spans="1:45" s="12" customFormat="1" ht="12.75" customHeight="1" x14ac:dyDescent="0.2">
      <c r="A265" s="4" t="s">
        <v>277</v>
      </c>
      <c r="C265" s="4" t="s">
        <v>90</v>
      </c>
      <c r="E265" s="8">
        <v>1569014</v>
      </c>
      <c r="F265" s="8"/>
      <c r="G265" s="8">
        <v>3274835</v>
      </c>
      <c r="H265" s="8"/>
      <c r="I265" s="8">
        <v>297849</v>
      </c>
      <c r="J265" s="8"/>
      <c r="K265" s="8">
        <v>102327</v>
      </c>
      <c r="L265" s="8"/>
      <c r="M265" s="8">
        <v>253449</v>
      </c>
      <c r="N265" s="8"/>
      <c r="O265" s="8">
        <v>829275</v>
      </c>
      <c r="P265" s="8"/>
      <c r="Q265" s="8">
        <v>1122606</v>
      </c>
      <c r="R265" s="8"/>
      <c r="S265" s="8">
        <v>0</v>
      </c>
      <c r="T265" s="8"/>
      <c r="U265" s="8">
        <v>0</v>
      </c>
      <c r="V265" s="8"/>
      <c r="W265" s="8">
        <v>7752</v>
      </c>
      <c r="X265" s="8"/>
      <c r="Y265" s="8">
        <v>1320</v>
      </c>
      <c r="Z265" s="7"/>
      <c r="AA265" s="8">
        <v>0</v>
      </c>
      <c r="AB265" s="7"/>
      <c r="AC265" s="8">
        <f t="shared" si="19"/>
        <v>7458427</v>
      </c>
      <c r="AD265" s="8"/>
      <c r="AE265" s="11">
        <v>0</v>
      </c>
      <c r="AF265" s="11"/>
      <c r="AG265" s="8">
        <v>310000</v>
      </c>
      <c r="AH265" s="8"/>
      <c r="AI265" s="8">
        <v>1727451</v>
      </c>
      <c r="AJ265" s="8"/>
      <c r="AK265" s="8">
        <v>0</v>
      </c>
      <c r="AL265" s="8"/>
      <c r="AM265" s="8">
        <f>+'Gen rev'!U264-'Gen exp'!AC265-AG265+'Gen rev'!W264+AI265+AK265-'Gen Bal'!W265-'Gen exp'!AE265</f>
        <v>0</v>
      </c>
      <c r="AN265" s="7"/>
      <c r="AO265" s="7"/>
      <c r="AP265" s="7"/>
      <c r="AQ265" s="7"/>
    </row>
    <row r="266" spans="1:45" s="12" customFormat="1" ht="12.75" customHeight="1" x14ac:dyDescent="0.2">
      <c r="A266" s="4" t="s">
        <v>278</v>
      </c>
      <c r="C266" s="4" t="s">
        <v>279</v>
      </c>
      <c r="E266" s="8">
        <v>3636931</v>
      </c>
      <c r="F266" s="8"/>
      <c r="G266" s="8">
        <v>9655</v>
      </c>
      <c r="H266" s="8"/>
      <c r="I266" s="8">
        <v>0</v>
      </c>
      <c r="J266" s="8"/>
      <c r="K266" s="8">
        <v>0</v>
      </c>
      <c r="L266" s="8"/>
      <c r="M266" s="8">
        <v>0</v>
      </c>
      <c r="N266" s="8"/>
      <c r="O266" s="8">
        <v>0</v>
      </c>
      <c r="P266" s="8"/>
      <c r="Q266" s="8">
        <v>0</v>
      </c>
      <c r="R266" s="8"/>
      <c r="S266" s="8">
        <v>14825</v>
      </c>
      <c r="T266" s="8"/>
      <c r="U266" s="8">
        <v>0</v>
      </c>
      <c r="V266" s="8"/>
      <c r="W266" s="8">
        <v>68086</v>
      </c>
      <c r="X266" s="8"/>
      <c r="Y266" s="8">
        <v>60800</v>
      </c>
      <c r="Z266" s="7"/>
      <c r="AA266" s="8">
        <v>0</v>
      </c>
      <c r="AB266" s="7"/>
      <c r="AC266" s="8">
        <f t="shared" si="19"/>
        <v>3790297</v>
      </c>
      <c r="AD266" s="8"/>
      <c r="AE266" s="11">
        <v>0</v>
      </c>
      <c r="AF266" s="11"/>
      <c r="AG266" s="8">
        <v>4459117</v>
      </c>
      <c r="AH266" s="8"/>
      <c r="AI266" s="8">
        <v>3357852</v>
      </c>
      <c r="AJ266" s="8"/>
      <c r="AK266" s="8">
        <v>0</v>
      </c>
      <c r="AL266" s="8"/>
      <c r="AM266" s="8">
        <f>+'Gen rev'!U265-'Gen exp'!AC266-AG266+'Gen rev'!W265+AI266+AK266-'Gen Bal'!W266-'Gen exp'!AE266</f>
        <v>0</v>
      </c>
      <c r="AN266" s="7"/>
      <c r="AO266" s="7"/>
      <c r="AP266" s="7"/>
      <c r="AQ266" s="7"/>
    </row>
    <row r="267" spans="1:45" s="12" customFormat="1" ht="12.75" customHeight="1" x14ac:dyDescent="0.2">
      <c r="A267" s="4" t="s">
        <v>280</v>
      </c>
      <c r="C267" s="4" t="s">
        <v>197</v>
      </c>
      <c r="E267" s="8">
        <v>2873611</v>
      </c>
      <c r="F267" s="8"/>
      <c r="G267" s="8">
        <v>9900809</v>
      </c>
      <c r="H267" s="8"/>
      <c r="I267" s="8">
        <v>810295</v>
      </c>
      <c r="J267" s="8"/>
      <c r="K267" s="8">
        <v>137140</v>
      </c>
      <c r="L267" s="8"/>
      <c r="M267" s="8">
        <v>851876</v>
      </c>
      <c r="N267" s="8"/>
      <c r="O267" s="8">
        <v>1364780</v>
      </c>
      <c r="P267" s="8"/>
      <c r="Q267" s="8">
        <v>0</v>
      </c>
      <c r="R267" s="8"/>
      <c r="S267" s="8">
        <v>0</v>
      </c>
      <c r="T267" s="8"/>
      <c r="U267" s="8">
        <v>0</v>
      </c>
      <c r="V267" s="8"/>
      <c r="W267" s="8">
        <v>138622</v>
      </c>
      <c r="X267" s="8"/>
      <c r="Y267" s="8">
        <v>20312</v>
      </c>
      <c r="Z267" s="7"/>
      <c r="AA267" s="8">
        <v>0</v>
      </c>
      <c r="AB267" s="7"/>
      <c r="AC267" s="8">
        <f t="shared" si="19"/>
        <v>16097445</v>
      </c>
      <c r="AD267" s="8"/>
      <c r="AE267" s="11">
        <v>0</v>
      </c>
      <c r="AF267" s="11"/>
      <c r="AG267" s="8">
        <v>1361000</v>
      </c>
      <c r="AH267" s="8"/>
      <c r="AI267" s="8">
        <v>10725406</v>
      </c>
      <c r="AJ267" s="8"/>
      <c r="AK267" s="8">
        <v>0</v>
      </c>
      <c r="AL267" s="8"/>
      <c r="AM267" s="8">
        <f>+'Gen rev'!U266-'Gen exp'!AC267-AG267+'Gen rev'!W266+AI267+AK267-'Gen Bal'!W267-'Gen exp'!AE267</f>
        <v>0</v>
      </c>
      <c r="AN267" s="8"/>
      <c r="AO267" s="8"/>
      <c r="AP267" s="8"/>
      <c r="AQ267" s="8"/>
      <c r="AR267" s="15"/>
      <c r="AS267" s="13"/>
    </row>
    <row r="268" spans="1:45" s="12" customFormat="1" ht="12.75" customHeight="1" x14ac:dyDescent="0.2">
      <c r="A268" s="4" t="s">
        <v>281</v>
      </c>
      <c r="C268" s="4" t="s">
        <v>41</v>
      </c>
      <c r="E268" s="8">
        <v>6049275</v>
      </c>
      <c r="F268" s="8"/>
      <c r="G268" s="8">
        <v>9846653</v>
      </c>
      <c r="H268" s="8"/>
      <c r="I268" s="8">
        <v>867410</v>
      </c>
      <c r="J268" s="8"/>
      <c r="K268" s="8">
        <v>96968</v>
      </c>
      <c r="L268" s="8"/>
      <c r="M268" s="8">
        <v>1623952</v>
      </c>
      <c r="N268" s="8"/>
      <c r="O268" s="8">
        <v>3211984</v>
      </c>
      <c r="P268" s="8"/>
      <c r="Q268" s="8">
        <v>1716041</v>
      </c>
      <c r="R268" s="8"/>
      <c r="S268" s="8">
        <v>0</v>
      </c>
      <c r="T268" s="8"/>
      <c r="U268" s="8">
        <v>0</v>
      </c>
      <c r="V268" s="8"/>
      <c r="W268" s="8">
        <v>0</v>
      </c>
      <c r="X268" s="8"/>
      <c r="Y268" s="8">
        <v>0</v>
      </c>
      <c r="Z268" s="7"/>
      <c r="AA268" s="8">
        <v>0</v>
      </c>
      <c r="AB268" s="7"/>
      <c r="AC268" s="8">
        <f t="shared" si="19"/>
        <v>23412283</v>
      </c>
      <c r="AD268" s="8"/>
      <c r="AE268" s="11">
        <v>0</v>
      </c>
      <c r="AF268" s="11"/>
      <c r="AG268" s="8">
        <f>495000+26848</f>
        <v>521848</v>
      </c>
      <c r="AH268" s="8"/>
      <c r="AI268" s="8">
        <v>5150335</v>
      </c>
      <c r="AJ268" s="8"/>
      <c r="AK268" s="8">
        <v>0</v>
      </c>
      <c r="AL268" s="8"/>
      <c r="AM268" s="8">
        <f>+'Gen rev'!U267-'Gen exp'!AC268-AG268+'Gen rev'!W267+AI268+AK268-'Gen Bal'!W268-'Gen exp'!AE268</f>
        <v>0</v>
      </c>
      <c r="AN268" s="8"/>
      <c r="AO268" s="8"/>
      <c r="AP268" s="8"/>
      <c r="AQ268" s="8"/>
      <c r="AR268" s="15"/>
      <c r="AS268" s="13"/>
    </row>
    <row r="269" spans="1:45" s="12" customFormat="1" ht="12.75" customHeight="1" x14ac:dyDescent="0.2">
      <c r="A269" s="4" t="s">
        <v>282</v>
      </c>
      <c r="C269" s="4" t="s">
        <v>43</v>
      </c>
      <c r="E269" s="8">
        <v>2712071</v>
      </c>
      <c r="F269" s="8"/>
      <c r="G269" s="8">
        <v>2598976</v>
      </c>
      <c r="H269" s="8"/>
      <c r="I269" s="8">
        <v>376313</v>
      </c>
      <c r="J269" s="8"/>
      <c r="K269" s="8">
        <v>67294</v>
      </c>
      <c r="L269" s="8"/>
      <c r="M269" s="8">
        <v>773124</v>
      </c>
      <c r="N269" s="8"/>
      <c r="O269" s="8">
        <v>1397640</v>
      </c>
      <c r="P269" s="8"/>
      <c r="Q269" s="8">
        <v>559625</v>
      </c>
      <c r="R269" s="8"/>
      <c r="S269" s="8">
        <v>0</v>
      </c>
      <c r="T269" s="8"/>
      <c r="U269" s="8">
        <v>0</v>
      </c>
      <c r="V269" s="8"/>
      <c r="W269" s="8">
        <v>4234</v>
      </c>
      <c r="X269" s="8"/>
      <c r="Y269" s="8">
        <v>6826</v>
      </c>
      <c r="Z269" s="7"/>
      <c r="AA269" s="8">
        <v>0</v>
      </c>
      <c r="AB269" s="7"/>
      <c r="AC269" s="8">
        <f t="shared" si="19"/>
        <v>8496103</v>
      </c>
      <c r="AD269" s="8"/>
      <c r="AE269" s="11">
        <v>0</v>
      </c>
      <c r="AF269" s="11"/>
      <c r="AG269" s="8">
        <v>1676333</v>
      </c>
      <c r="AH269" s="8"/>
      <c r="AI269" s="8">
        <v>2415749</v>
      </c>
      <c r="AJ269" s="8"/>
      <c r="AK269" s="8">
        <v>0</v>
      </c>
      <c r="AL269" s="8"/>
      <c r="AM269" s="8">
        <f>+'Gen rev'!U268-'Gen exp'!AC269-AG269+'Gen rev'!W268+AI269+AK269-'Gen Bal'!W269-'Gen exp'!AE269</f>
        <v>0</v>
      </c>
      <c r="AN269" s="7"/>
      <c r="AO269" s="7"/>
      <c r="AP269" s="7"/>
      <c r="AQ269" s="7"/>
    </row>
    <row r="270" spans="1:45" s="12" customFormat="1" ht="12.75" customHeight="1" x14ac:dyDescent="0.2">
      <c r="A270" s="4" t="s">
        <v>283</v>
      </c>
      <c r="C270" s="4" t="s">
        <v>28</v>
      </c>
      <c r="E270" s="8">
        <v>2804192</v>
      </c>
      <c r="F270" s="8"/>
      <c r="G270" s="8">
        <v>112895</v>
      </c>
      <c r="H270" s="8"/>
      <c r="I270" s="8">
        <f>84578+18084</f>
        <v>102662</v>
      </c>
      <c r="J270" s="8"/>
      <c r="K270" s="8">
        <v>0</v>
      </c>
      <c r="L270" s="8"/>
      <c r="M270" s="8">
        <v>242998</v>
      </c>
      <c r="N270" s="8"/>
      <c r="O270" s="8">
        <v>166091</v>
      </c>
      <c r="P270" s="8"/>
      <c r="Q270" s="8">
        <v>0</v>
      </c>
      <c r="R270" s="8"/>
      <c r="S270" s="8">
        <v>0</v>
      </c>
      <c r="T270" s="8"/>
      <c r="U270" s="8">
        <v>0</v>
      </c>
      <c r="V270" s="8"/>
      <c r="W270" s="8">
        <v>0</v>
      </c>
      <c r="X270" s="8"/>
      <c r="Y270" s="8">
        <v>0</v>
      </c>
      <c r="Z270" s="7"/>
      <c r="AA270" s="8">
        <v>0</v>
      </c>
      <c r="AB270" s="7"/>
      <c r="AC270" s="8">
        <f t="shared" si="19"/>
        <v>3428838</v>
      </c>
      <c r="AD270" s="8"/>
      <c r="AE270" s="11">
        <v>0</v>
      </c>
      <c r="AF270" s="11"/>
      <c r="AG270" s="8">
        <v>4569000</v>
      </c>
      <c r="AH270" s="8"/>
      <c r="AI270" s="8">
        <v>2119749</v>
      </c>
      <c r="AJ270" s="8"/>
      <c r="AK270" s="8">
        <v>-5483</v>
      </c>
      <c r="AL270" s="8"/>
      <c r="AM270" s="8">
        <f>+'Gen rev'!U269-'Gen exp'!AC270-AG270+'Gen rev'!W269+AI270+AK270-'Gen Bal'!W270-'Gen exp'!AE270</f>
        <v>0</v>
      </c>
      <c r="AN270" s="7"/>
      <c r="AO270" s="7"/>
      <c r="AP270" s="7"/>
      <c r="AQ270" s="7"/>
    </row>
    <row r="271" spans="1:45" s="12" customFormat="1" ht="12.75" customHeight="1" x14ac:dyDescent="0.2">
      <c r="A271" s="4" t="s">
        <v>284</v>
      </c>
      <c r="C271" s="4" t="s">
        <v>59</v>
      </c>
      <c r="E271" s="8">
        <v>11140288</v>
      </c>
      <c r="F271" s="8"/>
      <c r="G271" s="8">
        <v>3125070</v>
      </c>
      <c r="H271" s="8"/>
      <c r="I271" s="8">
        <v>245691</v>
      </c>
      <c r="J271" s="8"/>
      <c r="K271" s="8">
        <v>1463297</v>
      </c>
      <c r="L271" s="8"/>
      <c r="M271" s="8">
        <v>0</v>
      </c>
      <c r="N271" s="8"/>
      <c r="O271" s="8">
        <v>80905</v>
      </c>
      <c r="P271" s="8"/>
      <c r="Q271" s="8">
        <v>2499893</v>
      </c>
      <c r="R271" s="8"/>
      <c r="S271" s="8">
        <v>0</v>
      </c>
      <c r="T271" s="8"/>
      <c r="U271" s="8">
        <v>0</v>
      </c>
      <c r="V271" s="8"/>
      <c r="W271" s="8">
        <v>18706</v>
      </c>
      <c r="X271" s="8"/>
      <c r="Y271" s="8">
        <v>1708</v>
      </c>
      <c r="Z271" s="7"/>
      <c r="AA271" s="8">
        <v>0</v>
      </c>
      <c r="AB271" s="7"/>
      <c r="AC271" s="8">
        <f t="shared" si="19"/>
        <v>18575558</v>
      </c>
      <c r="AD271" s="8"/>
      <c r="AE271" s="11">
        <v>0</v>
      </c>
      <c r="AF271" s="11"/>
      <c r="AG271" s="8">
        <v>19608100</v>
      </c>
      <c r="AH271" s="8"/>
      <c r="AI271" s="8">
        <v>5130719</v>
      </c>
      <c r="AJ271" s="8"/>
      <c r="AK271" s="8">
        <v>0</v>
      </c>
      <c r="AL271" s="8"/>
      <c r="AM271" s="8">
        <f>+'Gen rev'!U270-'Gen exp'!AC271-AG271+'Gen rev'!W270+AI271+AK271-'Gen Bal'!W271-'Gen exp'!AE271</f>
        <v>0</v>
      </c>
      <c r="AN271" s="7"/>
      <c r="AO271" s="7"/>
      <c r="AP271" s="7"/>
      <c r="AQ271" s="7"/>
    </row>
    <row r="272" spans="1:45" s="12" customFormat="1" ht="12.75" customHeight="1" x14ac:dyDescent="0.2">
      <c r="A272" s="4" t="s">
        <v>285</v>
      </c>
      <c r="C272" s="4" t="s">
        <v>286</v>
      </c>
      <c r="E272" s="8">
        <f>3850922+405516</f>
        <v>4256438</v>
      </c>
      <c r="F272" s="8"/>
      <c r="G272" s="8">
        <v>122664</v>
      </c>
      <c r="H272" s="8"/>
      <c r="I272" s="8">
        <v>478639</v>
      </c>
      <c r="J272" s="8"/>
      <c r="K272" s="8">
        <v>47330</v>
      </c>
      <c r="L272" s="8"/>
      <c r="M272" s="8">
        <v>604949</v>
      </c>
      <c r="N272" s="8"/>
      <c r="O272" s="8">
        <v>609458</v>
      </c>
      <c r="P272" s="8"/>
      <c r="Q272" s="8">
        <v>0</v>
      </c>
      <c r="R272" s="8"/>
      <c r="S272" s="8">
        <v>31245</v>
      </c>
      <c r="T272" s="8"/>
      <c r="U272" s="8">
        <v>0</v>
      </c>
      <c r="V272" s="8"/>
      <c r="W272" s="8">
        <v>0</v>
      </c>
      <c r="X272" s="8"/>
      <c r="Y272" s="8">
        <v>0</v>
      </c>
      <c r="Z272" s="7"/>
      <c r="AA272" s="8">
        <v>0</v>
      </c>
      <c r="AB272" s="7"/>
      <c r="AC272" s="8">
        <f t="shared" ref="AC272" si="20">SUM(E272:AA272)</f>
        <v>6150723</v>
      </c>
      <c r="AD272" s="8"/>
      <c r="AE272" s="11">
        <v>0</v>
      </c>
      <c r="AF272" s="11"/>
      <c r="AG272" s="8">
        <v>6872271</v>
      </c>
      <c r="AH272" s="8"/>
      <c r="AI272" s="8">
        <v>2671288</v>
      </c>
      <c r="AJ272" s="8"/>
      <c r="AK272" s="8">
        <v>0</v>
      </c>
      <c r="AL272" s="8"/>
      <c r="AM272" s="8">
        <f>+'Gen rev'!U271-'Gen exp'!AC272-AG272+'Gen rev'!W271+AI272+AK272-'Gen Bal'!W272-'Gen exp'!AE272</f>
        <v>0</v>
      </c>
      <c r="AN272" s="7"/>
      <c r="AO272" s="7"/>
      <c r="AP272" s="7"/>
      <c r="AQ272" s="7"/>
    </row>
    <row r="273" spans="1:45" ht="12.75" customHeight="1" x14ac:dyDescent="0.2">
      <c r="AA273" s="12"/>
    </row>
    <row r="274" spans="1:45" s="12" customFormat="1" ht="12.75" customHeight="1" x14ac:dyDescent="0.2">
      <c r="A274" s="13"/>
      <c r="C274" s="13"/>
      <c r="D274" s="10"/>
    </row>
    <row r="275" spans="1:45" s="12" customFormat="1" ht="12.75" customHeight="1" x14ac:dyDescent="0.2">
      <c r="A275" s="13"/>
      <c r="C275" s="13"/>
    </row>
    <row r="276" spans="1:45" s="12" customFormat="1" ht="12.75" customHeight="1" x14ac:dyDescent="0.2">
      <c r="A276" s="13"/>
      <c r="C276" s="13"/>
    </row>
    <row r="277" spans="1:45" s="12" customFormat="1" ht="12.75" customHeight="1" x14ac:dyDescent="0.2">
      <c r="A277" s="13"/>
      <c r="C277" s="13"/>
    </row>
    <row r="278" spans="1:45" s="12" customFormat="1" ht="12.75" customHeight="1" x14ac:dyDescent="0.2">
      <c r="A278" s="13"/>
      <c r="C278" s="13"/>
      <c r="D278" s="10"/>
    </row>
    <row r="279" spans="1:45" s="12" customFormat="1" ht="12.75" customHeight="1" x14ac:dyDescent="0.2">
      <c r="A279" s="13"/>
      <c r="C279" s="13"/>
      <c r="D279" s="10"/>
    </row>
    <row r="280" spans="1:45" s="12" customFormat="1" ht="12.75" customHeight="1" x14ac:dyDescent="0.2">
      <c r="A280" s="13"/>
      <c r="C280" s="13"/>
      <c r="D280" s="10"/>
    </row>
    <row r="281" spans="1:45" s="12" customFormat="1" ht="12.75" customHeight="1" x14ac:dyDescent="0.2">
      <c r="A281" s="13"/>
      <c r="C281" s="13"/>
      <c r="D281" s="10"/>
    </row>
    <row r="282" spans="1:45" s="12" customFormat="1" ht="12.75" customHeight="1" x14ac:dyDescent="0.2">
      <c r="A282" s="13"/>
      <c r="C282" s="13"/>
      <c r="D282" s="10"/>
    </row>
    <row r="283" spans="1:45" s="12" customFormat="1" ht="12.75" customHeight="1" x14ac:dyDescent="0.2">
      <c r="A283" s="13"/>
      <c r="C283" s="13"/>
      <c r="D283" s="10"/>
    </row>
    <row r="284" spans="1:45" s="12" customFormat="1" ht="12.75" customHeight="1" x14ac:dyDescent="0.2">
      <c r="A284" s="13"/>
      <c r="C284" s="13"/>
      <c r="D284" s="10"/>
    </row>
    <row r="285" spans="1:45" s="12" customFormat="1" ht="12.75" customHeight="1" x14ac:dyDescent="0.2">
      <c r="A285" s="13"/>
      <c r="C285" s="13"/>
      <c r="D285" s="10"/>
    </row>
    <row r="286" spans="1:45" s="12" customFormat="1" ht="12.75" customHeight="1" x14ac:dyDescent="0.2">
      <c r="A286" s="13"/>
      <c r="C286" s="13"/>
      <c r="D286" s="10"/>
    </row>
    <row r="287" spans="1:45" s="12" customFormat="1" ht="12.75" customHeight="1" x14ac:dyDescent="0.2">
      <c r="A287" s="13"/>
      <c r="C287" s="13"/>
      <c r="D287" s="10"/>
      <c r="AR287" s="10"/>
      <c r="AS287" s="10"/>
    </row>
    <row r="288" spans="1:45" s="12" customFormat="1" ht="12.75" customHeight="1" x14ac:dyDescent="0.2">
      <c r="A288" s="13"/>
      <c r="C288" s="13"/>
      <c r="D288" s="10"/>
      <c r="AR288" s="10"/>
      <c r="AS288" s="10"/>
    </row>
    <row r="289" spans="1:45" s="12" customFormat="1" ht="12.75" customHeight="1" x14ac:dyDescent="0.2">
      <c r="A289" s="13"/>
      <c r="C289" s="13"/>
      <c r="D289" s="10"/>
      <c r="AR289" s="10"/>
      <c r="AS289" s="10"/>
    </row>
    <row r="290" spans="1:45" s="12" customFormat="1" ht="12.75" customHeight="1" x14ac:dyDescent="0.2">
      <c r="A290" s="13"/>
      <c r="C290" s="13"/>
      <c r="D290" s="10"/>
      <c r="AR290" s="10"/>
      <c r="AS290" s="10"/>
    </row>
    <row r="291" spans="1:45" s="12" customFormat="1" ht="12.75" customHeight="1" x14ac:dyDescent="0.2">
      <c r="A291" s="13"/>
      <c r="C291" s="13"/>
      <c r="D291" s="10"/>
      <c r="AR291" s="10"/>
      <c r="AS291" s="10"/>
    </row>
    <row r="292" spans="1:45" s="12" customFormat="1" ht="12.75" customHeight="1" x14ac:dyDescent="0.2">
      <c r="A292" s="13"/>
      <c r="C292" s="13"/>
      <c r="D292" s="10"/>
      <c r="AR292" s="10"/>
      <c r="AS292" s="10"/>
    </row>
    <row r="293" spans="1:45" s="12" customFormat="1" ht="12.75" customHeight="1" x14ac:dyDescent="0.2">
      <c r="A293" s="13"/>
      <c r="C293" s="13"/>
      <c r="D293" s="10"/>
      <c r="AR293" s="10"/>
      <c r="AS293" s="10"/>
    </row>
    <row r="294" spans="1:45" s="12" customFormat="1" ht="12.75" customHeight="1" x14ac:dyDescent="0.2">
      <c r="A294" s="13"/>
      <c r="C294" s="13"/>
      <c r="D294" s="10"/>
      <c r="AR294" s="10"/>
      <c r="AS294" s="10"/>
    </row>
    <row r="295" spans="1:45" s="12" customFormat="1" ht="12.75" customHeight="1" x14ac:dyDescent="0.2">
      <c r="A295" s="13"/>
      <c r="C295" s="13"/>
      <c r="D295" s="10"/>
      <c r="AR295" s="10"/>
      <c r="AS295" s="10"/>
    </row>
    <row r="296" spans="1:45" s="12" customFormat="1" ht="12.75" customHeight="1" x14ac:dyDescent="0.2">
      <c r="A296" s="13"/>
      <c r="C296" s="13"/>
      <c r="D296" s="10"/>
      <c r="AR296" s="10"/>
      <c r="AS296" s="10"/>
    </row>
    <row r="297" spans="1:45" s="12" customFormat="1" ht="12.75" customHeight="1" x14ac:dyDescent="0.2">
      <c r="A297" s="13"/>
      <c r="C297" s="13"/>
      <c r="D297" s="10"/>
      <c r="AR297" s="10"/>
      <c r="AS297" s="10"/>
    </row>
    <row r="298" spans="1:45" s="12" customFormat="1" ht="12.75" customHeight="1" x14ac:dyDescent="0.2">
      <c r="A298" s="13"/>
      <c r="C298" s="13"/>
      <c r="D298" s="10"/>
      <c r="AR298" s="10"/>
      <c r="AS298" s="10"/>
    </row>
    <row r="299" spans="1:45" s="12" customFormat="1" ht="12.75" customHeight="1" x14ac:dyDescent="0.2">
      <c r="A299" s="13"/>
      <c r="C299" s="13"/>
      <c r="D299" s="10"/>
      <c r="AR299" s="10"/>
      <c r="AS299" s="10"/>
    </row>
    <row r="300" spans="1:45" s="12" customFormat="1" ht="12.75" customHeight="1" x14ac:dyDescent="0.2">
      <c r="A300" s="13"/>
      <c r="C300" s="13"/>
      <c r="D300" s="10"/>
      <c r="AR300" s="10"/>
      <c r="AS300" s="10"/>
    </row>
    <row r="301" spans="1:45" s="12" customFormat="1" ht="12.75" customHeight="1" x14ac:dyDescent="0.2">
      <c r="A301" s="13"/>
      <c r="C301" s="13"/>
      <c r="D301" s="10"/>
      <c r="AR301" s="10"/>
      <c r="AS301" s="10"/>
    </row>
    <row r="302" spans="1:45" s="12" customFormat="1" ht="12.75" customHeight="1" x14ac:dyDescent="0.2">
      <c r="A302" s="13"/>
      <c r="C302" s="13"/>
      <c r="D302" s="10"/>
      <c r="AR302" s="10"/>
      <c r="AS302" s="10"/>
    </row>
    <row r="303" spans="1:45" s="12" customFormat="1" ht="12.75" customHeight="1" x14ac:dyDescent="0.2">
      <c r="A303" s="13"/>
      <c r="C303" s="13"/>
      <c r="D303" s="10"/>
      <c r="AR303" s="10"/>
      <c r="AS303" s="10"/>
    </row>
    <row r="304" spans="1:45" s="12" customFormat="1" ht="12.75" customHeight="1" x14ac:dyDescent="0.2">
      <c r="A304" s="13"/>
      <c r="C304" s="13"/>
      <c r="D304" s="10"/>
      <c r="AR304" s="10"/>
      <c r="AS304" s="10"/>
    </row>
    <row r="305" spans="1:45" s="12" customFormat="1" ht="12.75" customHeight="1" x14ac:dyDescent="0.2">
      <c r="A305" s="13"/>
      <c r="C305" s="13"/>
      <c r="D305" s="10"/>
      <c r="AR305" s="10"/>
      <c r="AS305" s="10"/>
    </row>
    <row r="306" spans="1:45" s="12" customFormat="1" ht="12.75" customHeight="1" x14ac:dyDescent="0.2">
      <c r="A306" s="13"/>
      <c r="C306" s="13"/>
      <c r="D306" s="10"/>
      <c r="AR306" s="10"/>
      <c r="AS306" s="10"/>
    </row>
    <row r="307" spans="1:45" s="12" customFormat="1" ht="12.75" customHeight="1" x14ac:dyDescent="0.2">
      <c r="A307" s="13"/>
      <c r="C307" s="13"/>
      <c r="D307" s="10"/>
      <c r="AR307" s="10"/>
      <c r="AS307" s="10"/>
    </row>
    <row r="308" spans="1:45" s="12" customFormat="1" ht="12.75" customHeight="1" x14ac:dyDescent="0.2">
      <c r="A308" s="13"/>
      <c r="C308" s="13"/>
      <c r="D308" s="10"/>
      <c r="AR308" s="10"/>
      <c r="AS308" s="10"/>
    </row>
    <row r="309" spans="1:45" s="12" customFormat="1" ht="12.75" customHeight="1" x14ac:dyDescent="0.2">
      <c r="A309" s="13"/>
      <c r="C309" s="13"/>
      <c r="D309" s="10"/>
      <c r="AR309" s="10"/>
      <c r="AS309" s="10"/>
    </row>
    <row r="310" spans="1:45" s="12" customFormat="1" ht="12.75" customHeight="1" x14ac:dyDescent="0.2">
      <c r="A310" s="13"/>
      <c r="C310" s="13"/>
      <c r="D310" s="10"/>
      <c r="AR310" s="10"/>
      <c r="AS310" s="10"/>
    </row>
    <row r="311" spans="1:45" s="12" customFormat="1" ht="12.75" customHeight="1" x14ac:dyDescent="0.2">
      <c r="A311" s="13"/>
      <c r="C311" s="13"/>
      <c r="D311" s="10"/>
      <c r="AR311" s="10"/>
      <c r="AS311" s="10"/>
    </row>
    <row r="312" spans="1:45" s="12" customFormat="1" ht="12.75" customHeight="1" x14ac:dyDescent="0.2">
      <c r="A312" s="13"/>
      <c r="C312" s="13"/>
      <c r="D312" s="10"/>
      <c r="AR312" s="10"/>
      <c r="AS312" s="10"/>
    </row>
    <row r="313" spans="1:45" s="12" customFormat="1" ht="12.75" customHeight="1" x14ac:dyDescent="0.2">
      <c r="A313" s="13"/>
      <c r="C313" s="13"/>
      <c r="D313" s="10"/>
      <c r="AR313" s="10"/>
      <c r="AS313" s="10"/>
    </row>
    <row r="314" spans="1:45" s="12" customFormat="1" ht="12.75" customHeight="1" x14ac:dyDescent="0.2">
      <c r="A314" s="13"/>
      <c r="C314" s="13"/>
      <c r="D314" s="10"/>
      <c r="AR314" s="10"/>
      <c r="AS314" s="10"/>
    </row>
    <row r="315" spans="1:45" s="12" customFormat="1" ht="12.75" customHeight="1" x14ac:dyDescent="0.2">
      <c r="A315" s="13"/>
      <c r="C315" s="13"/>
      <c r="D315" s="10"/>
      <c r="AR315" s="10"/>
      <c r="AS315" s="10"/>
    </row>
    <row r="316" spans="1:45" s="12" customFormat="1" ht="12.75" customHeight="1" x14ac:dyDescent="0.2">
      <c r="A316" s="13"/>
      <c r="C316" s="13"/>
      <c r="D316" s="10"/>
      <c r="AR316" s="10"/>
      <c r="AS316" s="10"/>
    </row>
    <row r="317" spans="1:45" s="12" customFormat="1" ht="12.75" customHeight="1" x14ac:dyDescent="0.2">
      <c r="A317" s="13"/>
      <c r="C317" s="13"/>
      <c r="D317" s="10"/>
      <c r="AR317" s="10"/>
      <c r="AS317" s="10"/>
    </row>
    <row r="318" spans="1:45" s="12" customFormat="1" ht="12.75" customHeight="1" x14ac:dyDescent="0.2">
      <c r="A318" s="13"/>
      <c r="C318" s="13"/>
      <c r="D318" s="10"/>
      <c r="AR318" s="10"/>
      <c r="AS318" s="10"/>
    </row>
    <row r="319" spans="1:45" s="12" customFormat="1" ht="12.75" customHeight="1" x14ac:dyDescent="0.2">
      <c r="A319" s="13"/>
      <c r="C319" s="13"/>
      <c r="D319" s="10"/>
      <c r="AR319" s="10"/>
      <c r="AS319" s="10"/>
    </row>
    <row r="320" spans="1:45" s="12" customFormat="1" ht="12.75" customHeight="1" x14ac:dyDescent="0.2">
      <c r="A320" s="13"/>
      <c r="C320" s="13"/>
      <c r="D320" s="10"/>
      <c r="AR320" s="10"/>
      <c r="AS320" s="10"/>
    </row>
    <row r="321" spans="1:45" s="12" customFormat="1" ht="12.75" customHeight="1" x14ac:dyDescent="0.2">
      <c r="A321" s="13"/>
      <c r="C321" s="13"/>
      <c r="D321" s="10"/>
      <c r="AR321" s="10"/>
      <c r="AS321" s="10"/>
    </row>
    <row r="322" spans="1:45" s="12" customFormat="1" ht="12.75" customHeight="1" x14ac:dyDescent="0.2">
      <c r="A322" s="13"/>
      <c r="C322" s="13"/>
      <c r="D322" s="10"/>
      <c r="AR322" s="10"/>
      <c r="AS322" s="10"/>
    </row>
    <row r="323" spans="1:45" s="12" customFormat="1" ht="12.75" customHeight="1" x14ac:dyDescent="0.2">
      <c r="A323" s="13"/>
      <c r="C323" s="13"/>
      <c r="D323" s="10"/>
      <c r="AR323" s="10"/>
      <c r="AS323" s="10"/>
    </row>
    <row r="324" spans="1:45" s="12" customFormat="1" ht="12.75" customHeight="1" x14ac:dyDescent="0.2">
      <c r="A324" s="13"/>
      <c r="C324" s="13"/>
      <c r="D324" s="10"/>
      <c r="AR324" s="10"/>
      <c r="AS324" s="10"/>
    </row>
    <row r="325" spans="1:45" s="12" customFormat="1" ht="12.75" customHeight="1" x14ac:dyDescent="0.2">
      <c r="A325" s="13"/>
      <c r="C325" s="13"/>
      <c r="D325" s="10"/>
      <c r="AR325" s="10"/>
      <c r="AS325" s="10"/>
    </row>
    <row r="326" spans="1:45" s="12" customFormat="1" ht="12.75" customHeight="1" x14ac:dyDescent="0.2">
      <c r="A326" s="13"/>
      <c r="C326" s="13"/>
      <c r="D326" s="10"/>
      <c r="AR326" s="10"/>
      <c r="AS326" s="10"/>
    </row>
    <row r="327" spans="1:45" s="12" customFormat="1" ht="12.75" customHeight="1" x14ac:dyDescent="0.2">
      <c r="A327" s="13"/>
      <c r="C327" s="13"/>
      <c r="D327" s="10"/>
      <c r="AR327" s="10"/>
      <c r="AS327" s="10"/>
    </row>
    <row r="328" spans="1:45" s="12" customFormat="1" ht="12.75" customHeight="1" x14ac:dyDescent="0.2">
      <c r="A328" s="13"/>
      <c r="C328" s="13"/>
      <c r="D328" s="10"/>
      <c r="AR328" s="10"/>
      <c r="AS328" s="10"/>
    </row>
    <row r="329" spans="1:45" s="12" customFormat="1" ht="12.75" customHeight="1" x14ac:dyDescent="0.2">
      <c r="A329" s="13"/>
      <c r="C329" s="13"/>
      <c r="D329" s="10"/>
      <c r="AR329" s="10"/>
      <c r="AS329" s="10"/>
    </row>
    <row r="330" spans="1:45" s="12" customFormat="1" ht="12.75" customHeight="1" x14ac:dyDescent="0.2">
      <c r="A330" s="13"/>
      <c r="C330" s="13"/>
      <c r="D330" s="10"/>
      <c r="AR330" s="10"/>
      <c r="AS330" s="10"/>
    </row>
    <row r="331" spans="1:45" s="12" customFormat="1" ht="12.75" customHeight="1" x14ac:dyDescent="0.2">
      <c r="A331" s="13"/>
      <c r="C331" s="13"/>
      <c r="D331" s="10"/>
      <c r="AR331" s="10"/>
      <c r="AS331" s="10"/>
    </row>
    <row r="332" spans="1:45" s="12" customFormat="1" ht="12.75" customHeight="1" x14ac:dyDescent="0.2">
      <c r="A332" s="13"/>
      <c r="C332" s="13"/>
      <c r="D332" s="10"/>
      <c r="AR332" s="10"/>
      <c r="AS332" s="10"/>
    </row>
    <row r="333" spans="1:45" s="12" customFormat="1" ht="12.75" customHeight="1" x14ac:dyDescent="0.2">
      <c r="A333" s="13"/>
      <c r="C333" s="13"/>
      <c r="D333" s="10"/>
      <c r="AR333" s="10"/>
      <c r="AS333" s="10"/>
    </row>
    <row r="334" spans="1:45" s="12" customFormat="1" ht="12.75" customHeight="1" x14ac:dyDescent="0.2">
      <c r="A334" s="13"/>
      <c r="C334" s="13"/>
      <c r="D334" s="10"/>
      <c r="AR334" s="10"/>
      <c r="AS334" s="10"/>
    </row>
    <row r="335" spans="1:45" s="12" customFormat="1" ht="12.75" customHeight="1" x14ac:dyDescent="0.2">
      <c r="A335" s="13"/>
      <c r="C335" s="13"/>
      <c r="D335" s="10"/>
      <c r="AR335" s="10"/>
      <c r="AS335" s="10"/>
    </row>
    <row r="336" spans="1:45" s="12" customFormat="1" ht="12.75" customHeight="1" x14ac:dyDescent="0.2">
      <c r="A336" s="13"/>
      <c r="C336" s="13"/>
      <c r="D336" s="10"/>
      <c r="AR336" s="10"/>
      <c r="AS336" s="10"/>
    </row>
    <row r="337" spans="1:45" s="12" customFormat="1" ht="12.75" customHeight="1" x14ac:dyDescent="0.2">
      <c r="A337" s="13"/>
      <c r="C337" s="13"/>
      <c r="D337" s="10"/>
      <c r="AR337" s="10"/>
      <c r="AS337" s="10"/>
    </row>
    <row r="338" spans="1:45" s="12" customFormat="1" ht="12.75" customHeight="1" x14ac:dyDescent="0.2">
      <c r="A338" s="13"/>
      <c r="C338" s="13"/>
      <c r="D338" s="10"/>
      <c r="AR338" s="10"/>
      <c r="AS338" s="10"/>
    </row>
    <row r="339" spans="1:45" s="12" customFormat="1" ht="12.75" customHeight="1" x14ac:dyDescent="0.2">
      <c r="A339" s="13"/>
      <c r="C339" s="13"/>
      <c r="D339" s="10"/>
      <c r="AR339" s="10"/>
      <c r="AS339" s="10"/>
    </row>
    <row r="340" spans="1:45" s="12" customFormat="1" ht="12.75" customHeight="1" x14ac:dyDescent="0.2">
      <c r="A340" s="13"/>
      <c r="C340" s="13"/>
      <c r="D340" s="10"/>
      <c r="AR340" s="10"/>
      <c r="AS340" s="10"/>
    </row>
    <row r="341" spans="1:45" s="12" customFormat="1" ht="12.75" customHeight="1" x14ac:dyDescent="0.2">
      <c r="A341" s="13"/>
      <c r="C341" s="13"/>
      <c r="D341" s="10"/>
      <c r="AR341" s="10"/>
      <c r="AS341" s="10"/>
    </row>
    <row r="342" spans="1:45" s="12" customFormat="1" ht="12.75" customHeight="1" x14ac:dyDescent="0.2">
      <c r="A342" s="13"/>
      <c r="C342" s="13"/>
      <c r="D342" s="10"/>
      <c r="AR342" s="10"/>
      <c r="AS342" s="10"/>
    </row>
    <row r="343" spans="1:45" s="12" customFormat="1" ht="12.75" customHeight="1" x14ac:dyDescent="0.2">
      <c r="A343" s="13"/>
      <c r="C343" s="13"/>
      <c r="D343" s="10"/>
      <c r="AR343" s="10"/>
      <c r="AS343" s="10"/>
    </row>
    <row r="344" spans="1:45" s="12" customFormat="1" ht="12.75" customHeight="1" x14ac:dyDescent="0.2">
      <c r="A344" s="13"/>
      <c r="C344" s="13"/>
      <c r="D344" s="10"/>
      <c r="AR344" s="10"/>
      <c r="AS344" s="10"/>
    </row>
    <row r="345" spans="1:45" s="12" customFormat="1" ht="12.75" customHeight="1" x14ac:dyDescent="0.2">
      <c r="A345" s="13"/>
      <c r="C345" s="13"/>
      <c r="D345" s="10"/>
      <c r="AR345" s="10"/>
      <c r="AS345" s="10"/>
    </row>
    <row r="346" spans="1:45" s="12" customFormat="1" ht="12.75" customHeight="1" x14ac:dyDescent="0.2">
      <c r="A346" s="13"/>
      <c r="C346" s="13"/>
      <c r="D346" s="10"/>
      <c r="AR346" s="10"/>
      <c r="AS346" s="10"/>
    </row>
    <row r="347" spans="1:45" s="12" customFormat="1" ht="12.75" customHeight="1" x14ac:dyDescent="0.2">
      <c r="A347" s="13"/>
      <c r="C347" s="13"/>
      <c r="D347" s="10"/>
      <c r="AR347" s="10"/>
      <c r="AS347" s="10"/>
    </row>
    <row r="348" spans="1:45" s="12" customFormat="1" ht="12.75" customHeight="1" x14ac:dyDescent="0.2">
      <c r="A348" s="13"/>
      <c r="C348" s="13"/>
      <c r="D348" s="10"/>
      <c r="AR348" s="10"/>
      <c r="AS348" s="10"/>
    </row>
    <row r="349" spans="1:45" s="12" customFormat="1" ht="12.75" customHeight="1" x14ac:dyDescent="0.2">
      <c r="A349" s="13"/>
      <c r="C349" s="13"/>
      <c r="D349" s="10"/>
      <c r="AR349" s="10"/>
      <c r="AS349" s="10"/>
    </row>
    <row r="350" spans="1:45" s="12" customFormat="1" ht="12.75" customHeight="1" x14ac:dyDescent="0.2">
      <c r="A350" s="13"/>
      <c r="C350" s="13"/>
      <c r="D350" s="10"/>
      <c r="AR350" s="10"/>
      <c r="AS350" s="10"/>
    </row>
    <row r="351" spans="1:45" s="12" customFormat="1" ht="12.75" customHeight="1" x14ac:dyDescent="0.2">
      <c r="A351" s="13"/>
      <c r="C351" s="13"/>
      <c r="D351" s="10"/>
      <c r="AR351" s="10"/>
      <c r="AS351" s="10"/>
    </row>
    <row r="352" spans="1:45" s="12" customFormat="1" ht="12.75" customHeight="1" x14ac:dyDescent="0.2">
      <c r="A352" s="13"/>
      <c r="C352" s="13"/>
      <c r="D352" s="10"/>
      <c r="AR352" s="10"/>
      <c r="AS352" s="10"/>
    </row>
    <row r="353" spans="1:45" s="12" customFormat="1" ht="12.75" customHeight="1" x14ac:dyDescent="0.2">
      <c r="A353" s="13"/>
      <c r="C353" s="13"/>
      <c r="D353" s="10"/>
      <c r="AR353" s="10"/>
      <c r="AS353" s="10"/>
    </row>
    <row r="354" spans="1:45" s="12" customFormat="1" ht="12.75" customHeight="1" x14ac:dyDescent="0.2">
      <c r="A354" s="13"/>
      <c r="C354" s="13"/>
      <c r="D354" s="10"/>
      <c r="AR354" s="10"/>
      <c r="AS354" s="10"/>
    </row>
    <row r="355" spans="1:45" s="12" customFormat="1" ht="12.75" customHeight="1" x14ac:dyDescent="0.2">
      <c r="A355" s="13"/>
      <c r="C355" s="13"/>
      <c r="D355" s="10"/>
      <c r="AR355" s="10"/>
      <c r="AS355" s="10"/>
    </row>
    <row r="356" spans="1:45" s="12" customFormat="1" ht="12.75" customHeight="1" x14ac:dyDescent="0.2">
      <c r="A356" s="13"/>
      <c r="C356" s="13"/>
      <c r="D356" s="10"/>
      <c r="AR356" s="10"/>
      <c r="AS356" s="10"/>
    </row>
    <row r="357" spans="1:45" s="12" customFormat="1" ht="12.75" customHeight="1" x14ac:dyDescent="0.2">
      <c r="A357" s="13"/>
      <c r="C357" s="13"/>
      <c r="D357" s="10"/>
      <c r="AR357" s="10"/>
      <c r="AS357" s="10"/>
    </row>
    <row r="358" spans="1:45" s="12" customFormat="1" ht="12.75" customHeight="1" x14ac:dyDescent="0.2">
      <c r="A358" s="13"/>
      <c r="C358" s="13"/>
      <c r="D358" s="10"/>
      <c r="AR358" s="10"/>
      <c r="AS358" s="10"/>
    </row>
    <row r="359" spans="1:45" s="12" customFormat="1" ht="12.75" customHeight="1" x14ac:dyDescent="0.2">
      <c r="A359" s="13"/>
      <c r="C359" s="13"/>
      <c r="D359" s="10"/>
      <c r="AR359" s="10"/>
      <c r="AS359" s="10"/>
    </row>
    <row r="360" spans="1:45" s="12" customFormat="1" ht="12.75" customHeight="1" x14ac:dyDescent="0.2">
      <c r="A360" s="13"/>
      <c r="C360" s="13"/>
      <c r="D360" s="10"/>
      <c r="AR360" s="10"/>
      <c r="AS360" s="10"/>
    </row>
    <row r="361" spans="1:45" s="12" customFormat="1" ht="12.75" customHeight="1" x14ac:dyDescent="0.2">
      <c r="A361" s="13"/>
      <c r="C361" s="13"/>
      <c r="D361" s="10"/>
      <c r="AR361" s="10"/>
      <c r="AS361" s="10"/>
    </row>
    <row r="362" spans="1:45" s="12" customFormat="1" ht="12.75" customHeight="1" x14ac:dyDescent="0.2">
      <c r="A362" s="13"/>
      <c r="C362" s="13"/>
      <c r="D362" s="10"/>
      <c r="AR362" s="10"/>
      <c r="AS362" s="10"/>
    </row>
    <row r="363" spans="1:45" s="12" customFormat="1" ht="12.75" customHeight="1" x14ac:dyDescent="0.2">
      <c r="A363" s="13"/>
      <c r="C363" s="13"/>
      <c r="D363" s="10"/>
      <c r="AR363" s="10"/>
      <c r="AS363" s="10"/>
    </row>
    <row r="364" spans="1:45" s="12" customFormat="1" ht="12.75" customHeight="1" x14ac:dyDescent="0.2">
      <c r="A364" s="13"/>
      <c r="C364" s="13"/>
      <c r="D364" s="10"/>
      <c r="AR364" s="10"/>
      <c r="AS364" s="10"/>
    </row>
    <row r="365" spans="1:45" s="12" customFormat="1" ht="12.75" customHeight="1" x14ac:dyDescent="0.2">
      <c r="A365" s="13"/>
      <c r="C365" s="13"/>
      <c r="D365" s="10"/>
      <c r="AR365" s="10"/>
      <c r="AS365" s="10"/>
    </row>
    <row r="366" spans="1:45" s="12" customFormat="1" ht="12.75" customHeight="1" x14ac:dyDescent="0.2">
      <c r="A366" s="13"/>
      <c r="C366" s="13"/>
      <c r="D366" s="10"/>
      <c r="AR366" s="10"/>
      <c r="AS366" s="10"/>
    </row>
    <row r="367" spans="1:45" s="12" customFormat="1" ht="12.75" customHeight="1" x14ac:dyDescent="0.2">
      <c r="A367" s="13"/>
      <c r="C367" s="13"/>
      <c r="D367" s="10"/>
      <c r="AR367" s="10"/>
      <c r="AS367" s="10"/>
    </row>
    <row r="368" spans="1:45" s="12" customFormat="1" ht="12.75" customHeight="1" x14ac:dyDescent="0.2">
      <c r="A368" s="13"/>
      <c r="C368" s="13"/>
      <c r="D368" s="10"/>
      <c r="AR368" s="10"/>
      <c r="AS368" s="10"/>
    </row>
    <row r="369" spans="1:45" s="12" customFormat="1" ht="12.75" customHeight="1" x14ac:dyDescent="0.2">
      <c r="A369" s="13"/>
      <c r="C369" s="13"/>
      <c r="D369" s="10"/>
      <c r="AR369" s="10"/>
      <c r="AS369" s="10"/>
    </row>
    <row r="370" spans="1:45" s="12" customFormat="1" ht="12.75" customHeight="1" x14ac:dyDescent="0.2">
      <c r="A370" s="13"/>
      <c r="C370" s="13"/>
      <c r="D370" s="10"/>
      <c r="AR370" s="10"/>
      <c r="AS370" s="10"/>
    </row>
    <row r="371" spans="1:45" s="12" customFormat="1" ht="12.75" customHeight="1" x14ac:dyDescent="0.2">
      <c r="A371" s="13"/>
      <c r="C371" s="13"/>
      <c r="D371" s="10"/>
      <c r="AR371" s="10"/>
      <c r="AS371" s="10"/>
    </row>
    <row r="372" spans="1:45" s="12" customFormat="1" ht="12.75" customHeight="1" x14ac:dyDescent="0.2">
      <c r="A372" s="13"/>
      <c r="C372" s="13"/>
      <c r="D372" s="10"/>
      <c r="AR372" s="10"/>
      <c r="AS372" s="10"/>
    </row>
    <row r="373" spans="1:45" s="12" customFormat="1" ht="12.75" customHeight="1" x14ac:dyDescent="0.2">
      <c r="A373" s="13"/>
      <c r="C373" s="13"/>
      <c r="D373" s="10"/>
      <c r="AR373" s="10"/>
      <c r="AS373" s="10"/>
    </row>
    <row r="374" spans="1:45" s="12" customFormat="1" ht="12.75" customHeight="1" x14ac:dyDescent="0.2">
      <c r="A374" s="13"/>
      <c r="C374" s="13"/>
      <c r="D374" s="10"/>
      <c r="AR374" s="10"/>
      <c r="AS374" s="10"/>
    </row>
    <row r="375" spans="1:45" s="12" customFormat="1" ht="12.75" customHeight="1" x14ac:dyDescent="0.2">
      <c r="A375" s="13"/>
      <c r="C375" s="13"/>
      <c r="D375" s="10"/>
      <c r="AR375" s="10"/>
      <c r="AS375" s="10"/>
    </row>
    <row r="376" spans="1:45" s="12" customFormat="1" ht="12.75" customHeight="1" x14ac:dyDescent="0.2">
      <c r="A376" s="13"/>
      <c r="C376" s="13"/>
      <c r="D376" s="10"/>
      <c r="AR376" s="10"/>
      <c r="AS376" s="10"/>
    </row>
    <row r="377" spans="1:45" s="12" customFormat="1" ht="12.75" customHeight="1" x14ac:dyDescent="0.2">
      <c r="A377" s="13"/>
      <c r="C377" s="13"/>
      <c r="D377" s="10"/>
      <c r="AR377" s="10"/>
      <c r="AS377" s="10"/>
    </row>
    <row r="378" spans="1:45" s="12" customFormat="1" ht="12.75" customHeight="1" x14ac:dyDescent="0.2">
      <c r="A378" s="13"/>
      <c r="C378" s="13"/>
      <c r="D378" s="10"/>
      <c r="AR378" s="10"/>
      <c r="AS378" s="10"/>
    </row>
    <row r="379" spans="1:45" s="12" customFormat="1" ht="12.75" customHeight="1" x14ac:dyDescent="0.2">
      <c r="A379" s="13"/>
      <c r="C379" s="13"/>
      <c r="D379" s="10"/>
      <c r="AR379" s="10"/>
      <c r="AS379" s="10"/>
    </row>
    <row r="380" spans="1:45" s="12" customFormat="1" ht="12.75" customHeight="1" x14ac:dyDescent="0.2">
      <c r="A380" s="13"/>
      <c r="C380" s="13"/>
      <c r="D380" s="10"/>
      <c r="AR380" s="10"/>
      <c r="AS380" s="10"/>
    </row>
    <row r="381" spans="1:45" s="12" customFormat="1" ht="12.75" customHeight="1" x14ac:dyDescent="0.2">
      <c r="A381" s="13"/>
      <c r="C381" s="13"/>
      <c r="D381" s="10"/>
      <c r="AR381" s="10"/>
      <c r="AS381" s="10"/>
    </row>
    <row r="382" spans="1:45" s="12" customFormat="1" ht="12.75" customHeight="1" x14ac:dyDescent="0.2">
      <c r="A382" s="13"/>
      <c r="C382" s="13"/>
      <c r="D382" s="10"/>
      <c r="AR382" s="10"/>
      <c r="AS382" s="10"/>
    </row>
    <row r="383" spans="1:45" s="12" customFormat="1" ht="12.75" customHeight="1" x14ac:dyDescent="0.2">
      <c r="A383" s="13"/>
      <c r="C383" s="13"/>
      <c r="D383" s="10"/>
      <c r="AR383" s="10"/>
      <c r="AS383" s="10"/>
    </row>
    <row r="384" spans="1:45" s="12" customFormat="1" ht="12.75" customHeight="1" x14ac:dyDescent="0.2">
      <c r="A384" s="13"/>
      <c r="C384" s="13"/>
      <c r="D384" s="10"/>
      <c r="AR384" s="10"/>
      <c r="AS384" s="10"/>
    </row>
    <row r="385" spans="1:45" s="12" customFormat="1" ht="12.75" customHeight="1" x14ac:dyDescent="0.2">
      <c r="A385" s="13"/>
      <c r="C385" s="13"/>
      <c r="D385" s="10"/>
      <c r="AR385" s="10"/>
      <c r="AS385" s="10"/>
    </row>
    <row r="386" spans="1:45" s="12" customFormat="1" ht="12.75" customHeight="1" x14ac:dyDescent="0.2">
      <c r="A386" s="13"/>
      <c r="C386" s="13"/>
      <c r="D386" s="10"/>
      <c r="AR386" s="10"/>
      <c r="AS386" s="10"/>
    </row>
    <row r="387" spans="1:45" s="12" customFormat="1" ht="12.75" customHeight="1" x14ac:dyDescent="0.2">
      <c r="A387" s="13"/>
      <c r="C387" s="13"/>
      <c r="D387" s="10"/>
      <c r="AR387" s="10"/>
      <c r="AS387" s="10"/>
    </row>
    <row r="388" spans="1:45" s="12" customFormat="1" ht="12.75" customHeight="1" x14ac:dyDescent="0.2">
      <c r="A388" s="13"/>
      <c r="C388" s="13"/>
      <c r="D388" s="10"/>
      <c r="AR388" s="10"/>
      <c r="AS388" s="10"/>
    </row>
    <row r="389" spans="1:45" s="12" customFormat="1" ht="12.75" customHeight="1" x14ac:dyDescent="0.2">
      <c r="A389" s="13"/>
      <c r="C389" s="13"/>
      <c r="D389" s="10"/>
      <c r="AR389" s="10"/>
      <c r="AS389" s="10"/>
    </row>
    <row r="390" spans="1:45" s="12" customFormat="1" ht="12.75" customHeight="1" x14ac:dyDescent="0.2">
      <c r="A390" s="13"/>
      <c r="C390" s="13"/>
      <c r="D390" s="10"/>
      <c r="AR390" s="10"/>
      <c r="AS390" s="10"/>
    </row>
    <row r="391" spans="1:45" s="12" customFormat="1" ht="12.75" customHeight="1" x14ac:dyDescent="0.2">
      <c r="A391" s="13"/>
      <c r="C391" s="13"/>
      <c r="D391" s="10"/>
      <c r="AR391" s="10"/>
      <c r="AS391" s="10"/>
    </row>
    <row r="392" spans="1:45" s="12" customFormat="1" ht="12.75" customHeight="1" x14ac:dyDescent="0.2">
      <c r="A392" s="13"/>
      <c r="C392" s="13"/>
      <c r="D392" s="10"/>
      <c r="AR392" s="10"/>
      <c r="AS392" s="10"/>
    </row>
    <row r="393" spans="1:45" s="12" customFormat="1" ht="12.75" customHeight="1" x14ac:dyDescent="0.2">
      <c r="A393" s="13"/>
      <c r="C393" s="13"/>
      <c r="D393" s="10"/>
      <c r="AR393" s="10"/>
      <c r="AS393" s="10"/>
    </row>
    <row r="394" spans="1:45" s="12" customFormat="1" ht="12.75" customHeight="1" x14ac:dyDescent="0.2">
      <c r="A394" s="13"/>
      <c r="C394" s="13"/>
      <c r="D394" s="10"/>
      <c r="AR394" s="10"/>
      <c r="AS394" s="10"/>
    </row>
    <row r="395" spans="1:45" s="12" customFormat="1" ht="12.75" customHeight="1" x14ac:dyDescent="0.2">
      <c r="A395" s="13"/>
      <c r="C395" s="13"/>
      <c r="D395" s="10"/>
      <c r="AR395" s="10"/>
      <c r="AS395" s="10"/>
    </row>
    <row r="396" spans="1:45" s="12" customFormat="1" ht="12.75" customHeight="1" x14ac:dyDescent="0.2">
      <c r="A396" s="13"/>
      <c r="C396" s="13"/>
      <c r="D396" s="10"/>
      <c r="AR396" s="10"/>
      <c r="AS396" s="10"/>
    </row>
    <row r="397" spans="1:45" s="12" customFormat="1" ht="12.75" customHeight="1" x14ac:dyDescent="0.2">
      <c r="A397" s="13"/>
      <c r="C397" s="13"/>
      <c r="D397" s="10"/>
      <c r="AR397" s="10"/>
      <c r="AS397" s="10"/>
    </row>
    <row r="398" spans="1:45" s="12" customFormat="1" ht="12.75" customHeight="1" x14ac:dyDescent="0.2">
      <c r="A398" s="13"/>
      <c r="C398" s="13"/>
      <c r="D398" s="10"/>
      <c r="AR398" s="10"/>
      <c r="AS398" s="10"/>
    </row>
    <row r="399" spans="1:45" s="12" customFormat="1" ht="12.75" customHeight="1" x14ac:dyDescent="0.2">
      <c r="A399" s="13"/>
      <c r="C399" s="13"/>
      <c r="D399" s="10"/>
      <c r="AR399" s="10"/>
      <c r="AS399" s="10"/>
    </row>
    <row r="400" spans="1:45" s="12" customFormat="1" ht="12.75" customHeight="1" x14ac:dyDescent="0.2">
      <c r="A400" s="13"/>
      <c r="C400" s="13"/>
      <c r="D400" s="10"/>
      <c r="AR400" s="10"/>
      <c r="AS400" s="10"/>
    </row>
    <row r="401" spans="1:45" s="12" customFormat="1" ht="12.75" customHeight="1" x14ac:dyDescent="0.2">
      <c r="A401" s="13"/>
      <c r="C401" s="13"/>
      <c r="D401" s="10"/>
      <c r="AR401" s="10"/>
      <c r="AS401" s="10"/>
    </row>
    <row r="402" spans="1:45" s="12" customFormat="1" ht="12.75" customHeight="1" x14ac:dyDescent="0.2">
      <c r="A402" s="13"/>
      <c r="C402" s="13"/>
      <c r="D402" s="10"/>
      <c r="AR402" s="10"/>
      <c r="AS402" s="10"/>
    </row>
    <row r="403" spans="1:45" s="12" customFormat="1" ht="12.75" customHeight="1" x14ac:dyDescent="0.2">
      <c r="A403" s="13"/>
      <c r="C403" s="13"/>
      <c r="D403" s="10"/>
      <c r="AR403" s="10"/>
      <c r="AS403" s="10"/>
    </row>
    <row r="404" spans="1:45" s="12" customFormat="1" ht="12.75" customHeight="1" x14ac:dyDescent="0.2">
      <c r="A404" s="13"/>
      <c r="C404" s="13"/>
      <c r="D404" s="10"/>
      <c r="AR404" s="10"/>
      <c r="AS404" s="10"/>
    </row>
    <row r="405" spans="1:45" s="12" customFormat="1" ht="12.75" customHeight="1" x14ac:dyDescent="0.2">
      <c r="A405" s="13"/>
      <c r="C405" s="13"/>
      <c r="D405" s="10"/>
      <c r="AR405" s="10"/>
      <c r="AS405" s="10"/>
    </row>
    <row r="406" spans="1:45" s="12" customFormat="1" ht="12.75" customHeight="1" x14ac:dyDescent="0.2">
      <c r="A406" s="13"/>
      <c r="C406" s="13"/>
      <c r="D406" s="10"/>
      <c r="AR406" s="10"/>
      <c r="AS406" s="10"/>
    </row>
    <row r="407" spans="1:45" s="12" customFormat="1" ht="12.75" customHeight="1" x14ac:dyDescent="0.2">
      <c r="A407" s="13"/>
      <c r="C407" s="13"/>
      <c r="D407" s="10"/>
      <c r="AR407" s="10"/>
      <c r="AS407" s="10"/>
    </row>
    <row r="408" spans="1:45" s="12" customFormat="1" ht="12.75" customHeight="1" x14ac:dyDescent="0.2">
      <c r="A408" s="13"/>
      <c r="C408" s="13"/>
      <c r="D408" s="10"/>
      <c r="AR408" s="10"/>
      <c r="AS408" s="10"/>
    </row>
    <row r="409" spans="1:45" s="12" customFormat="1" ht="12.75" customHeight="1" x14ac:dyDescent="0.2">
      <c r="A409" s="13"/>
      <c r="C409" s="13"/>
      <c r="D409" s="10"/>
      <c r="AR409" s="10"/>
      <c r="AS409" s="10"/>
    </row>
    <row r="410" spans="1:45" s="12" customFormat="1" ht="12.75" customHeight="1" x14ac:dyDescent="0.2">
      <c r="A410" s="13"/>
      <c r="C410" s="13"/>
      <c r="D410" s="10"/>
      <c r="AR410" s="10"/>
      <c r="AS410" s="10"/>
    </row>
    <row r="411" spans="1:45" s="12" customFormat="1" ht="12.75" customHeight="1" x14ac:dyDescent="0.2">
      <c r="A411" s="13"/>
      <c r="C411" s="13"/>
      <c r="D411" s="10"/>
      <c r="AR411" s="10"/>
      <c r="AS411" s="10"/>
    </row>
    <row r="412" spans="1:45" s="12" customFormat="1" ht="12.75" customHeight="1" x14ac:dyDescent="0.2">
      <c r="A412" s="13"/>
      <c r="C412" s="13"/>
      <c r="D412" s="10"/>
      <c r="AR412" s="10"/>
      <c r="AS412" s="10"/>
    </row>
    <row r="413" spans="1:45" s="12" customFormat="1" ht="12.75" customHeight="1" x14ac:dyDescent="0.2">
      <c r="A413" s="13"/>
      <c r="C413" s="13"/>
      <c r="D413" s="10"/>
      <c r="AR413" s="10"/>
      <c r="AS413" s="10"/>
    </row>
    <row r="414" spans="1:45" s="12" customFormat="1" ht="12.75" customHeight="1" x14ac:dyDescent="0.2">
      <c r="A414" s="13"/>
      <c r="C414" s="13"/>
      <c r="D414" s="10"/>
      <c r="AR414" s="10"/>
      <c r="AS414" s="10"/>
    </row>
    <row r="415" spans="1:45" s="12" customFormat="1" ht="12.75" customHeight="1" x14ac:dyDescent="0.2">
      <c r="A415" s="13"/>
      <c r="C415" s="13"/>
      <c r="D415" s="10"/>
      <c r="AR415" s="10"/>
      <c r="AS415" s="10"/>
    </row>
    <row r="416" spans="1:45" s="12" customFormat="1" ht="12.75" customHeight="1" x14ac:dyDescent="0.2">
      <c r="A416" s="13"/>
      <c r="C416" s="13"/>
      <c r="D416" s="10"/>
      <c r="AR416" s="10"/>
      <c r="AS416" s="10"/>
    </row>
    <row r="417" spans="1:45" s="12" customFormat="1" ht="12.75" customHeight="1" x14ac:dyDescent="0.2">
      <c r="A417" s="13"/>
      <c r="C417" s="13"/>
      <c r="D417" s="10"/>
      <c r="AR417" s="10"/>
      <c r="AS417" s="10"/>
    </row>
    <row r="418" spans="1:45" s="12" customFormat="1" ht="12.75" customHeight="1" x14ac:dyDescent="0.2">
      <c r="A418" s="13"/>
      <c r="C418" s="13"/>
      <c r="D418" s="10"/>
      <c r="AR418" s="10"/>
      <c r="AS418" s="10"/>
    </row>
    <row r="419" spans="1:45" s="12" customFormat="1" ht="12.75" customHeight="1" x14ac:dyDescent="0.2">
      <c r="A419" s="13"/>
      <c r="C419" s="13"/>
      <c r="D419" s="10"/>
      <c r="AR419" s="10"/>
      <c r="AS419" s="10"/>
    </row>
    <row r="420" spans="1:45" s="12" customFormat="1" ht="12.75" customHeight="1" x14ac:dyDescent="0.2">
      <c r="A420" s="13"/>
      <c r="C420" s="13"/>
      <c r="D420" s="10"/>
      <c r="AR420" s="10"/>
      <c r="AS420" s="10"/>
    </row>
    <row r="421" spans="1:45" s="12" customFormat="1" ht="12.75" customHeight="1" x14ac:dyDescent="0.2">
      <c r="A421" s="13"/>
      <c r="C421" s="13"/>
      <c r="D421" s="10"/>
      <c r="AR421" s="10"/>
      <c r="AS421" s="10"/>
    </row>
    <row r="422" spans="1:45" s="12" customFormat="1" ht="12.75" customHeight="1" x14ac:dyDescent="0.2">
      <c r="A422" s="13"/>
      <c r="C422" s="13"/>
      <c r="D422" s="10"/>
      <c r="AR422" s="10"/>
      <c r="AS422" s="10"/>
    </row>
    <row r="423" spans="1:45" s="12" customFormat="1" ht="12.75" customHeight="1" x14ac:dyDescent="0.2">
      <c r="A423" s="13"/>
      <c r="C423" s="13"/>
      <c r="D423" s="10"/>
      <c r="AR423" s="10"/>
      <c r="AS423" s="10"/>
    </row>
    <row r="424" spans="1:45" s="12" customFormat="1" ht="12.75" customHeight="1" x14ac:dyDescent="0.2">
      <c r="A424" s="13"/>
      <c r="C424" s="13"/>
      <c r="D424" s="10"/>
      <c r="AR424" s="10"/>
      <c r="AS424" s="10"/>
    </row>
    <row r="425" spans="1:45" s="12" customFormat="1" ht="12.75" customHeight="1" x14ac:dyDescent="0.2">
      <c r="A425" s="13"/>
      <c r="C425" s="13"/>
      <c r="D425" s="10"/>
      <c r="AR425" s="10"/>
      <c r="AS425" s="10"/>
    </row>
    <row r="426" spans="1:45" s="12" customFormat="1" ht="12.75" customHeight="1" x14ac:dyDescent="0.2">
      <c r="A426" s="13"/>
      <c r="C426" s="13"/>
      <c r="D426" s="10"/>
      <c r="AR426" s="10"/>
      <c r="AS426" s="10"/>
    </row>
    <row r="427" spans="1:45" s="12" customFormat="1" ht="12.75" customHeight="1" x14ac:dyDescent="0.2">
      <c r="A427" s="13"/>
      <c r="C427" s="13"/>
      <c r="D427" s="10"/>
      <c r="AR427" s="10"/>
      <c r="AS427" s="10"/>
    </row>
    <row r="428" spans="1:45" s="12" customFormat="1" ht="12.75" customHeight="1" x14ac:dyDescent="0.2">
      <c r="A428" s="13"/>
      <c r="C428" s="13"/>
      <c r="D428" s="10"/>
      <c r="AR428" s="10"/>
      <c r="AS428" s="10"/>
    </row>
    <row r="429" spans="1:45" s="12" customFormat="1" ht="12.75" customHeight="1" x14ac:dyDescent="0.2">
      <c r="A429" s="13"/>
      <c r="C429" s="13"/>
      <c r="D429" s="10"/>
      <c r="AR429" s="10"/>
      <c r="AS429" s="10"/>
    </row>
    <row r="430" spans="1:45" s="12" customFormat="1" ht="12.75" customHeight="1" x14ac:dyDescent="0.2">
      <c r="A430" s="13"/>
      <c r="C430" s="13"/>
      <c r="D430" s="10"/>
      <c r="AR430" s="10"/>
      <c r="AS430" s="10"/>
    </row>
    <row r="431" spans="1:45" s="12" customFormat="1" ht="12.75" customHeight="1" x14ac:dyDescent="0.2">
      <c r="A431" s="13"/>
      <c r="C431" s="13"/>
      <c r="D431" s="10"/>
      <c r="AR431" s="10"/>
      <c r="AS431" s="10"/>
    </row>
    <row r="432" spans="1:45" s="12" customFormat="1" ht="12.75" customHeight="1" x14ac:dyDescent="0.2">
      <c r="A432" s="13"/>
      <c r="C432" s="13"/>
      <c r="D432" s="10"/>
      <c r="AR432" s="10"/>
      <c r="AS432" s="10"/>
    </row>
    <row r="433" spans="1:45" s="12" customFormat="1" ht="12.75" customHeight="1" x14ac:dyDescent="0.2">
      <c r="A433" s="13"/>
      <c r="C433" s="13"/>
      <c r="D433" s="10"/>
      <c r="AR433" s="10"/>
      <c r="AS433" s="10"/>
    </row>
    <row r="434" spans="1:45" s="12" customFormat="1" ht="12.75" customHeight="1" x14ac:dyDescent="0.2">
      <c r="A434" s="13"/>
      <c r="C434" s="13"/>
      <c r="D434" s="10"/>
      <c r="AR434" s="10"/>
      <c r="AS434" s="10"/>
    </row>
    <row r="435" spans="1:45" s="12" customFormat="1" ht="12.75" customHeight="1" x14ac:dyDescent="0.2">
      <c r="A435" s="13"/>
      <c r="C435" s="13"/>
      <c r="D435" s="10"/>
      <c r="AR435" s="10"/>
      <c r="AS435" s="10"/>
    </row>
    <row r="436" spans="1:45" s="12" customFormat="1" ht="12.75" customHeight="1" x14ac:dyDescent="0.2">
      <c r="A436" s="13"/>
      <c r="C436" s="13"/>
      <c r="D436" s="10"/>
      <c r="AR436" s="10"/>
      <c r="AS436" s="10"/>
    </row>
    <row r="437" spans="1:45" s="12" customFormat="1" ht="12.75" customHeight="1" x14ac:dyDescent="0.2">
      <c r="A437" s="13"/>
      <c r="C437" s="13"/>
      <c r="D437" s="10"/>
      <c r="AR437" s="10"/>
      <c r="AS437" s="10"/>
    </row>
    <row r="438" spans="1:45" s="12" customFormat="1" ht="12.75" customHeight="1" x14ac:dyDescent="0.2">
      <c r="A438" s="13"/>
      <c r="C438" s="13"/>
      <c r="D438" s="10"/>
      <c r="AR438" s="10"/>
      <c r="AS438" s="10"/>
    </row>
    <row r="439" spans="1:45" s="12" customFormat="1" ht="12.75" customHeight="1" x14ac:dyDescent="0.2">
      <c r="A439" s="13"/>
      <c r="C439" s="13"/>
      <c r="D439" s="10"/>
      <c r="AR439" s="10"/>
      <c r="AS439" s="10"/>
    </row>
    <row r="440" spans="1:45" s="12" customFormat="1" ht="12.75" customHeight="1" x14ac:dyDescent="0.2">
      <c r="A440" s="13"/>
      <c r="C440" s="13"/>
      <c r="D440" s="10"/>
      <c r="AR440" s="10"/>
      <c r="AS440" s="10"/>
    </row>
    <row r="441" spans="1:45" s="12" customFormat="1" ht="12.75" customHeight="1" x14ac:dyDescent="0.2">
      <c r="A441" s="13"/>
      <c r="C441" s="13"/>
      <c r="D441" s="10"/>
      <c r="AR441" s="10"/>
      <c r="AS441" s="10"/>
    </row>
    <row r="442" spans="1:45" s="12" customFormat="1" ht="12.75" customHeight="1" x14ac:dyDescent="0.2">
      <c r="A442" s="13"/>
      <c r="C442" s="13"/>
      <c r="D442" s="10"/>
      <c r="AR442" s="10"/>
      <c r="AS442" s="10"/>
    </row>
    <row r="443" spans="1:45" s="12" customFormat="1" ht="12.75" customHeight="1" x14ac:dyDescent="0.2">
      <c r="A443" s="13"/>
      <c r="C443" s="13"/>
      <c r="D443" s="10"/>
      <c r="AR443" s="10"/>
      <c r="AS443" s="10"/>
    </row>
    <row r="444" spans="1:45" s="12" customFormat="1" ht="12.75" customHeight="1" x14ac:dyDescent="0.2">
      <c r="A444" s="13"/>
      <c r="C444" s="13"/>
      <c r="D444" s="10"/>
      <c r="AR444" s="10"/>
      <c r="AS444" s="10"/>
    </row>
    <row r="445" spans="1:45" s="12" customFormat="1" ht="12.75" customHeight="1" x14ac:dyDescent="0.2">
      <c r="A445" s="13"/>
      <c r="C445" s="13"/>
      <c r="D445" s="10"/>
      <c r="AR445" s="10"/>
      <c r="AS445" s="10"/>
    </row>
    <row r="446" spans="1:45" s="12" customFormat="1" ht="12.75" customHeight="1" x14ac:dyDescent="0.2">
      <c r="A446" s="13"/>
      <c r="C446" s="13"/>
      <c r="D446" s="10"/>
      <c r="AR446" s="10"/>
      <c r="AS446" s="10"/>
    </row>
    <row r="447" spans="1:45" s="12" customFormat="1" ht="12.75" customHeight="1" x14ac:dyDescent="0.2">
      <c r="A447" s="13"/>
      <c r="C447" s="13"/>
      <c r="D447" s="10"/>
      <c r="AR447" s="10"/>
      <c r="AS447" s="10"/>
    </row>
    <row r="448" spans="1:45" s="12" customFormat="1" ht="12.75" customHeight="1" x14ac:dyDescent="0.2">
      <c r="A448" s="13"/>
      <c r="C448" s="13"/>
      <c r="D448" s="10"/>
      <c r="AR448" s="10"/>
      <c r="AS448" s="10"/>
    </row>
    <row r="449" spans="1:45" s="12" customFormat="1" ht="12.75" customHeight="1" x14ac:dyDescent="0.2">
      <c r="A449" s="13"/>
      <c r="C449" s="13"/>
      <c r="D449" s="10"/>
      <c r="AR449" s="10"/>
      <c r="AS449" s="10"/>
    </row>
    <row r="450" spans="1:45" s="12" customFormat="1" ht="12.75" customHeight="1" x14ac:dyDescent="0.2">
      <c r="A450" s="13"/>
      <c r="C450" s="13"/>
      <c r="D450" s="10"/>
      <c r="AR450" s="10"/>
      <c r="AS450" s="10"/>
    </row>
    <row r="451" spans="1:45" s="12" customFormat="1" ht="12.75" customHeight="1" x14ac:dyDescent="0.2">
      <c r="A451" s="13"/>
      <c r="C451" s="13"/>
      <c r="D451" s="10"/>
      <c r="AR451" s="10"/>
      <c r="AS451" s="10"/>
    </row>
    <row r="452" spans="1:45" s="12" customFormat="1" ht="12.75" customHeight="1" x14ac:dyDescent="0.2">
      <c r="A452" s="13"/>
      <c r="C452" s="13"/>
      <c r="D452" s="10"/>
      <c r="AR452" s="10"/>
      <c r="AS452" s="10"/>
    </row>
    <row r="453" spans="1:45" s="12" customFormat="1" ht="12.75" customHeight="1" x14ac:dyDescent="0.2">
      <c r="A453" s="13"/>
      <c r="C453" s="13"/>
      <c r="D453" s="10"/>
      <c r="AR453" s="10"/>
      <c r="AS453" s="10"/>
    </row>
    <row r="454" spans="1:45" s="12" customFormat="1" ht="12.75" customHeight="1" x14ac:dyDescent="0.2">
      <c r="A454" s="13"/>
      <c r="C454" s="13"/>
      <c r="D454" s="10"/>
      <c r="AR454" s="10"/>
      <c r="AS454" s="10"/>
    </row>
    <row r="455" spans="1:45" s="12" customFormat="1" ht="12.75" customHeight="1" x14ac:dyDescent="0.2">
      <c r="A455" s="13"/>
      <c r="C455" s="13"/>
      <c r="D455" s="10"/>
      <c r="AR455" s="10"/>
      <c r="AS455" s="10"/>
    </row>
    <row r="456" spans="1:45" s="12" customFormat="1" ht="12.75" customHeight="1" x14ac:dyDescent="0.2">
      <c r="A456" s="13"/>
      <c r="C456" s="13"/>
      <c r="D456" s="10"/>
      <c r="AR456" s="10"/>
      <c r="AS456" s="10"/>
    </row>
    <row r="457" spans="1:45" s="12" customFormat="1" ht="12.75" customHeight="1" x14ac:dyDescent="0.2">
      <c r="A457" s="13"/>
      <c r="C457" s="13"/>
      <c r="D457" s="10"/>
      <c r="AR457" s="10"/>
      <c r="AS457" s="10"/>
    </row>
    <row r="458" spans="1:45" s="12" customFormat="1" ht="12.75" customHeight="1" x14ac:dyDescent="0.2">
      <c r="A458" s="13"/>
      <c r="C458" s="13"/>
      <c r="D458" s="10"/>
      <c r="AR458" s="10"/>
      <c r="AS458" s="10"/>
    </row>
    <row r="459" spans="1:45" s="12" customFormat="1" ht="12.75" customHeight="1" x14ac:dyDescent="0.2">
      <c r="A459" s="13"/>
      <c r="C459" s="13"/>
      <c r="D459" s="10"/>
      <c r="AR459" s="10"/>
      <c r="AS459" s="10"/>
    </row>
    <row r="460" spans="1:45" s="12" customFormat="1" ht="12.75" customHeight="1" x14ac:dyDescent="0.2">
      <c r="A460" s="13"/>
      <c r="C460" s="13"/>
      <c r="D460" s="10"/>
      <c r="AR460" s="10"/>
      <c r="AS460" s="10"/>
    </row>
    <row r="461" spans="1:45" s="12" customFormat="1" ht="12.75" customHeight="1" x14ac:dyDescent="0.2">
      <c r="A461" s="13"/>
      <c r="C461" s="13"/>
      <c r="D461" s="10"/>
      <c r="AR461" s="10"/>
      <c r="AS461" s="10"/>
    </row>
    <row r="462" spans="1:45" s="12" customFormat="1" ht="12.75" customHeight="1" x14ac:dyDescent="0.2">
      <c r="A462" s="13"/>
      <c r="C462" s="13"/>
      <c r="D462" s="10"/>
      <c r="AR462" s="10"/>
      <c r="AS462" s="10"/>
    </row>
    <row r="463" spans="1:45" s="12" customFormat="1" ht="12.75" customHeight="1" x14ac:dyDescent="0.2">
      <c r="A463" s="13"/>
      <c r="C463" s="13"/>
      <c r="D463" s="10"/>
      <c r="AR463" s="10"/>
      <c r="AS463" s="10"/>
    </row>
    <row r="464" spans="1:45" s="12" customFormat="1" ht="12.75" customHeight="1" x14ac:dyDescent="0.2">
      <c r="A464" s="13"/>
      <c r="C464" s="13"/>
      <c r="D464" s="10"/>
      <c r="AR464" s="10"/>
      <c r="AS464" s="10"/>
    </row>
    <row r="465" spans="1:45" s="12" customFormat="1" ht="12.75" customHeight="1" x14ac:dyDescent="0.2">
      <c r="A465" s="13"/>
      <c r="C465" s="13"/>
      <c r="D465" s="10"/>
      <c r="AR465" s="10"/>
      <c r="AS465" s="10"/>
    </row>
    <row r="466" spans="1:45" s="12" customFormat="1" ht="12.75" customHeight="1" x14ac:dyDescent="0.2">
      <c r="A466" s="13"/>
      <c r="C466" s="13"/>
      <c r="D466" s="10"/>
      <c r="AR466" s="10"/>
      <c r="AS466" s="10"/>
    </row>
    <row r="467" spans="1:45" s="12" customFormat="1" ht="12.75" customHeight="1" x14ac:dyDescent="0.2">
      <c r="A467" s="13"/>
      <c r="C467" s="13"/>
      <c r="D467" s="10"/>
      <c r="AR467" s="10"/>
      <c r="AS467" s="10"/>
    </row>
    <row r="468" spans="1:45" s="12" customFormat="1" ht="12.75" customHeight="1" x14ac:dyDescent="0.2">
      <c r="A468" s="13"/>
      <c r="C468" s="13"/>
      <c r="D468" s="10"/>
      <c r="AR468" s="10"/>
      <c r="AS468" s="10"/>
    </row>
    <row r="469" spans="1:45" s="12" customFormat="1" ht="12.75" customHeight="1" x14ac:dyDescent="0.2">
      <c r="A469" s="13"/>
      <c r="C469" s="13"/>
      <c r="D469" s="10"/>
      <c r="AR469" s="10"/>
      <c r="AS469" s="10"/>
    </row>
    <row r="470" spans="1:45" s="12" customFormat="1" ht="12.75" customHeight="1" x14ac:dyDescent="0.2">
      <c r="A470" s="13"/>
      <c r="C470" s="13"/>
      <c r="D470" s="10"/>
      <c r="AR470" s="10"/>
      <c r="AS470" s="10"/>
    </row>
    <row r="471" spans="1:45" s="12" customFormat="1" ht="12.75" customHeight="1" x14ac:dyDescent="0.2">
      <c r="A471" s="13"/>
      <c r="C471" s="13"/>
      <c r="D471" s="10"/>
      <c r="AR471" s="10"/>
      <c r="AS471" s="10"/>
    </row>
    <row r="472" spans="1:45" s="12" customFormat="1" ht="12.75" customHeight="1" x14ac:dyDescent="0.2">
      <c r="A472" s="13"/>
      <c r="C472" s="13"/>
      <c r="D472" s="10"/>
      <c r="AR472" s="10"/>
      <c r="AS472" s="10"/>
    </row>
    <row r="473" spans="1:45" s="12" customFormat="1" ht="12.75" customHeight="1" x14ac:dyDescent="0.2">
      <c r="A473" s="13"/>
      <c r="C473" s="13"/>
      <c r="D473" s="10"/>
      <c r="AR473" s="10"/>
      <c r="AS473" s="10"/>
    </row>
    <row r="474" spans="1:45" s="12" customFormat="1" ht="12.75" customHeight="1" x14ac:dyDescent="0.2">
      <c r="A474" s="13"/>
      <c r="C474" s="13"/>
      <c r="D474" s="10"/>
      <c r="AR474" s="10"/>
      <c r="AS474" s="10"/>
    </row>
    <row r="475" spans="1:45" s="12" customFormat="1" ht="12.75" customHeight="1" x14ac:dyDescent="0.2">
      <c r="A475" s="13"/>
      <c r="C475" s="13"/>
      <c r="D475" s="10"/>
      <c r="AR475" s="10"/>
      <c r="AS475" s="10"/>
    </row>
    <row r="476" spans="1:45" s="12" customFormat="1" ht="12.75" customHeight="1" x14ac:dyDescent="0.2">
      <c r="A476" s="13"/>
      <c r="C476" s="13"/>
      <c r="D476" s="10"/>
      <c r="AR476" s="10"/>
      <c r="AS476" s="10"/>
    </row>
    <row r="477" spans="1:45" s="12" customFormat="1" ht="12.75" customHeight="1" x14ac:dyDescent="0.2">
      <c r="A477" s="13"/>
      <c r="C477" s="13"/>
      <c r="D477" s="10"/>
      <c r="AR477" s="10"/>
      <c r="AS477" s="10"/>
    </row>
    <row r="478" spans="1:45" s="12" customFormat="1" ht="12.75" customHeight="1" x14ac:dyDescent="0.2">
      <c r="A478" s="13"/>
      <c r="C478" s="13"/>
      <c r="D478" s="10"/>
      <c r="AR478" s="10"/>
      <c r="AS478" s="10"/>
    </row>
    <row r="479" spans="1:45" s="12" customFormat="1" ht="12.75" customHeight="1" x14ac:dyDescent="0.2">
      <c r="A479" s="13"/>
      <c r="C479" s="13"/>
      <c r="D479" s="10"/>
      <c r="AR479" s="10"/>
      <c r="AS479" s="10"/>
    </row>
    <row r="480" spans="1:45" s="12" customFormat="1" ht="12.75" customHeight="1" x14ac:dyDescent="0.2">
      <c r="A480" s="13"/>
      <c r="C480" s="13"/>
      <c r="D480" s="10"/>
      <c r="AR480" s="10"/>
      <c r="AS480" s="10"/>
    </row>
    <row r="481" spans="1:45" s="12" customFormat="1" ht="12.75" customHeight="1" x14ac:dyDescent="0.2">
      <c r="A481" s="13"/>
      <c r="C481" s="13"/>
      <c r="D481" s="10"/>
      <c r="AR481" s="10"/>
      <c r="AS481" s="10"/>
    </row>
    <row r="482" spans="1:45" s="12" customFormat="1" ht="12.75" customHeight="1" x14ac:dyDescent="0.2">
      <c r="A482" s="13"/>
      <c r="C482" s="13"/>
      <c r="D482" s="10"/>
      <c r="AR482" s="10"/>
      <c r="AS482" s="10"/>
    </row>
    <row r="483" spans="1:45" s="12" customFormat="1" ht="12.75" customHeight="1" x14ac:dyDescent="0.2">
      <c r="A483" s="13"/>
      <c r="C483" s="13"/>
      <c r="D483" s="10"/>
      <c r="AR483" s="10"/>
      <c r="AS483" s="10"/>
    </row>
    <row r="484" spans="1:45" s="12" customFormat="1" ht="12.75" customHeight="1" x14ac:dyDescent="0.2">
      <c r="A484" s="13"/>
      <c r="C484" s="13"/>
      <c r="D484" s="10"/>
      <c r="AR484" s="10"/>
      <c r="AS484" s="10"/>
    </row>
    <row r="485" spans="1:45" s="12" customFormat="1" ht="12.75" customHeight="1" x14ac:dyDescent="0.2">
      <c r="A485" s="13"/>
      <c r="C485" s="13"/>
      <c r="D485" s="10"/>
      <c r="AR485" s="10"/>
      <c r="AS485" s="10"/>
    </row>
    <row r="486" spans="1:45" s="12" customFormat="1" ht="12.75" customHeight="1" x14ac:dyDescent="0.2">
      <c r="A486" s="13"/>
      <c r="C486" s="13"/>
      <c r="D486" s="10"/>
      <c r="AR486" s="10"/>
      <c r="AS486" s="10"/>
    </row>
    <row r="487" spans="1:45" s="12" customFormat="1" ht="12.75" customHeight="1" x14ac:dyDescent="0.2">
      <c r="A487" s="13"/>
      <c r="C487" s="13"/>
      <c r="D487" s="10"/>
      <c r="AR487" s="10"/>
      <c r="AS487" s="10"/>
    </row>
    <row r="488" spans="1:45" s="12" customFormat="1" ht="12.75" customHeight="1" x14ac:dyDescent="0.2">
      <c r="A488" s="13"/>
      <c r="C488" s="13"/>
      <c r="D488" s="10"/>
      <c r="AR488" s="10"/>
      <c r="AS488" s="10"/>
    </row>
    <row r="489" spans="1:45" s="12" customFormat="1" ht="12.75" customHeight="1" x14ac:dyDescent="0.2">
      <c r="A489" s="13"/>
      <c r="C489" s="13"/>
      <c r="D489" s="10"/>
      <c r="AR489" s="10"/>
      <c r="AS489" s="10"/>
    </row>
    <row r="490" spans="1:45" s="12" customFormat="1" ht="12.75" customHeight="1" x14ac:dyDescent="0.2">
      <c r="A490" s="13"/>
      <c r="C490" s="13"/>
      <c r="D490" s="10"/>
      <c r="AR490" s="10"/>
      <c r="AS490" s="10"/>
    </row>
    <row r="491" spans="1:45" s="12" customFormat="1" ht="12.75" customHeight="1" x14ac:dyDescent="0.2">
      <c r="A491" s="13"/>
      <c r="C491" s="13"/>
      <c r="D491" s="10"/>
      <c r="AR491" s="10"/>
      <c r="AS491" s="10"/>
    </row>
    <row r="492" spans="1:45" s="12" customFormat="1" ht="12.75" customHeight="1" x14ac:dyDescent="0.2">
      <c r="A492" s="13"/>
      <c r="C492" s="13"/>
      <c r="D492" s="10"/>
      <c r="AR492" s="10"/>
      <c r="AS492" s="10"/>
    </row>
    <row r="493" spans="1:45" s="12" customFormat="1" ht="12.75" customHeight="1" x14ac:dyDescent="0.2">
      <c r="A493" s="13"/>
      <c r="C493" s="13"/>
      <c r="D493" s="10"/>
      <c r="AR493" s="10"/>
      <c r="AS493" s="10"/>
    </row>
    <row r="494" spans="1:45" s="12" customFormat="1" ht="12.75" customHeight="1" x14ac:dyDescent="0.2">
      <c r="A494" s="13"/>
      <c r="C494" s="13"/>
      <c r="D494" s="10"/>
      <c r="AR494" s="10"/>
      <c r="AS494" s="10"/>
    </row>
    <row r="495" spans="1:45" s="12" customFormat="1" ht="12.75" customHeight="1" x14ac:dyDescent="0.2">
      <c r="A495" s="13"/>
      <c r="C495" s="13"/>
      <c r="D495" s="10"/>
      <c r="AR495" s="10"/>
      <c r="AS495" s="10"/>
    </row>
    <row r="496" spans="1:45" s="12" customFormat="1" ht="12.75" customHeight="1" x14ac:dyDescent="0.2">
      <c r="A496" s="13"/>
      <c r="C496" s="13"/>
      <c r="D496" s="10"/>
      <c r="AR496" s="10"/>
      <c r="AS496" s="10"/>
    </row>
    <row r="497" spans="1:45" s="12" customFormat="1" ht="12.75" customHeight="1" x14ac:dyDescent="0.2">
      <c r="A497" s="13"/>
      <c r="C497" s="13"/>
      <c r="D497" s="10"/>
      <c r="AR497" s="10"/>
      <c r="AS497" s="10"/>
    </row>
    <row r="498" spans="1:45" s="12" customFormat="1" ht="12.75" customHeight="1" x14ac:dyDescent="0.2">
      <c r="A498" s="13"/>
      <c r="C498" s="13"/>
      <c r="D498" s="10"/>
      <c r="AR498" s="10"/>
      <c r="AS498" s="10"/>
    </row>
    <row r="499" spans="1:45" s="12" customFormat="1" ht="12.75" customHeight="1" x14ac:dyDescent="0.2">
      <c r="A499" s="13"/>
      <c r="C499" s="13"/>
      <c r="D499" s="10"/>
      <c r="AR499" s="10"/>
      <c r="AS499" s="10"/>
    </row>
    <row r="500" spans="1:45" s="12" customFormat="1" ht="12.75" customHeight="1" x14ac:dyDescent="0.2">
      <c r="A500" s="13"/>
      <c r="C500" s="13"/>
      <c r="D500" s="10"/>
      <c r="AR500" s="10"/>
      <c r="AS500" s="10"/>
    </row>
    <row r="501" spans="1:45" s="12" customFormat="1" ht="12.75" customHeight="1" x14ac:dyDescent="0.2">
      <c r="A501" s="13"/>
      <c r="C501" s="13"/>
      <c r="D501" s="10"/>
      <c r="AR501" s="10"/>
      <c r="AS501" s="10"/>
    </row>
    <row r="502" spans="1:45" s="12" customFormat="1" ht="12.75" customHeight="1" x14ac:dyDescent="0.2">
      <c r="A502" s="13"/>
      <c r="C502" s="13"/>
      <c r="D502" s="10"/>
      <c r="AR502" s="10"/>
      <c r="AS502" s="10"/>
    </row>
    <row r="503" spans="1:45" s="12" customFormat="1" ht="12.75" customHeight="1" x14ac:dyDescent="0.2">
      <c r="A503" s="13"/>
      <c r="C503" s="13"/>
      <c r="D503" s="10"/>
      <c r="AR503" s="10"/>
      <c r="AS503" s="10"/>
    </row>
    <row r="504" spans="1:45" s="12" customFormat="1" ht="12.75" customHeight="1" x14ac:dyDescent="0.2">
      <c r="A504" s="13"/>
      <c r="C504" s="13"/>
      <c r="D504" s="10"/>
      <c r="AR504" s="10"/>
      <c r="AS504" s="10"/>
    </row>
    <row r="505" spans="1:45" s="12" customFormat="1" ht="12.75" customHeight="1" x14ac:dyDescent="0.2">
      <c r="A505" s="13"/>
      <c r="C505" s="13"/>
      <c r="D505" s="10"/>
      <c r="AR505" s="10"/>
      <c r="AS505" s="10"/>
    </row>
    <row r="506" spans="1:45" s="12" customFormat="1" ht="12.75" customHeight="1" x14ac:dyDescent="0.2">
      <c r="A506" s="13"/>
      <c r="C506" s="13"/>
      <c r="D506" s="10"/>
      <c r="AR506" s="10"/>
      <c r="AS506" s="10"/>
    </row>
    <row r="507" spans="1:45" s="12" customFormat="1" ht="12.75" customHeight="1" x14ac:dyDescent="0.2">
      <c r="A507" s="13"/>
      <c r="C507" s="13"/>
      <c r="D507" s="10"/>
      <c r="AR507" s="10"/>
      <c r="AS507" s="10"/>
    </row>
    <row r="508" spans="1:45" s="12" customFormat="1" ht="12.75" customHeight="1" x14ac:dyDescent="0.2">
      <c r="A508" s="13"/>
      <c r="C508" s="13"/>
      <c r="D508" s="10"/>
      <c r="AR508" s="10"/>
      <c r="AS508" s="10"/>
    </row>
    <row r="509" spans="1:45" s="12" customFormat="1" ht="12.75" customHeight="1" x14ac:dyDescent="0.2">
      <c r="A509" s="13"/>
      <c r="C509" s="13"/>
      <c r="D509" s="10"/>
      <c r="AR509" s="10"/>
      <c r="AS509" s="10"/>
    </row>
    <row r="510" spans="1:45" s="12" customFormat="1" ht="12.75" customHeight="1" x14ac:dyDescent="0.2">
      <c r="A510" s="13"/>
      <c r="C510" s="13"/>
      <c r="D510" s="10"/>
      <c r="AR510" s="10"/>
      <c r="AS510" s="10"/>
    </row>
    <row r="511" spans="1:45" s="12" customFormat="1" ht="12.75" customHeight="1" x14ac:dyDescent="0.2">
      <c r="A511" s="13"/>
      <c r="C511" s="13"/>
      <c r="D511" s="10"/>
      <c r="AR511" s="10"/>
      <c r="AS511" s="10"/>
    </row>
    <row r="512" spans="1:45" s="12" customFormat="1" ht="12.75" customHeight="1" x14ac:dyDescent="0.2">
      <c r="A512" s="13"/>
      <c r="C512" s="13"/>
      <c r="D512" s="10"/>
      <c r="AR512" s="10"/>
      <c r="AS512" s="10"/>
    </row>
    <row r="513" spans="1:45" s="12" customFormat="1" ht="12.75" customHeight="1" x14ac:dyDescent="0.2">
      <c r="A513" s="13"/>
      <c r="C513" s="13"/>
      <c r="D513" s="10"/>
      <c r="AR513" s="10"/>
      <c r="AS513" s="10"/>
    </row>
    <row r="514" spans="1:45" s="12" customFormat="1" ht="12.75" customHeight="1" x14ac:dyDescent="0.2">
      <c r="A514" s="13"/>
      <c r="C514" s="13"/>
      <c r="D514" s="10"/>
      <c r="AR514" s="10"/>
      <c r="AS514" s="10"/>
    </row>
    <row r="515" spans="1:45" s="12" customFormat="1" ht="12.75" customHeight="1" x14ac:dyDescent="0.2">
      <c r="A515" s="13"/>
      <c r="C515" s="13"/>
      <c r="D515" s="10"/>
      <c r="AR515" s="10"/>
      <c r="AS515" s="10"/>
    </row>
    <row r="516" spans="1:45" s="12" customFormat="1" ht="12.75" customHeight="1" x14ac:dyDescent="0.2">
      <c r="A516" s="13"/>
      <c r="C516" s="13"/>
      <c r="D516" s="10"/>
      <c r="AR516" s="10"/>
      <c r="AS516" s="10"/>
    </row>
    <row r="517" spans="1:45" s="12" customFormat="1" ht="12.75" customHeight="1" x14ac:dyDescent="0.2">
      <c r="A517" s="13"/>
      <c r="C517" s="13"/>
      <c r="D517" s="10"/>
      <c r="AR517" s="10"/>
      <c r="AS517" s="10"/>
    </row>
    <row r="518" spans="1:45" s="12" customFormat="1" ht="12.75" customHeight="1" x14ac:dyDescent="0.2">
      <c r="A518" s="13"/>
      <c r="C518" s="13"/>
      <c r="D518" s="10"/>
      <c r="AR518" s="10"/>
      <c r="AS518" s="10"/>
    </row>
    <row r="519" spans="1:45" s="12" customFormat="1" ht="12.75" customHeight="1" x14ac:dyDescent="0.2">
      <c r="A519" s="13"/>
      <c r="C519" s="13"/>
      <c r="D519" s="10"/>
      <c r="AR519" s="10"/>
      <c r="AS519" s="10"/>
    </row>
    <row r="520" spans="1:45" s="12" customFormat="1" ht="12.75" customHeight="1" x14ac:dyDescent="0.2">
      <c r="A520" s="13"/>
      <c r="C520" s="13"/>
      <c r="D520" s="10"/>
      <c r="AR520" s="10"/>
      <c r="AS520" s="10"/>
    </row>
    <row r="521" spans="1:45" s="12" customFormat="1" ht="12.75" customHeight="1" x14ac:dyDescent="0.2">
      <c r="A521" s="13"/>
      <c r="C521" s="13"/>
      <c r="D521" s="10"/>
      <c r="AR521" s="10"/>
      <c r="AS521" s="10"/>
    </row>
    <row r="522" spans="1:45" s="12" customFormat="1" ht="12.75" customHeight="1" x14ac:dyDescent="0.2">
      <c r="A522" s="13"/>
      <c r="C522" s="13"/>
      <c r="D522" s="10"/>
      <c r="AR522" s="10"/>
      <c r="AS522" s="10"/>
    </row>
    <row r="523" spans="1:45" s="12" customFormat="1" ht="12.75" customHeight="1" x14ac:dyDescent="0.2">
      <c r="A523" s="13"/>
      <c r="C523" s="13"/>
      <c r="D523" s="10"/>
      <c r="AR523" s="10"/>
      <c r="AS523" s="10"/>
    </row>
    <row r="524" spans="1:45" s="12" customFormat="1" ht="12.75" customHeight="1" x14ac:dyDescent="0.2">
      <c r="A524" s="13"/>
      <c r="C524" s="13"/>
      <c r="D524" s="10"/>
      <c r="AR524" s="10"/>
      <c r="AS524" s="10"/>
    </row>
    <row r="525" spans="1:45" s="12" customFormat="1" ht="12.75" customHeight="1" x14ac:dyDescent="0.2">
      <c r="A525" s="13"/>
      <c r="C525" s="13"/>
      <c r="D525" s="10"/>
      <c r="AR525" s="10"/>
      <c r="AS525" s="10"/>
    </row>
    <row r="526" spans="1:45" s="12" customFormat="1" ht="12.75" customHeight="1" x14ac:dyDescent="0.2">
      <c r="A526" s="13"/>
      <c r="C526" s="13"/>
      <c r="D526" s="10"/>
      <c r="AR526" s="10"/>
      <c r="AS526" s="10"/>
    </row>
    <row r="527" spans="1:45" s="12" customFormat="1" ht="12.75" customHeight="1" x14ac:dyDescent="0.2">
      <c r="A527" s="13"/>
      <c r="C527" s="13"/>
      <c r="D527" s="10"/>
      <c r="AR527" s="10"/>
      <c r="AS527" s="10"/>
    </row>
    <row r="528" spans="1:45" s="12" customFormat="1" ht="12.75" customHeight="1" x14ac:dyDescent="0.2">
      <c r="A528" s="13"/>
      <c r="C528" s="13"/>
      <c r="D528" s="10"/>
      <c r="AR528" s="10"/>
      <c r="AS528" s="10"/>
    </row>
    <row r="529" spans="1:45" s="12" customFormat="1" ht="12.75" customHeight="1" x14ac:dyDescent="0.2">
      <c r="A529" s="13"/>
      <c r="C529" s="13"/>
      <c r="D529" s="10"/>
      <c r="AR529" s="10"/>
      <c r="AS529" s="10"/>
    </row>
    <row r="530" spans="1:45" s="12" customFormat="1" ht="12.75" customHeight="1" x14ac:dyDescent="0.2">
      <c r="A530" s="13"/>
      <c r="C530" s="13"/>
      <c r="D530" s="10"/>
      <c r="AR530" s="10"/>
      <c r="AS530" s="10"/>
    </row>
    <row r="531" spans="1:45" s="12" customFormat="1" ht="12.75" customHeight="1" x14ac:dyDescent="0.2">
      <c r="A531" s="13"/>
      <c r="C531" s="13"/>
      <c r="D531" s="10"/>
      <c r="AR531" s="10"/>
      <c r="AS531" s="10"/>
    </row>
    <row r="532" spans="1:45" s="12" customFormat="1" ht="12.75" customHeight="1" x14ac:dyDescent="0.2">
      <c r="A532" s="13"/>
      <c r="C532" s="13"/>
      <c r="D532" s="10"/>
      <c r="AR532" s="10"/>
      <c r="AS532" s="10"/>
    </row>
    <row r="533" spans="1:45" s="12" customFormat="1" ht="12.75" customHeight="1" x14ac:dyDescent="0.2">
      <c r="A533" s="13"/>
      <c r="C533" s="13"/>
      <c r="D533" s="10"/>
      <c r="AR533" s="10"/>
      <c r="AS533" s="10"/>
    </row>
    <row r="534" spans="1:45" s="12" customFormat="1" ht="12.75" customHeight="1" x14ac:dyDescent="0.2">
      <c r="A534" s="13"/>
      <c r="C534" s="13"/>
      <c r="D534" s="10"/>
      <c r="AR534" s="10"/>
      <c r="AS534" s="10"/>
    </row>
    <row r="535" spans="1:45" s="12" customFormat="1" ht="12.75" customHeight="1" x14ac:dyDescent="0.2">
      <c r="A535" s="13"/>
      <c r="C535" s="13"/>
      <c r="D535" s="10"/>
      <c r="AR535" s="10"/>
      <c r="AS535" s="10"/>
    </row>
    <row r="536" spans="1:45" s="12" customFormat="1" ht="12.75" customHeight="1" x14ac:dyDescent="0.2">
      <c r="A536" s="13"/>
      <c r="C536" s="13"/>
      <c r="D536" s="10"/>
      <c r="AR536" s="10"/>
      <c r="AS536" s="10"/>
    </row>
    <row r="537" spans="1:45" s="12" customFormat="1" ht="12.75" customHeight="1" x14ac:dyDescent="0.2">
      <c r="A537" s="13"/>
      <c r="C537" s="13"/>
      <c r="D537" s="10"/>
      <c r="AR537" s="10"/>
      <c r="AS537" s="10"/>
    </row>
    <row r="538" spans="1:45" s="12" customFormat="1" ht="12.75" customHeight="1" x14ac:dyDescent="0.2">
      <c r="A538" s="13"/>
      <c r="C538" s="13"/>
      <c r="D538" s="10"/>
      <c r="AR538" s="10"/>
      <c r="AS538" s="10"/>
    </row>
    <row r="539" spans="1:45" s="12" customFormat="1" ht="12.75" customHeight="1" x14ac:dyDescent="0.2">
      <c r="A539" s="13"/>
      <c r="C539" s="13"/>
      <c r="D539" s="10"/>
      <c r="AR539" s="10"/>
      <c r="AS539" s="10"/>
    </row>
    <row r="540" spans="1:45" s="12" customFormat="1" ht="12.75" customHeight="1" x14ac:dyDescent="0.2">
      <c r="A540" s="13"/>
      <c r="C540" s="13"/>
      <c r="D540" s="10"/>
      <c r="AR540" s="10"/>
      <c r="AS540" s="10"/>
    </row>
    <row r="541" spans="1:45" s="12" customFormat="1" ht="12.75" customHeight="1" x14ac:dyDescent="0.2">
      <c r="A541" s="13"/>
      <c r="C541" s="13"/>
      <c r="D541" s="10"/>
      <c r="AR541" s="10"/>
      <c r="AS541" s="10"/>
    </row>
    <row r="542" spans="1:45" s="12" customFormat="1" ht="12.75" customHeight="1" x14ac:dyDescent="0.2">
      <c r="A542" s="13"/>
      <c r="C542" s="13"/>
      <c r="D542" s="10"/>
      <c r="AR542" s="10"/>
      <c r="AS542" s="10"/>
    </row>
    <row r="543" spans="1:45" s="12" customFormat="1" ht="12.75" customHeight="1" x14ac:dyDescent="0.2">
      <c r="A543" s="13"/>
      <c r="C543" s="13"/>
      <c r="D543" s="10"/>
      <c r="AR543" s="10"/>
      <c r="AS543" s="10"/>
    </row>
    <row r="544" spans="1:45" s="12" customFormat="1" ht="12.75" customHeight="1" x14ac:dyDescent="0.2">
      <c r="A544" s="13"/>
      <c r="C544" s="13"/>
      <c r="D544" s="10"/>
      <c r="AR544" s="10"/>
      <c r="AS544" s="10"/>
    </row>
    <row r="545" spans="1:45" s="12" customFormat="1" ht="12.75" customHeight="1" x14ac:dyDescent="0.2">
      <c r="A545" s="13"/>
      <c r="C545" s="13"/>
      <c r="D545" s="10"/>
      <c r="AR545" s="10"/>
      <c r="AS545" s="10"/>
    </row>
    <row r="546" spans="1:45" s="12" customFormat="1" ht="12.75" customHeight="1" x14ac:dyDescent="0.2">
      <c r="A546" s="13"/>
      <c r="C546" s="13"/>
      <c r="D546" s="10"/>
      <c r="AR546" s="10"/>
      <c r="AS546" s="10"/>
    </row>
    <row r="547" spans="1:45" s="12" customFormat="1" ht="12.75" customHeight="1" x14ac:dyDescent="0.2">
      <c r="A547" s="13"/>
      <c r="C547" s="13"/>
      <c r="D547" s="10"/>
      <c r="AR547" s="10"/>
      <c r="AS547" s="10"/>
    </row>
    <row r="548" spans="1:45" s="12" customFormat="1" ht="12.75" customHeight="1" x14ac:dyDescent="0.2">
      <c r="A548" s="13"/>
      <c r="C548" s="13"/>
      <c r="D548" s="10"/>
      <c r="AR548" s="10"/>
      <c r="AS548" s="10"/>
    </row>
    <row r="549" spans="1:45" s="12" customFormat="1" ht="12.75" customHeight="1" x14ac:dyDescent="0.2">
      <c r="A549" s="13"/>
      <c r="C549" s="13"/>
      <c r="D549" s="10"/>
      <c r="AR549" s="10"/>
      <c r="AS549" s="10"/>
    </row>
    <row r="550" spans="1:45" s="12" customFormat="1" ht="12.75" customHeight="1" x14ac:dyDescent="0.2">
      <c r="A550" s="13"/>
      <c r="C550" s="13"/>
      <c r="D550" s="10"/>
      <c r="AR550" s="10"/>
      <c r="AS550" s="10"/>
    </row>
    <row r="551" spans="1:45" s="12" customFormat="1" ht="12.75" customHeight="1" x14ac:dyDescent="0.2">
      <c r="A551" s="13"/>
      <c r="C551" s="13"/>
      <c r="D551" s="10"/>
      <c r="AR551" s="10"/>
      <c r="AS551" s="10"/>
    </row>
    <row r="552" spans="1:45" s="12" customFormat="1" ht="12.75" customHeight="1" x14ac:dyDescent="0.2">
      <c r="A552" s="13"/>
      <c r="C552" s="13"/>
      <c r="D552" s="10"/>
      <c r="AR552" s="10"/>
      <c r="AS552" s="10"/>
    </row>
    <row r="553" spans="1:45" s="12" customFormat="1" ht="12.75" customHeight="1" x14ac:dyDescent="0.2">
      <c r="A553" s="13"/>
      <c r="C553" s="13"/>
      <c r="D553" s="10"/>
      <c r="AR553" s="10"/>
      <c r="AS553" s="10"/>
    </row>
    <row r="554" spans="1:45" s="12" customFormat="1" ht="12.75" customHeight="1" x14ac:dyDescent="0.2">
      <c r="A554" s="13"/>
      <c r="C554" s="13"/>
      <c r="D554" s="10"/>
      <c r="AR554" s="10"/>
      <c r="AS554" s="10"/>
    </row>
    <row r="555" spans="1:45" s="12" customFormat="1" ht="12.75" customHeight="1" x14ac:dyDescent="0.2">
      <c r="A555" s="13"/>
      <c r="C555" s="13"/>
      <c r="D555" s="10"/>
      <c r="AR555" s="10"/>
      <c r="AS555" s="10"/>
    </row>
    <row r="556" spans="1:45" s="12" customFormat="1" ht="12.75" customHeight="1" x14ac:dyDescent="0.2">
      <c r="A556" s="13"/>
      <c r="C556" s="13"/>
      <c r="D556" s="10"/>
      <c r="AR556" s="10"/>
      <c r="AS556" s="10"/>
    </row>
    <row r="557" spans="1:45" s="12" customFormat="1" ht="12.75" customHeight="1" x14ac:dyDescent="0.2">
      <c r="A557" s="13"/>
      <c r="C557" s="13"/>
      <c r="D557" s="10"/>
      <c r="AR557" s="10"/>
      <c r="AS557" s="10"/>
    </row>
    <row r="558" spans="1:45" s="12" customFormat="1" ht="12.75" customHeight="1" x14ac:dyDescent="0.2">
      <c r="A558" s="13"/>
      <c r="C558" s="13"/>
      <c r="D558" s="10"/>
      <c r="AR558" s="10"/>
      <c r="AS558" s="10"/>
    </row>
    <row r="559" spans="1:45" s="12" customFormat="1" ht="12.75" customHeight="1" x14ac:dyDescent="0.2">
      <c r="A559" s="13"/>
      <c r="C559" s="13"/>
      <c r="D559" s="10"/>
      <c r="AR559" s="10"/>
      <c r="AS559" s="10"/>
    </row>
    <row r="560" spans="1:45" s="12" customFormat="1" ht="12.75" customHeight="1" x14ac:dyDescent="0.2">
      <c r="A560" s="13"/>
      <c r="C560" s="13"/>
      <c r="D560" s="10"/>
      <c r="AR560" s="10"/>
      <c r="AS560" s="10"/>
    </row>
    <row r="561" spans="1:45" s="12" customFormat="1" ht="12.75" customHeight="1" x14ac:dyDescent="0.2">
      <c r="A561" s="13"/>
      <c r="C561" s="13"/>
      <c r="D561" s="10"/>
      <c r="AR561" s="10"/>
      <c r="AS561" s="10"/>
    </row>
    <row r="562" spans="1:45" s="12" customFormat="1" ht="12.75" customHeight="1" x14ac:dyDescent="0.2">
      <c r="A562" s="13"/>
      <c r="C562" s="13"/>
      <c r="D562" s="10"/>
      <c r="AR562" s="10"/>
      <c r="AS562" s="10"/>
    </row>
    <row r="563" spans="1:45" s="12" customFormat="1" ht="12.75" customHeight="1" x14ac:dyDescent="0.2">
      <c r="A563" s="13"/>
      <c r="C563" s="13"/>
      <c r="D563" s="10"/>
      <c r="AR563" s="10"/>
      <c r="AS563" s="10"/>
    </row>
    <row r="564" spans="1:45" s="12" customFormat="1" ht="12.75" customHeight="1" x14ac:dyDescent="0.2">
      <c r="A564" s="13"/>
      <c r="C564" s="13"/>
      <c r="D564" s="10"/>
      <c r="AR564" s="10"/>
      <c r="AS564" s="10"/>
    </row>
    <row r="565" spans="1:45" s="12" customFormat="1" ht="12.75" customHeight="1" x14ac:dyDescent="0.2">
      <c r="A565" s="13"/>
      <c r="C565" s="13"/>
      <c r="D565" s="10"/>
      <c r="AR565" s="10"/>
      <c r="AS565" s="10"/>
    </row>
    <row r="566" spans="1:45" s="12" customFormat="1" ht="12.75" customHeight="1" x14ac:dyDescent="0.2">
      <c r="A566" s="13"/>
      <c r="C566" s="13"/>
      <c r="D566" s="10"/>
      <c r="AR566" s="10"/>
      <c r="AS566" s="10"/>
    </row>
    <row r="567" spans="1:45" s="12" customFormat="1" ht="12.75" customHeight="1" x14ac:dyDescent="0.2">
      <c r="A567" s="13"/>
      <c r="C567" s="13"/>
      <c r="D567" s="10"/>
      <c r="AR567" s="10"/>
      <c r="AS567" s="10"/>
    </row>
    <row r="568" spans="1:45" s="12" customFormat="1" ht="12.75" customHeight="1" x14ac:dyDescent="0.2">
      <c r="A568" s="13"/>
      <c r="C568" s="13"/>
      <c r="D568" s="10"/>
      <c r="AR568" s="10"/>
      <c r="AS568" s="10"/>
    </row>
    <row r="569" spans="1:45" s="12" customFormat="1" ht="12.75" customHeight="1" x14ac:dyDescent="0.2">
      <c r="A569" s="13"/>
      <c r="C569" s="13"/>
      <c r="D569" s="10"/>
      <c r="AR569" s="10"/>
      <c r="AS569" s="10"/>
    </row>
    <row r="570" spans="1:45" s="12" customFormat="1" ht="12.75" customHeight="1" x14ac:dyDescent="0.2">
      <c r="A570" s="13"/>
      <c r="C570" s="13"/>
      <c r="D570" s="10"/>
      <c r="AR570" s="10"/>
      <c r="AS570" s="10"/>
    </row>
    <row r="571" spans="1:45" s="12" customFormat="1" ht="12.75" customHeight="1" x14ac:dyDescent="0.2">
      <c r="A571" s="13"/>
      <c r="C571" s="13"/>
      <c r="D571" s="10"/>
      <c r="AR571" s="10"/>
      <c r="AS571" s="10"/>
    </row>
    <row r="572" spans="1:45" s="12" customFormat="1" ht="12.75" customHeight="1" x14ac:dyDescent="0.2">
      <c r="A572" s="13"/>
      <c r="C572" s="13"/>
      <c r="D572" s="10"/>
      <c r="AR572" s="10"/>
      <c r="AS572" s="10"/>
    </row>
    <row r="573" spans="1:45" s="12" customFormat="1" ht="12.75" customHeight="1" x14ac:dyDescent="0.2">
      <c r="A573" s="13"/>
      <c r="C573" s="13"/>
      <c r="D573" s="10"/>
      <c r="AR573" s="10"/>
      <c r="AS573" s="10"/>
    </row>
    <row r="574" spans="1:45" s="12" customFormat="1" ht="12.75" customHeight="1" x14ac:dyDescent="0.2">
      <c r="A574" s="13"/>
      <c r="C574" s="13"/>
      <c r="D574" s="10"/>
      <c r="AR574" s="10"/>
      <c r="AS574" s="10"/>
    </row>
    <row r="575" spans="1:45" s="12" customFormat="1" ht="12.75" customHeight="1" x14ac:dyDescent="0.2">
      <c r="A575" s="13"/>
      <c r="C575" s="13"/>
      <c r="D575" s="10"/>
      <c r="AR575" s="10"/>
      <c r="AS575" s="10"/>
    </row>
    <row r="576" spans="1:45" s="12" customFormat="1" ht="12.75" customHeight="1" x14ac:dyDescent="0.2">
      <c r="A576" s="13"/>
      <c r="C576" s="13"/>
      <c r="D576" s="10"/>
      <c r="AR576" s="10"/>
      <c r="AS576" s="10"/>
    </row>
    <row r="577" spans="1:45" s="12" customFormat="1" ht="12.75" customHeight="1" x14ac:dyDescent="0.2">
      <c r="A577" s="13"/>
      <c r="C577" s="13"/>
      <c r="D577" s="10"/>
      <c r="AR577" s="10"/>
      <c r="AS577" s="10"/>
    </row>
    <row r="578" spans="1:45" s="12" customFormat="1" ht="12.75" customHeight="1" x14ac:dyDescent="0.2">
      <c r="A578" s="13"/>
      <c r="C578" s="13"/>
      <c r="D578" s="10"/>
      <c r="AR578" s="10"/>
      <c r="AS578" s="10"/>
    </row>
    <row r="579" spans="1:45" s="12" customFormat="1" ht="12.75" customHeight="1" x14ac:dyDescent="0.2">
      <c r="A579" s="13"/>
      <c r="C579" s="13"/>
      <c r="D579" s="10"/>
      <c r="AR579" s="10"/>
      <c r="AS579" s="10"/>
    </row>
    <row r="580" spans="1:45" s="12" customFormat="1" ht="12.75" customHeight="1" x14ac:dyDescent="0.2">
      <c r="A580" s="13"/>
      <c r="C580" s="13"/>
      <c r="D580" s="10"/>
      <c r="AR580" s="10"/>
      <c r="AS580" s="10"/>
    </row>
    <row r="581" spans="1:45" s="12" customFormat="1" ht="12.75" customHeight="1" x14ac:dyDescent="0.2">
      <c r="A581" s="13"/>
      <c r="C581" s="13"/>
      <c r="D581" s="10"/>
      <c r="AR581" s="10"/>
      <c r="AS581" s="10"/>
    </row>
    <row r="582" spans="1:45" s="12" customFormat="1" ht="12.75" customHeight="1" x14ac:dyDescent="0.2">
      <c r="A582" s="13"/>
      <c r="C582" s="13"/>
      <c r="D582" s="10"/>
      <c r="AR582" s="10"/>
      <c r="AS582" s="10"/>
    </row>
    <row r="583" spans="1:45" s="12" customFormat="1" ht="12.75" customHeight="1" x14ac:dyDescent="0.2">
      <c r="A583" s="13"/>
      <c r="C583" s="13"/>
      <c r="D583" s="10"/>
      <c r="AR583" s="10"/>
      <c r="AS583" s="10"/>
    </row>
    <row r="584" spans="1:45" s="12" customFormat="1" ht="12.75" customHeight="1" x14ac:dyDescent="0.2">
      <c r="A584" s="13"/>
      <c r="C584" s="13"/>
      <c r="D584" s="10"/>
      <c r="AR584" s="10"/>
      <c r="AS584" s="10"/>
    </row>
    <row r="585" spans="1:45" s="12" customFormat="1" ht="12.75" customHeight="1" x14ac:dyDescent="0.2">
      <c r="A585" s="13"/>
      <c r="C585" s="13"/>
      <c r="D585" s="10"/>
      <c r="AR585" s="10"/>
      <c r="AS585" s="10"/>
    </row>
    <row r="586" spans="1:45" s="12" customFormat="1" ht="12.75" customHeight="1" x14ac:dyDescent="0.2">
      <c r="A586" s="13"/>
      <c r="C586" s="13"/>
      <c r="D586" s="10"/>
      <c r="AR586" s="10"/>
      <c r="AS586" s="10"/>
    </row>
    <row r="587" spans="1:45" s="12" customFormat="1" ht="12.75" customHeight="1" x14ac:dyDescent="0.2">
      <c r="A587" s="13"/>
      <c r="C587" s="13"/>
      <c r="D587" s="10"/>
      <c r="AR587" s="10"/>
      <c r="AS587" s="10"/>
    </row>
    <row r="588" spans="1:45" s="12" customFormat="1" ht="12.75" customHeight="1" x14ac:dyDescent="0.2">
      <c r="A588" s="13"/>
      <c r="C588" s="13"/>
      <c r="D588" s="10"/>
      <c r="AR588" s="10"/>
      <c r="AS588" s="10"/>
    </row>
    <row r="589" spans="1:45" s="12" customFormat="1" ht="12.75" customHeight="1" x14ac:dyDescent="0.2">
      <c r="A589" s="13"/>
      <c r="C589" s="13"/>
      <c r="D589" s="10"/>
      <c r="AR589" s="10"/>
      <c r="AS589" s="10"/>
    </row>
    <row r="590" spans="1:45" s="12" customFormat="1" ht="12.75" customHeight="1" x14ac:dyDescent="0.2">
      <c r="A590" s="13"/>
      <c r="C590" s="13"/>
      <c r="D590" s="10"/>
      <c r="AR590" s="10"/>
      <c r="AS590" s="10"/>
    </row>
    <row r="591" spans="1:45" s="12" customFormat="1" ht="12.75" customHeight="1" x14ac:dyDescent="0.2">
      <c r="A591" s="13"/>
      <c r="C591" s="13"/>
      <c r="D591" s="10"/>
      <c r="AR591" s="10"/>
      <c r="AS591" s="10"/>
    </row>
    <row r="592" spans="1:45" s="12" customFormat="1" ht="12.75" customHeight="1" x14ac:dyDescent="0.2">
      <c r="A592" s="13"/>
      <c r="C592" s="13"/>
      <c r="D592" s="10"/>
      <c r="AR592" s="10"/>
      <c r="AS592" s="10"/>
    </row>
    <row r="593" spans="1:45" s="12" customFormat="1" ht="12.75" customHeight="1" x14ac:dyDescent="0.2">
      <c r="A593" s="13"/>
      <c r="C593" s="13"/>
      <c r="D593" s="10"/>
      <c r="AR593" s="10"/>
      <c r="AS593" s="10"/>
    </row>
    <row r="594" spans="1:45" s="12" customFormat="1" ht="12.75" customHeight="1" x14ac:dyDescent="0.2">
      <c r="A594" s="13"/>
      <c r="C594" s="13"/>
      <c r="D594" s="10"/>
      <c r="AR594" s="10"/>
      <c r="AS594" s="10"/>
    </row>
    <row r="595" spans="1:45" s="12" customFormat="1" ht="12.75" customHeight="1" x14ac:dyDescent="0.2">
      <c r="A595" s="13"/>
      <c r="C595" s="13"/>
      <c r="D595" s="10"/>
      <c r="AR595" s="10"/>
      <c r="AS595" s="10"/>
    </row>
    <row r="596" spans="1:45" s="12" customFormat="1" ht="12.75" customHeight="1" x14ac:dyDescent="0.2">
      <c r="A596" s="13"/>
      <c r="C596" s="13"/>
      <c r="D596" s="10"/>
      <c r="AR596" s="10"/>
      <c r="AS596" s="10"/>
    </row>
    <row r="597" spans="1:45" s="12" customFormat="1" ht="12.75" customHeight="1" x14ac:dyDescent="0.2">
      <c r="A597" s="13"/>
      <c r="C597" s="13"/>
      <c r="D597" s="10"/>
      <c r="AR597" s="10"/>
      <c r="AS597" s="10"/>
    </row>
    <row r="598" spans="1:45" s="12" customFormat="1" ht="12.75" customHeight="1" x14ac:dyDescent="0.2">
      <c r="A598" s="13"/>
      <c r="C598" s="13"/>
      <c r="D598" s="10"/>
      <c r="AR598" s="10"/>
      <c r="AS598" s="10"/>
    </row>
    <row r="599" spans="1:45" s="12" customFormat="1" ht="12.75" customHeight="1" x14ac:dyDescent="0.2">
      <c r="A599" s="13"/>
      <c r="C599" s="13"/>
      <c r="D599" s="10"/>
      <c r="AR599" s="10"/>
      <c r="AS599" s="10"/>
    </row>
    <row r="600" spans="1:45" s="12" customFormat="1" ht="12.75" customHeight="1" x14ac:dyDescent="0.2">
      <c r="A600" s="13"/>
      <c r="C600" s="13"/>
      <c r="D600" s="10"/>
      <c r="AR600" s="10"/>
      <c r="AS600" s="10"/>
    </row>
    <row r="601" spans="1:45" s="12" customFormat="1" ht="12.75" customHeight="1" x14ac:dyDescent="0.2">
      <c r="A601" s="13"/>
      <c r="C601" s="13"/>
      <c r="D601" s="10"/>
      <c r="AR601" s="10"/>
      <c r="AS601" s="10"/>
    </row>
    <row r="602" spans="1:45" s="12" customFormat="1" ht="12.75" customHeight="1" x14ac:dyDescent="0.2">
      <c r="A602" s="13"/>
      <c r="C602" s="13"/>
      <c r="D602" s="10"/>
      <c r="AR602" s="10"/>
      <c r="AS602" s="10"/>
    </row>
    <row r="603" spans="1:45" s="12" customFormat="1" ht="12.75" customHeight="1" x14ac:dyDescent="0.2">
      <c r="A603" s="13"/>
      <c r="C603" s="13"/>
      <c r="D603" s="10"/>
      <c r="AR603" s="10"/>
      <c r="AS603" s="10"/>
    </row>
    <row r="604" spans="1:45" s="12" customFormat="1" ht="12.75" customHeight="1" x14ac:dyDescent="0.2">
      <c r="A604" s="13"/>
      <c r="C604" s="13"/>
      <c r="D604" s="10"/>
      <c r="AR604" s="10"/>
      <c r="AS604" s="10"/>
    </row>
    <row r="605" spans="1:45" s="12" customFormat="1" ht="12.75" customHeight="1" x14ac:dyDescent="0.2">
      <c r="A605" s="13"/>
      <c r="C605" s="13"/>
      <c r="D605" s="10"/>
      <c r="AR605" s="10"/>
      <c r="AS605" s="10"/>
    </row>
    <row r="606" spans="1:45" s="12" customFormat="1" ht="12.75" customHeight="1" x14ac:dyDescent="0.2">
      <c r="A606" s="13"/>
      <c r="C606" s="13"/>
      <c r="D606" s="10"/>
      <c r="AR606" s="10"/>
      <c r="AS606" s="10"/>
    </row>
    <row r="607" spans="1:45" s="12" customFormat="1" ht="12.75" customHeight="1" x14ac:dyDescent="0.2">
      <c r="A607" s="13"/>
      <c r="C607" s="13"/>
      <c r="D607" s="10"/>
      <c r="AR607" s="10"/>
      <c r="AS607" s="10"/>
    </row>
    <row r="608" spans="1:45" s="12" customFormat="1" ht="12.75" customHeight="1" x14ac:dyDescent="0.2">
      <c r="A608" s="13"/>
      <c r="C608" s="13"/>
      <c r="D608" s="10"/>
      <c r="AR608" s="10"/>
      <c r="AS608" s="10"/>
    </row>
    <row r="609" spans="1:45" s="12" customFormat="1" ht="12.75" customHeight="1" x14ac:dyDescent="0.2">
      <c r="A609" s="13"/>
      <c r="C609" s="13"/>
      <c r="D609" s="10"/>
      <c r="AR609" s="10"/>
      <c r="AS609" s="10"/>
    </row>
    <row r="610" spans="1:45" s="12" customFormat="1" ht="12.75" customHeight="1" x14ac:dyDescent="0.2">
      <c r="A610" s="13"/>
      <c r="C610" s="13"/>
      <c r="D610" s="10"/>
      <c r="AR610" s="10"/>
      <c r="AS610" s="10"/>
    </row>
    <row r="611" spans="1:45" s="12" customFormat="1" ht="12.75" customHeight="1" x14ac:dyDescent="0.2">
      <c r="A611" s="13"/>
      <c r="C611" s="13"/>
      <c r="D611" s="10"/>
      <c r="AR611" s="10"/>
      <c r="AS611" s="10"/>
    </row>
    <row r="612" spans="1:45" s="12" customFormat="1" ht="12.75" customHeight="1" x14ac:dyDescent="0.2">
      <c r="A612" s="13"/>
      <c r="C612" s="13"/>
      <c r="D612" s="10"/>
      <c r="AR612" s="10"/>
      <c r="AS612" s="10"/>
    </row>
    <row r="613" spans="1:45" s="12" customFormat="1" ht="12.75" customHeight="1" x14ac:dyDescent="0.2">
      <c r="A613" s="13"/>
      <c r="C613" s="13"/>
      <c r="D613" s="10"/>
      <c r="AR613" s="10"/>
      <c r="AS613" s="10"/>
    </row>
    <row r="614" spans="1:45" s="12" customFormat="1" ht="12.75" customHeight="1" x14ac:dyDescent="0.2">
      <c r="A614" s="13"/>
      <c r="C614" s="13"/>
      <c r="D614" s="10"/>
      <c r="AR614" s="10"/>
      <c r="AS614" s="10"/>
    </row>
    <row r="615" spans="1:45" s="12" customFormat="1" ht="12.75" customHeight="1" x14ac:dyDescent="0.2">
      <c r="A615" s="13"/>
      <c r="C615" s="13"/>
      <c r="D615" s="10"/>
      <c r="AR615" s="10"/>
      <c r="AS615" s="10"/>
    </row>
    <row r="616" spans="1:45" s="12" customFormat="1" ht="12.75" customHeight="1" x14ac:dyDescent="0.2">
      <c r="A616" s="13"/>
      <c r="C616" s="13"/>
      <c r="D616" s="10"/>
      <c r="AR616" s="10"/>
      <c r="AS616" s="10"/>
    </row>
    <row r="617" spans="1:45" s="12" customFormat="1" ht="12.75" customHeight="1" x14ac:dyDescent="0.2">
      <c r="A617" s="13"/>
      <c r="C617" s="13"/>
      <c r="D617" s="10"/>
      <c r="AR617" s="10"/>
      <c r="AS617" s="10"/>
    </row>
    <row r="618" spans="1:45" s="12" customFormat="1" ht="12.75" customHeight="1" x14ac:dyDescent="0.2">
      <c r="A618" s="13"/>
      <c r="C618" s="13"/>
      <c r="D618" s="10"/>
      <c r="AR618" s="10"/>
      <c r="AS618" s="10"/>
    </row>
    <row r="619" spans="1:45" s="12" customFormat="1" ht="12.75" customHeight="1" x14ac:dyDescent="0.2">
      <c r="A619" s="13"/>
      <c r="C619" s="13"/>
      <c r="D619" s="10"/>
      <c r="AR619" s="10"/>
      <c r="AS619" s="10"/>
    </row>
    <row r="620" spans="1:45" s="12" customFormat="1" ht="12.75" customHeight="1" x14ac:dyDescent="0.2">
      <c r="A620" s="13"/>
      <c r="C620" s="13"/>
      <c r="D620" s="10"/>
      <c r="AR620" s="10"/>
      <c r="AS620" s="10"/>
    </row>
    <row r="621" spans="1:45" s="12" customFormat="1" ht="12.75" customHeight="1" x14ac:dyDescent="0.2">
      <c r="A621" s="13"/>
      <c r="C621" s="13"/>
      <c r="D621" s="10"/>
      <c r="AR621" s="10"/>
      <c r="AS621" s="10"/>
    </row>
    <row r="622" spans="1:45" s="12" customFormat="1" ht="12.75" customHeight="1" x14ac:dyDescent="0.2">
      <c r="A622" s="13"/>
      <c r="C622" s="13"/>
      <c r="D622" s="10"/>
      <c r="AR622" s="10"/>
      <c r="AS622" s="10"/>
    </row>
    <row r="623" spans="1:45" s="12" customFormat="1" ht="12.75" customHeight="1" x14ac:dyDescent="0.2">
      <c r="A623" s="13"/>
      <c r="C623" s="13"/>
      <c r="D623" s="10"/>
      <c r="AR623" s="10"/>
      <c r="AS623" s="10"/>
    </row>
    <row r="624" spans="1:45" s="12" customFormat="1" ht="12.75" customHeight="1" x14ac:dyDescent="0.2">
      <c r="A624" s="13"/>
      <c r="C624" s="13"/>
      <c r="D624" s="10"/>
      <c r="AR624" s="10"/>
      <c r="AS624" s="10"/>
    </row>
    <row r="625" spans="1:45" s="12" customFormat="1" ht="12.75" customHeight="1" x14ac:dyDescent="0.2">
      <c r="A625" s="13"/>
      <c r="C625" s="13"/>
      <c r="D625" s="10"/>
      <c r="AR625" s="10"/>
      <c r="AS625" s="10"/>
    </row>
    <row r="626" spans="1:45" s="12" customFormat="1" ht="12.75" customHeight="1" x14ac:dyDescent="0.2">
      <c r="A626" s="13"/>
      <c r="C626" s="13"/>
      <c r="D626" s="10"/>
      <c r="AR626" s="10"/>
      <c r="AS626" s="10"/>
    </row>
    <row r="627" spans="1:45" s="12" customFormat="1" ht="12.75" customHeight="1" x14ac:dyDescent="0.2">
      <c r="A627" s="13"/>
      <c r="C627" s="13"/>
      <c r="D627" s="10"/>
      <c r="AR627" s="10"/>
      <c r="AS627" s="10"/>
    </row>
    <row r="628" spans="1:45" s="12" customFormat="1" ht="12.75" customHeight="1" x14ac:dyDescent="0.2">
      <c r="A628" s="13"/>
      <c r="C628" s="13"/>
      <c r="D628" s="10"/>
      <c r="AR628" s="10"/>
      <c r="AS628" s="10"/>
    </row>
    <row r="629" spans="1:45" s="12" customFormat="1" ht="12.75" customHeight="1" x14ac:dyDescent="0.2">
      <c r="A629" s="13"/>
      <c r="C629" s="13"/>
      <c r="D629" s="10"/>
      <c r="AR629" s="10"/>
      <c r="AS629" s="10"/>
    </row>
    <row r="630" spans="1:45" s="12" customFormat="1" ht="12.75" customHeight="1" x14ac:dyDescent="0.2">
      <c r="A630" s="13"/>
      <c r="C630" s="13"/>
      <c r="D630" s="10"/>
      <c r="AR630" s="10"/>
      <c r="AS630" s="10"/>
    </row>
    <row r="631" spans="1:45" s="12" customFormat="1" ht="12.75" customHeight="1" x14ac:dyDescent="0.2">
      <c r="A631" s="13"/>
      <c r="C631" s="13"/>
      <c r="D631" s="10"/>
      <c r="AR631" s="10"/>
      <c r="AS631" s="10"/>
    </row>
    <row r="632" spans="1:45" s="12" customFormat="1" ht="12.75" customHeight="1" x14ac:dyDescent="0.2">
      <c r="A632" s="13"/>
      <c r="C632" s="13"/>
      <c r="D632" s="10"/>
      <c r="AR632" s="10"/>
      <c r="AS632" s="10"/>
    </row>
    <row r="633" spans="1:45" s="12" customFormat="1" ht="12.75" customHeight="1" x14ac:dyDescent="0.2">
      <c r="A633" s="13"/>
      <c r="C633" s="13"/>
      <c r="D633" s="10"/>
      <c r="AR633" s="10"/>
      <c r="AS633" s="10"/>
    </row>
    <row r="634" spans="1:45" s="12" customFormat="1" ht="12.75" customHeight="1" x14ac:dyDescent="0.2">
      <c r="A634" s="13"/>
      <c r="C634" s="13"/>
      <c r="D634" s="10"/>
      <c r="AR634" s="10"/>
      <c r="AS634" s="10"/>
    </row>
    <row r="635" spans="1:45" s="12" customFormat="1" ht="12.75" customHeight="1" x14ac:dyDescent="0.2">
      <c r="A635" s="13"/>
      <c r="C635" s="13"/>
      <c r="D635" s="10"/>
      <c r="AR635" s="10"/>
      <c r="AS635" s="10"/>
    </row>
    <row r="636" spans="1:45" s="12" customFormat="1" ht="12.75" customHeight="1" x14ac:dyDescent="0.2">
      <c r="A636" s="13"/>
      <c r="C636" s="13"/>
      <c r="D636" s="10"/>
      <c r="AR636" s="10"/>
      <c r="AS636" s="10"/>
    </row>
    <row r="637" spans="1:45" s="12" customFormat="1" ht="12.75" customHeight="1" x14ac:dyDescent="0.2">
      <c r="A637" s="13"/>
      <c r="C637" s="13"/>
      <c r="D637" s="10"/>
      <c r="AR637" s="10"/>
      <c r="AS637" s="10"/>
    </row>
    <row r="638" spans="1:45" s="12" customFormat="1" ht="12.75" customHeight="1" x14ac:dyDescent="0.2">
      <c r="A638" s="13"/>
      <c r="C638" s="13"/>
      <c r="D638" s="10"/>
      <c r="AR638" s="10"/>
      <c r="AS638" s="10"/>
    </row>
    <row r="639" spans="1:45" s="12" customFormat="1" ht="12.75" customHeight="1" x14ac:dyDescent="0.2">
      <c r="A639" s="13"/>
      <c r="C639" s="13"/>
      <c r="D639" s="10"/>
      <c r="AR639" s="10"/>
      <c r="AS639" s="10"/>
    </row>
    <row r="640" spans="1:45" s="12" customFormat="1" ht="12.75" customHeight="1" x14ac:dyDescent="0.2">
      <c r="A640" s="13"/>
      <c r="C640" s="13"/>
      <c r="D640" s="10"/>
      <c r="AR640" s="10"/>
      <c r="AS640" s="10"/>
    </row>
    <row r="641" spans="1:45" s="12" customFormat="1" ht="12.75" customHeight="1" x14ac:dyDescent="0.2">
      <c r="A641" s="13"/>
      <c r="C641" s="13"/>
      <c r="D641" s="10"/>
      <c r="AR641" s="10"/>
      <c r="AS641" s="10"/>
    </row>
    <row r="642" spans="1:45" s="12" customFormat="1" ht="12.75" customHeight="1" x14ac:dyDescent="0.2">
      <c r="A642" s="13"/>
      <c r="C642" s="13"/>
      <c r="D642" s="10"/>
      <c r="AR642" s="10"/>
      <c r="AS642" s="10"/>
    </row>
    <row r="643" spans="1:45" s="12" customFormat="1" ht="12.75" customHeight="1" x14ac:dyDescent="0.2">
      <c r="A643" s="13"/>
      <c r="C643" s="13"/>
      <c r="D643" s="10"/>
      <c r="AR643" s="10"/>
      <c r="AS643" s="10"/>
    </row>
    <row r="644" spans="1:45" s="12" customFormat="1" ht="12.75" customHeight="1" x14ac:dyDescent="0.2">
      <c r="A644" s="13"/>
      <c r="C644" s="13"/>
      <c r="D644" s="10"/>
      <c r="AR644" s="10"/>
      <c r="AS644" s="10"/>
    </row>
    <row r="645" spans="1:45" s="12" customFormat="1" ht="12.75" customHeight="1" x14ac:dyDescent="0.2">
      <c r="A645" s="13"/>
      <c r="C645" s="13"/>
      <c r="D645" s="10"/>
      <c r="AR645" s="10"/>
      <c r="AS645" s="10"/>
    </row>
    <row r="646" spans="1:45" s="12" customFormat="1" ht="12.75" customHeight="1" x14ac:dyDescent="0.2">
      <c r="A646" s="13"/>
      <c r="C646" s="13"/>
      <c r="D646" s="10"/>
      <c r="AR646" s="10"/>
      <c r="AS646" s="10"/>
    </row>
    <row r="647" spans="1:45" s="12" customFormat="1" ht="12.75" customHeight="1" x14ac:dyDescent="0.2">
      <c r="A647" s="13"/>
      <c r="C647" s="13"/>
      <c r="D647" s="10"/>
      <c r="AR647" s="10"/>
      <c r="AS647" s="10"/>
    </row>
    <row r="648" spans="1:45" s="12" customFormat="1" ht="12.75" customHeight="1" x14ac:dyDescent="0.2">
      <c r="A648" s="13"/>
      <c r="C648" s="13"/>
      <c r="D648" s="10"/>
      <c r="AR648" s="10"/>
      <c r="AS648" s="10"/>
    </row>
    <row r="649" spans="1:45" s="12" customFormat="1" ht="12.75" customHeight="1" x14ac:dyDescent="0.2">
      <c r="A649" s="13"/>
      <c r="C649" s="13"/>
      <c r="D649" s="10"/>
      <c r="AR649" s="10"/>
      <c r="AS649" s="10"/>
    </row>
    <row r="650" spans="1:45" s="12" customFormat="1" ht="12.75" customHeight="1" x14ac:dyDescent="0.2">
      <c r="A650" s="13"/>
      <c r="C650" s="13"/>
      <c r="D650" s="10"/>
      <c r="AR650" s="10"/>
      <c r="AS650" s="10"/>
    </row>
    <row r="651" spans="1:45" s="12" customFormat="1" ht="12.75" customHeight="1" x14ac:dyDescent="0.2">
      <c r="A651" s="13"/>
      <c r="C651" s="13"/>
      <c r="D651" s="10"/>
      <c r="AR651" s="10"/>
      <c r="AS651" s="10"/>
    </row>
    <row r="652" spans="1:45" s="12" customFormat="1" ht="12.75" customHeight="1" x14ac:dyDescent="0.2">
      <c r="A652" s="13"/>
      <c r="C652" s="13"/>
      <c r="D652" s="10"/>
      <c r="AR652" s="10"/>
      <c r="AS652" s="10"/>
    </row>
    <row r="653" spans="1:45" s="12" customFormat="1" ht="12.75" customHeight="1" x14ac:dyDescent="0.2">
      <c r="A653" s="13"/>
      <c r="C653" s="13"/>
      <c r="D653" s="10"/>
      <c r="AR653" s="10"/>
      <c r="AS653" s="10"/>
    </row>
    <row r="654" spans="1:45" s="12" customFormat="1" ht="12.75" customHeight="1" x14ac:dyDescent="0.2">
      <c r="A654" s="13"/>
      <c r="C654" s="13"/>
      <c r="D654" s="10"/>
      <c r="AR654" s="10"/>
      <c r="AS654" s="10"/>
    </row>
    <row r="655" spans="1:45" s="12" customFormat="1" ht="12.75" customHeight="1" x14ac:dyDescent="0.2">
      <c r="A655" s="13"/>
      <c r="C655" s="13"/>
      <c r="D655" s="10"/>
      <c r="AR655" s="10"/>
      <c r="AS655" s="10"/>
    </row>
    <row r="656" spans="1:45" s="12" customFormat="1" ht="12.75" customHeight="1" x14ac:dyDescent="0.2">
      <c r="A656" s="13"/>
      <c r="C656" s="13"/>
      <c r="D656" s="10"/>
      <c r="AR656" s="10"/>
      <c r="AS656" s="10"/>
    </row>
    <row r="657" spans="1:45" s="12" customFormat="1" ht="12.75" customHeight="1" x14ac:dyDescent="0.2">
      <c r="A657" s="13"/>
      <c r="C657" s="13"/>
      <c r="D657" s="10"/>
      <c r="AR657" s="10"/>
      <c r="AS657" s="10"/>
    </row>
    <row r="658" spans="1:45" s="12" customFormat="1" ht="12.75" customHeight="1" x14ac:dyDescent="0.2">
      <c r="A658" s="13"/>
      <c r="C658" s="13"/>
      <c r="D658" s="10"/>
      <c r="AR658" s="10"/>
      <c r="AS658" s="10"/>
    </row>
    <row r="659" spans="1:45" s="12" customFormat="1" ht="12.75" customHeight="1" x14ac:dyDescent="0.2">
      <c r="A659" s="13"/>
      <c r="C659" s="13"/>
      <c r="D659" s="10"/>
      <c r="AR659" s="10"/>
      <c r="AS659" s="10"/>
    </row>
    <row r="660" spans="1:45" s="12" customFormat="1" ht="12.75" customHeight="1" x14ac:dyDescent="0.2">
      <c r="A660" s="13"/>
      <c r="C660" s="13"/>
      <c r="D660" s="10"/>
      <c r="AR660" s="10"/>
      <c r="AS660" s="10"/>
    </row>
    <row r="661" spans="1:45" s="12" customFormat="1" ht="12.75" customHeight="1" x14ac:dyDescent="0.2">
      <c r="A661" s="13"/>
      <c r="C661" s="13"/>
      <c r="D661" s="10"/>
      <c r="AR661" s="10"/>
      <c r="AS661" s="10"/>
    </row>
    <row r="662" spans="1:45" s="12" customFormat="1" ht="12.75" customHeight="1" x14ac:dyDescent="0.2">
      <c r="A662" s="13"/>
      <c r="C662" s="13"/>
      <c r="D662" s="10"/>
      <c r="AR662" s="10"/>
      <c r="AS662" s="10"/>
    </row>
    <row r="663" spans="1:45" s="12" customFormat="1" ht="12.75" customHeight="1" x14ac:dyDescent="0.2">
      <c r="A663" s="13"/>
      <c r="C663" s="13"/>
      <c r="D663" s="10"/>
      <c r="AR663" s="10"/>
      <c r="AS663" s="10"/>
    </row>
    <row r="664" spans="1:45" s="12" customFormat="1" ht="12.75" customHeight="1" x14ac:dyDescent="0.2">
      <c r="A664" s="13"/>
      <c r="C664" s="13"/>
      <c r="D664" s="10"/>
      <c r="AR664" s="10"/>
      <c r="AS664" s="10"/>
    </row>
    <row r="665" spans="1:45" s="12" customFormat="1" ht="12.75" customHeight="1" x14ac:dyDescent="0.2">
      <c r="A665" s="13"/>
      <c r="C665" s="13"/>
      <c r="D665" s="10"/>
      <c r="AR665" s="10"/>
      <c r="AS665" s="10"/>
    </row>
    <row r="666" spans="1:45" s="12" customFormat="1" ht="12.75" customHeight="1" x14ac:dyDescent="0.2">
      <c r="A666" s="13"/>
      <c r="C666" s="13"/>
      <c r="D666" s="10"/>
      <c r="AR666" s="10"/>
      <c r="AS666" s="10"/>
    </row>
    <row r="667" spans="1:45" s="12" customFormat="1" ht="12.75" customHeight="1" x14ac:dyDescent="0.2">
      <c r="A667" s="13"/>
      <c r="C667" s="13"/>
      <c r="D667" s="10"/>
      <c r="AR667" s="10"/>
      <c r="AS667" s="10"/>
    </row>
    <row r="668" spans="1:45" s="12" customFormat="1" ht="12.75" customHeight="1" x14ac:dyDescent="0.2">
      <c r="A668" s="13"/>
      <c r="C668" s="13"/>
      <c r="D668" s="10"/>
      <c r="AR668" s="10"/>
      <c r="AS668" s="10"/>
    </row>
    <row r="669" spans="1:45" s="12" customFormat="1" ht="12.75" customHeight="1" x14ac:dyDescent="0.2">
      <c r="A669" s="13"/>
      <c r="C669" s="13"/>
      <c r="D669" s="10"/>
      <c r="AR669" s="10"/>
      <c r="AS669" s="10"/>
    </row>
    <row r="670" spans="1:45" s="12" customFormat="1" ht="12.75" customHeight="1" x14ac:dyDescent="0.2">
      <c r="A670" s="13"/>
      <c r="C670" s="13"/>
      <c r="D670" s="10"/>
      <c r="AR670" s="10"/>
      <c r="AS670" s="10"/>
    </row>
    <row r="671" spans="1:45" s="12" customFormat="1" ht="12.75" customHeight="1" x14ac:dyDescent="0.2">
      <c r="A671" s="13"/>
      <c r="C671" s="13"/>
      <c r="D671" s="10"/>
      <c r="AR671" s="10"/>
      <c r="AS671" s="10"/>
    </row>
    <row r="672" spans="1:45" ht="12.75" customHeight="1" x14ac:dyDescent="0.2">
      <c r="B672" s="10"/>
    </row>
    <row r="673" spans="2:2" ht="12.75" customHeight="1" x14ac:dyDescent="0.2">
      <c r="B673" s="10"/>
    </row>
  </sheetData>
  <phoneticPr fontId="4" type="noConversion"/>
  <pageMargins left="0.75" right="0.75" top="0.5" bottom="0.5" header="0" footer="0.25"/>
  <pageSetup scale="74" firstPageNumber="52" pageOrder="overThenDown" orientation="portrait" useFirstPageNumber="1" r:id="rId1"/>
  <headerFooter alignWithMargins="0">
    <oddFooter>&amp;C&amp;"Times New Roman,Regular"&amp;12&amp;P</oddFooter>
  </headerFooter>
  <colBreaks count="1" manualBreakCount="1">
    <brk id="15" max="27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79"/>
  <sheetViews>
    <sheetView view="pageBreakPreview" zoomScaleNormal="100" zoomScaleSheetLayoutView="10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E97" sqref="E97:W97"/>
    </sheetView>
  </sheetViews>
  <sheetFormatPr defaultColWidth="9.140625" defaultRowHeight="12.75" customHeight="1" x14ac:dyDescent="0.2"/>
  <cols>
    <col min="1" max="1" width="21.140625" style="59" customWidth="1"/>
    <col min="2" max="2" width="1.7109375" style="56" customWidth="1"/>
    <col min="3" max="3" width="14.42578125" style="59" customWidth="1"/>
    <col min="4" max="4" width="1.7109375" style="56" customWidth="1"/>
    <col min="5" max="5" width="12.7109375" style="59" customWidth="1"/>
    <col min="6" max="6" width="1.7109375" style="59" customWidth="1"/>
    <col min="7" max="7" width="13.140625" style="59" bestFit="1" customWidth="1"/>
    <col min="8" max="8" width="1.7109375" style="59" customWidth="1"/>
    <col min="9" max="9" width="12.140625" style="59" customWidth="1"/>
    <col min="10" max="10" width="1.7109375" style="59" customWidth="1"/>
    <col min="11" max="11" width="12.28515625" style="59" customWidth="1"/>
    <col min="12" max="12" width="1.7109375" style="59" customWidth="1"/>
    <col min="13" max="13" width="13.7109375" style="59" customWidth="1"/>
    <col min="14" max="14" width="1.7109375" style="59" customWidth="1"/>
    <col min="15" max="15" width="13" style="59" customWidth="1"/>
    <col min="16" max="16" width="1.7109375" style="59" customWidth="1"/>
    <col min="17" max="17" width="13.28515625" style="59" customWidth="1"/>
    <col min="18" max="18" width="1.7109375" style="59" customWidth="1"/>
    <col min="19" max="19" width="14" style="58" customWidth="1"/>
    <col min="20" max="20" width="1.7109375" style="59" customWidth="1"/>
    <col min="21" max="21" width="13.5703125" style="60" bestFit="1" customWidth="1"/>
    <col min="22" max="22" width="1.7109375" style="56" customWidth="1"/>
    <col min="23" max="23" width="13.140625" style="7" bestFit="1" customWidth="1"/>
    <col min="24" max="24" width="11.7109375" style="56" bestFit="1" customWidth="1"/>
    <col min="25" max="16384" width="9.140625" style="56"/>
  </cols>
  <sheetData>
    <row r="1" spans="1:24" s="76" customFormat="1" ht="12.75" customHeight="1" x14ac:dyDescent="0.2">
      <c r="A1" s="38" t="s">
        <v>487</v>
      </c>
      <c r="C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24"/>
      <c r="T1" s="75"/>
      <c r="U1" s="77"/>
      <c r="V1" s="78"/>
      <c r="W1" s="29"/>
    </row>
    <row r="2" spans="1:24" s="76" customFormat="1" ht="12.75" customHeight="1" x14ac:dyDescent="0.2">
      <c r="A2" s="38" t="s">
        <v>505</v>
      </c>
      <c r="C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24"/>
      <c r="T2" s="75"/>
      <c r="U2" s="77"/>
      <c r="V2" s="78"/>
      <c r="W2" s="29"/>
    </row>
    <row r="3" spans="1:24" s="76" customFormat="1" ht="12.75" customHeight="1" x14ac:dyDescent="0.2">
      <c r="A3" s="75" t="s">
        <v>287</v>
      </c>
      <c r="C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24"/>
      <c r="T3" s="75"/>
      <c r="U3" s="77"/>
      <c r="V3" s="78"/>
      <c r="W3" s="29"/>
    </row>
    <row r="4" spans="1:24" ht="12.75" customHeight="1" x14ac:dyDescent="0.2">
      <c r="A4" s="24"/>
    </row>
    <row r="6" spans="1:24" s="55" customFormat="1" ht="12.75" customHeight="1" x14ac:dyDescent="0.2">
      <c r="A6" s="38"/>
      <c r="C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68"/>
      <c r="T6" s="3"/>
      <c r="U6" s="16"/>
      <c r="V6" s="2"/>
      <c r="W6" s="63" t="s">
        <v>292</v>
      </c>
    </row>
    <row r="7" spans="1:24" s="55" customFormat="1" ht="12.75" customHeight="1" x14ac:dyDescent="0.2">
      <c r="A7" s="3"/>
      <c r="C7" s="3"/>
      <c r="E7" s="3" t="s">
        <v>291</v>
      </c>
      <c r="F7" s="3"/>
      <c r="G7" s="3" t="s">
        <v>324</v>
      </c>
      <c r="H7" s="3"/>
      <c r="I7" s="3" t="s">
        <v>292</v>
      </c>
      <c r="J7" s="3"/>
      <c r="K7" s="3" t="s">
        <v>290</v>
      </c>
      <c r="L7" s="3"/>
      <c r="M7" s="3" t="s">
        <v>325</v>
      </c>
      <c r="N7" s="3"/>
      <c r="O7" s="3" t="s">
        <v>326</v>
      </c>
      <c r="P7" s="3"/>
      <c r="Q7" s="3" t="s">
        <v>327</v>
      </c>
      <c r="R7" s="3"/>
      <c r="S7" s="68" t="s">
        <v>328</v>
      </c>
      <c r="T7" s="3"/>
      <c r="U7" s="68" t="s">
        <v>5</v>
      </c>
      <c r="V7" s="2"/>
      <c r="W7" s="63" t="s">
        <v>431</v>
      </c>
    </row>
    <row r="8" spans="1:24" s="55" customFormat="1" ht="12.75" customHeight="1" x14ac:dyDescent="0.2">
      <c r="A8" s="45" t="s">
        <v>6</v>
      </c>
      <c r="C8" s="45" t="s">
        <v>7</v>
      </c>
      <c r="E8" s="46" t="s">
        <v>421</v>
      </c>
      <c r="F8" s="3"/>
      <c r="G8" s="46" t="s">
        <v>297</v>
      </c>
      <c r="H8" s="3"/>
      <c r="I8" s="46" t="s">
        <v>297</v>
      </c>
      <c r="J8" s="3"/>
      <c r="K8" s="46" t="s">
        <v>295</v>
      </c>
      <c r="L8" s="3"/>
      <c r="M8" s="46" t="s">
        <v>329</v>
      </c>
      <c r="N8" s="3"/>
      <c r="O8" s="46" t="s">
        <v>330</v>
      </c>
      <c r="P8" s="3"/>
      <c r="Q8" s="46" t="s">
        <v>399</v>
      </c>
      <c r="R8" s="3"/>
      <c r="S8" s="27" t="s">
        <v>321</v>
      </c>
      <c r="T8" s="3"/>
      <c r="U8" s="27" t="s">
        <v>300</v>
      </c>
      <c r="V8" s="2"/>
      <c r="W8" s="67" t="s">
        <v>432</v>
      </c>
    </row>
    <row r="9" spans="1:24" s="55" customFormat="1" ht="12.75" customHeight="1" x14ac:dyDescent="0.2">
      <c r="A9" s="3"/>
      <c r="C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68"/>
      <c r="T9" s="3"/>
      <c r="U9" s="16"/>
      <c r="V9" s="2"/>
      <c r="W9" s="63"/>
    </row>
    <row r="10" spans="1:24" s="57" customFormat="1" ht="12.75" hidden="1" customHeight="1" x14ac:dyDescent="0.2">
      <c r="A10" s="7" t="s">
        <v>10</v>
      </c>
      <c r="B10" s="56"/>
      <c r="C10" s="7" t="s">
        <v>11</v>
      </c>
      <c r="D10" s="6"/>
      <c r="E10" s="40">
        <v>24573729</v>
      </c>
      <c r="F10" s="40"/>
      <c r="G10" s="40">
        <v>131090435</v>
      </c>
      <c r="H10" s="40"/>
      <c r="I10" s="40">
        <v>0</v>
      </c>
      <c r="J10" s="40"/>
      <c r="K10" s="40">
        <v>17759520</v>
      </c>
      <c r="L10" s="40"/>
      <c r="M10" s="40">
        <v>0</v>
      </c>
      <c r="N10" s="40"/>
      <c r="O10" s="40">
        <v>14965865</v>
      </c>
      <c r="P10" s="40"/>
      <c r="Q10" s="40">
        <v>8011431</v>
      </c>
      <c r="R10" s="40"/>
      <c r="S10" s="9">
        <f t="shared" ref="S10:S11" si="0">+U10-SUM(E10:Q10)</f>
        <v>142075765</v>
      </c>
      <c r="T10" s="40"/>
      <c r="U10" s="28">
        <v>338476745</v>
      </c>
      <c r="V10" s="9"/>
      <c r="W10" s="9">
        <f>26870000+1696315+24186215+170925000+8227250+7041704</f>
        <v>238946484</v>
      </c>
      <c r="X10" s="9"/>
    </row>
    <row r="11" spans="1:24" s="57" customFormat="1" ht="12.75" customHeight="1" x14ac:dyDescent="0.2">
      <c r="A11" s="7" t="s">
        <v>12</v>
      </c>
      <c r="B11" s="56"/>
      <c r="C11" s="7" t="s">
        <v>13</v>
      </c>
      <c r="D11" s="6"/>
      <c r="E11" s="40">
        <v>986268</v>
      </c>
      <c r="F11" s="40"/>
      <c r="G11" s="40">
        <v>9768208</v>
      </c>
      <c r="H11" s="40"/>
      <c r="I11" s="40">
        <v>0</v>
      </c>
      <c r="J11" s="40"/>
      <c r="K11" s="40">
        <v>313836</v>
      </c>
      <c r="L11" s="40"/>
      <c r="M11" s="40">
        <v>3058631</v>
      </c>
      <c r="N11" s="40"/>
      <c r="O11" s="40">
        <v>74029</v>
      </c>
      <c r="P11" s="40"/>
      <c r="Q11" s="40">
        <f>241853+554343</f>
        <v>796196</v>
      </c>
      <c r="R11" s="40"/>
      <c r="S11" s="9">
        <f t="shared" si="0"/>
        <v>750087</v>
      </c>
      <c r="T11" s="40"/>
      <c r="U11" s="28">
        <v>15747255</v>
      </c>
      <c r="V11" s="9"/>
      <c r="W11" s="9">
        <f>775000+455000+1130886+8169+6716</f>
        <v>2375771</v>
      </c>
    </row>
    <row r="12" spans="1:24" ht="12.75" customHeight="1" x14ac:dyDescent="0.2">
      <c r="A12" s="7" t="s">
        <v>14</v>
      </c>
      <c r="C12" s="7" t="s">
        <v>15</v>
      </c>
      <c r="D12" s="6"/>
      <c r="E12" s="8">
        <v>1308812</v>
      </c>
      <c r="F12" s="8"/>
      <c r="G12" s="8">
        <v>4089446</v>
      </c>
      <c r="H12" s="8"/>
      <c r="I12" s="8">
        <v>0</v>
      </c>
      <c r="J12" s="8"/>
      <c r="K12" s="8">
        <v>371670</v>
      </c>
      <c r="L12" s="8"/>
      <c r="M12" s="8">
        <v>1966057</v>
      </c>
      <c r="N12" s="8"/>
      <c r="O12" s="8">
        <v>0</v>
      </c>
      <c r="P12" s="8"/>
      <c r="Q12" s="8">
        <f>320963+97815</f>
        <v>418778</v>
      </c>
      <c r="R12" s="8"/>
      <c r="S12" s="7">
        <f t="shared" ref="S12:S67" si="1">+U12-SUM(E12:Q12)</f>
        <v>177255</v>
      </c>
      <c r="T12" s="8"/>
      <c r="U12" s="8">
        <v>8332018</v>
      </c>
      <c r="V12" s="7"/>
      <c r="W12" s="8">
        <f>12880+520000</f>
        <v>532880</v>
      </c>
    </row>
    <row r="13" spans="1:24" ht="12.75" customHeight="1" x14ac:dyDescent="0.2">
      <c r="A13" s="7" t="s">
        <v>16</v>
      </c>
      <c r="C13" s="7" t="s">
        <v>16</v>
      </c>
      <c r="D13" s="6"/>
      <c r="E13" s="8">
        <v>1099577</v>
      </c>
      <c r="F13" s="8"/>
      <c r="G13" s="8">
        <v>8312982</v>
      </c>
      <c r="H13" s="8"/>
      <c r="I13" s="8">
        <v>0</v>
      </c>
      <c r="J13" s="8"/>
      <c r="K13" s="8">
        <v>1489025</v>
      </c>
      <c r="L13" s="8"/>
      <c r="M13" s="8">
        <v>3055646</v>
      </c>
      <c r="N13" s="8"/>
      <c r="O13" s="8">
        <v>0</v>
      </c>
      <c r="P13" s="8"/>
      <c r="Q13" s="8">
        <f>21867+1179434</f>
        <v>1201301</v>
      </c>
      <c r="R13" s="8"/>
      <c r="S13" s="7">
        <f t="shared" si="1"/>
        <v>270591</v>
      </c>
      <c r="T13" s="8"/>
      <c r="U13" s="8">
        <v>15429122</v>
      </c>
      <c r="V13" s="7"/>
      <c r="W13" s="8">
        <v>197378</v>
      </c>
    </row>
    <row r="14" spans="1:24" ht="12.75" customHeight="1" x14ac:dyDescent="0.2">
      <c r="A14" s="7" t="s">
        <v>17</v>
      </c>
      <c r="C14" s="7" t="s">
        <v>17</v>
      </c>
      <c r="D14" s="6"/>
      <c r="E14" s="8">
        <v>1747271</v>
      </c>
      <c r="F14" s="8"/>
      <c r="G14" s="8">
        <v>6050045</v>
      </c>
      <c r="H14" s="8"/>
      <c r="I14" s="8">
        <v>302884</v>
      </c>
      <c r="J14" s="8"/>
      <c r="K14" s="8">
        <v>631480</v>
      </c>
      <c r="L14" s="8"/>
      <c r="M14" s="8">
        <v>3407627</v>
      </c>
      <c r="N14" s="8"/>
      <c r="O14" s="8">
        <v>9843</v>
      </c>
      <c r="P14" s="8"/>
      <c r="Q14" s="8">
        <f>274644+738446</f>
        <v>1013090</v>
      </c>
      <c r="R14" s="8"/>
      <c r="S14" s="7">
        <f t="shared" si="1"/>
        <v>278684</v>
      </c>
      <c r="T14" s="8"/>
      <c r="U14" s="8">
        <v>13440924</v>
      </c>
      <c r="V14" s="7"/>
      <c r="W14" s="8">
        <v>601000</v>
      </c>
      <c r="X14" s="7"/>
    </row>
    <row r="15" spans="1:24" ht="12.75" customHeight="1" x14ac:dyDescent="0.2">
      <c r="A15" s="7" t="s">
        <v>18</v>
      </c>
      <c r="C15" s="7" t="s">
        <v>18</v>
      </c>
      <c r="D15" s="6"/>
      <c r="E15" s="8">
        <v>767469</v>
      </c>
      <c r="F15" s="8"/>
      <c r="G15" s="8">
        <v>10512007</v>
      </c>
      <c r="H15" s="8"/>
      <c r="I15" s="8">
        <f>315944+485728</f>
        <v>801672</v>
      </c>
      <c r="J15" s="8"/>
      <c r="K15" s="8">
        <v>1809697</v>
      </c>
      <c r="L15" s="8"/>
      <c r="M15" s="8">
        <v>2598781</v>
      </c>
      <c r="N15" s="8"/>
      <c r="O15" s="8">
        <v>1570</v>
      </c>
      <c r="P15" s="8"/>
      <c r="Q15" s="8">
        <f>725410+1681702</f>
        <v>2407112</v>
      </c>
      <c r="R15" s="8"/>
      <c r="S15" s="7">
        <f t="shared" si="1"/>
        <v>569101</v>
      </c>
      <c r="T15" s="8"/>
      <c r="U15" s="8">
        <v>19467409</v>
      </c>
      <c r="V15" s="6"/>
      <c r="W15" s="8">
        <f>220000+444507</f>
        <v>664507</v>
      </c>
    </row>
    <row r="16" spans="1:24" ht="12.75" customHeight="1" x14ac:dyDescent="0.2">
      <c r="A16" s="7" t="s">
        <v>19</v>
      </c>
      <c r="C16" s="7" t="s">
        <v>20</v>
      </c>
      <c r="D16" s="6"/>
      <c r="E16" s="8">
        <v>3149234</v>
      </c>
      <c r="F16" s="8"/>
      <c r="G16" s="8">
        <v>11401097</v>
      </c>
      <c r="H16" s="8"/>
      <c r="I16" s="8">
        <v>1601365</v>
      </c>
      <c r="J16" s="8"/>
      <c r="K16" s="8">
        <v>605973</v>
      </c>
      <c r="L16" s="8"/>
      <c r="M16" s="8">
        <v>1841307</v>
      </c>
      <c r="N16" s="8"/>
      <c r="O16" s="8">
        <v>0</v>
      </c>
      <c r="P16" s="8"/>
      <c r="Q16" s="8">
        <f>215605+21438</f>
        <v>237043</v>
      </c>
      <c r="R16" s="8"/>
      <c r="S16" s="7">
        <f t="shared" si="1"/>
        <v>193511</v>
      </c>
      <c r="T16" s="8"/>
      <c r="U16" s="8">
        <v>19029530</v>
      </c>
      <c r="V16" s="7"/>
      <c r="W16" s="8">
        <f>4675000+341070+10877+1698895</f>
        <v>6725842</v>
      </c>
    </row>
    <row r="17" spans="1:23" ht="12.75" customHeight="1" x14ac:dyDescent="0.2">
      <c r="A17" s="7" t="s">
        <v>21</v>
      </c>
      <c r="C17" s="7" t="s">
        <v>15</v>
      </c>
      <c r="D17" s="6"/>
      <c r="E17" s="8">
        <v>4935442</v>
      </c>
      <c r="F17" s="8"/>
      <c r="G17" s="8">
        <v>11489445</v>
      </c>
      <c r="H17" s="8"/>
      <c r="I17" s="8">
        <v>2150075</v>
      </c>
      <c r="J17" s="8"/>
      <c r="K17" s="8">
        <v>3018040</v>
      </c>
      <c r="L17" s="8"/>
      <c r="M17" s="8">
        <v>2953599</v>
      </c>
      <c r="N17" s="8"/>
      <c r="O17" s="8">
        <v>481394</v>
      </c>
      <c r="P17" s="8"/>
      <c r="Q17" s="8">
        <f>770884+399610</f>
        <v>1170494</v>
      </c>
      <c r="R17" s="8"/>
      <c r="S17" s="7">
        <f t="shared" si="1"/>
        <v>847845</v>
      </c>
      <c r="T17" s="8"/>
      <c r="U17" s="8">
        <v>27046334</v>
      </c>
      <c r="V17" s="7"/>
      <c r="W17" s="8">
        <f>15309138+536863+97167+8410863</f>
        <v>24354031</v>
      </c>
    </row>
    <row r="18" spans="1:23" ht="12.75" customHeight="1" x14ac:dyDescent="0.2">
      <c r="A18" s="7" t="s">
        <v>22</v>
      </c>
      <c r="C18" s="7" t="s">
        <v>15</v>
      </c>
      <c r="D18" s="6"/>
      <c r="E18" s="8">
        <v>5452174</v>
      </c>
      <c r="F18" s="8"/>
      <c r="G18" s="8">
        <v>9407646</v>
      </c>
      <c r="H18" s="8"/>
      <c r="I18" s="8">
        <v>0</v>
      </c>
      <c r="J18" s="8"/>
      <c r="K18" s="8">
        <v>1102449</v>
      </c>
      <c r="L18" s="8"/>
      <c r="M18" s="8">
        <v>2860391</v>
      </c>
      <c r="N18" s="8"/>
      <c r="O18" s="8">
        <v>465612</v>
      </c>
      <c r="P18" s="8"/>
      <c r="Q18" s="8">
        <f>264386+343231</f>
        <v>607617</v>
      </c>
      <c r="R18" s="8"/>
      <c r="S18" s="7">
        <f t="shared" ref="S18" si="2">+U18-SUM(E18:Q18)</f>
        <v>253136</v>
      </c>
      <c r="T18" s="8"/>
      <c r="U18" s="8">
        <v>20149025</v>
      </c>
      <c r="V18" s="7"/>
      <c r="W18" s="8">
        <f>115000+765000+11122+1747894</f>
        <v>2639016</v>
      </c>
    </row>
    <row r="19" spans="1:23" ht="12.75" customHeight="1" x14ac:dyDescent="0.2">
      <c r="A19" s="7" t="s">
        <v>23</v>
      </c>
      <c r="C19" s="7" t="s">
        <v>11</v>
      </c>
      <c r="D19" s="6"/>
      <c r="E19" s="8">
        <v>1075432</v>
      </c>
      <c r="F19" s="8"/>
      <c r="G19" s="8">
        <v>10218388</v>
      </c>
      <c r="H19" s="8"/>
      <c r="I19" s="8">
        <v>0</v>
      </c>
      <c r="J19" s="8"/>
      <c r="K19" s="8">
        <v>2111961</v>
      </c>
      <c r="L19" s="8"/>
      <c r="M19" s="8">
        <v>5180429</v>
      </c>
      <c r="N19" s="8"/>
      <c r="O19" s="8">
        <v>110140</v>
      </c>
      <c r="P19" s="8"/>
      <c r="Q19" s="8">
        <f>494997+502636</f>
        <v>997633</v>
      </c>
      <c r="R19" s="8"/>
      <c r="S19" s="7">
        <f t="shared" si="1"/>
        <v>1161558</v>
      </c>
      <c r="T19" s="8"/>
      <c r="U19" s="8">
        <v>20855541</v>
      </c>
      <c r="V19" s="7"/>
      <c r="W19" s="8">
        <f>16189+207780+1277944+3036</f>
        <v>1504949</v>
      </c>
    </row>
    <row r="20" spans="1:23" ht="12.75" customHeight="1" x14ac:dyDescent="0.2">
      <c r="A20" s="7" t="s">
        <v>24</v>
      </c>
      <c r="C20" s="7" t="s">
        <v>25</v>
      </c>
      <c r="D20" s="6"/>
      <c r="E20" s="8">
        <v>6168027</v>
      </c>
      <c r="F20" s="8"/>
      <c r="G20" s="8">
        <v>5284619</v>
      </c>
      <c r="H20" s="8"/>
      <c r="I20" s="8">
        <v>0</v>
      </c>
      <c r="J20" s="8"/>
      <c r="K20" s="8">
        <v>514988</v>
      </c>
      <c r="L20" s="8"/>
      <c r="M20" s="8">
        <v>4509463</v>
      </c>
      <c r="N20" s="8"/>
      <c r="O20" s="8">
        <v>77437</v>
      </c>
      <c r="P20" s="8"/>
      <c r="Q20" s="8">
        <v>498987</v>
      </c>
      <c r="R20" s="8"/>
      <c r="S20" s="7">
        <f>+U20-SUM(E20:Q20)</f>
        <v>1004993</v>
      </c>
      <c r="T20" s="8"/>
      <c r="U20" s="8">
        <f>17610214+448300</f>
        <v>18058514</v>
      </c>
      <c r="V20" s="7"/>
      <c r="W20" s="8">
        <f>5185000+10250+1192000+159154</f>
        <v>6546404</v>
      </c>
    </row>
    <row r="21" spans="1:23" ht="12.75" customHeight="1" x14ac:dyDescent="0.2">
      <c r="A21" s="7" t="s">
        <v>26</v>
      </c>
      <c r="C21" s="7" t="s">
        <v>25</v>
      </c>
      <c r="D21" s="6"/>
      <c r="E21" s="8">
        <v>2569986</v>
      </c>
      <c r="F21" s="8"/>
      <c r="G21" s="8">
        <v>28162508</v>
      </c>
      <c r="H21" s="8"/>
      <c r="I21" s="8">
        <f>3045450+805323+131450+302336</f>
        <v>4284559</v>
      </c>
      <c r="J21" s="8"/>
      <c r="K21" s="8">
        <v>2109663</v>
      </c>
      <c r="L21" s="8"/>
      <c r="M21" s="8">
        <v>1210255</v>
      </c>
      <c r="N21" s="8"/>
      <c r="O21" s="8">
        <v>456852</v>
      </c>
      <c r="P21" s="8"/>
      <c r="Q21" s="8">
        <v>1145214</v>
      </c>
      <c r="R21" s="8"/>
      <c r="S21" s="7">
        <f t="shared" si="1"/>
        <v>1314494</v>
      </c>
      <c r="T21" s="8"/>
      <c r="U21" s="8">
        <v>41253531</v>
      </c>
      <c r="V21" s="7"/>
      <c r="W21" s="8">
        <f>6250000+290092+2650000</f>
        <v>9190092</v>
      </c>
    </row>
    <row r="22" spans="1:23" ht="12.75" customHeight="1" x14ac:dyDescent="0.2">
      <c r="A22" s="7" t="s">
        <v>27</v>
      </c>
      <c r="C22" s="7" t="s">
        <v>28</v>
      </c>
      <c r="D22" s="6"/>
      <c r="E22" s="8">
        <v>13173410</v>
      </c>
      <c r="F22" s="8"/>
      <c r="G22" s="8">
        <v>0</v>
      </c>
      <c r="H22" s="8"/>
      <c r="I22" s="8">
        <v>331096</v>
      </c>
      <c r="J22" s="8"/>
      <c r="K22" s="8">
        <v>1668713</v>
      </c>
      <c r="L22" s="8"/>
      <c r="M22" s="8">
        <v>7736493</v>
      </c>
      <c r="N22" s="8"/>
      <c r="O22" s="8">
        <v>405000</v>
      </c>
      <c r="P22" s="8"/>
      <c r="Q22" s="8">
        <v>1027337</v>
      </c>
      <c r="R22" s="8"/>
      <c r="S22" s="7">
        <f t="shared" si="1"/>
        <v>737436</v>
      </c>
      <c r="T22" s="8"/>
      <c r="U22" s="8">
        <v>25079485</v>
      </c>
      <c r="V22" s="7"/>
      <c r="W22" s="8">
        <f>33805+330000+154052</f>
        <v>517857</v>
      </c>
    </row>
    <row r="23" spans="1:23" ht="12.75" customHeight="1" x14ac:dyDescent="0.2">
      <c r="A23" s="7" t="s">
        <v>29</v>
      </c>
      <c r="C23" s="7" t="s">
        <v>25</v>
      </c>
      <c r="D23" s="6"/>
      <c r="E23" s="8">
        <v>5079292</v>
      </c>
      <c r="F23" s="8"/>
      <c r="G23" s="8">
        <v>9928119</v>
      </c>
      <c r="H23" s="8"/>
      <c r="I23" s="8">
        <v>0</v>
      </c>
      <c r="J23" s="8"/>
      <c r="K23" s="8">
        <v>646510</v>
      </c>
      <c r="L23" s="8"/>
      <c r="M23" s="8">
        <v>3051857</v>
      </c>
      <c r="N23" s="8"/>
      <c r="O23" s="8">
        <v>427208</v>
      </c>
      <c r="P23" s="8"/>
      <c r="Q23" s="8">
        <f>210796+1948751</f>
        <v>2159547</v>
      </c>
      <c r="R23" s="8"/>
      <c r="S23" s="7">
        <f t="shared" si="1"/>
        <v>416903</v>
      </c>
      <c r="T23" s="8"/>
      <c r="U23" s="8">
        <v>21709436</v>
      </c>
      <c r="V23" s="7"/>
      <c r="W23" s="8">
        <f>32896+39540+3870767</f>
        <v>3943203</v>
      </c>
    </row>
    <row r="24" spans="1:23" ht="12.75" customHeight="1" x14ac:dyDescent="0.2">
      <c r="A24" s="7" t="s">
        <v>30</v>
      </c>
      <c r="C24" s="7" t="s">
        <v>25</v>
      </c>
      <c r="D24" s="6"/>
      <c r="E24" s="8">
        <v>4707969</v>
      </c>
      <c r="F24" s="8"/>
      <c r="G24" s="8">
        <v>8158302</v>
      </c>
      <c r="H24" s="8"/>
      <c r="I24" s="8">
        <v>0</v>
      </c>
      <c r="J24" s="8"/>
      <c r="K24" s="8">
        <v>2695723</v>
      </c>
      <c r="L24" s="8"/>
      <c r="M24" s="8">
        <v>2038027</v>
      </c>
      <c r="N24" s="8"/>
      <c r="O24" s="8">
        <v>0</v>
      </c>
      <c r="P24" s="8"/>
      <c r="Q24" s="8">
        <f>451935+172685</f>
        <v>624620</v>
      </c>
      <c r="R24" s="8"/>
      <c r="S24" s="7">
        <f t="shared" si="1"/>
        <v>645680</v>
      </c>
      <c r="T24" s="8"/>
      <c r="U24" s="8">
        <v>18870321</v>
      </c>
      <c r="V24" s="7"/>
      <c r="W24" s="8">
        <f>4468812+305709+478523+18977</f>
        <v>5272021</v>
      </c>
    </row>
    <row r="25" spans="1:23" ht="12.75" customHeight="1" x14ac:dyDescent="0.2">
      <c r="A25" s="9" t="s">
        <v>32</v>
      </c>
      <c r="B25" s="9"/>
      <c r="C25" s="9" t="s">
        <v>28</v>
      </c>
      <c r="D25" s="6"/>
      <c r="E25" s="8">
        <v>2646564</v>
      </c>
      <c r="F25" s="8"/>
      <c r="G25" s="8">
        <v>0</v>
      </c>
      <c r="H25" s="8"/>
      <c r="I25" s="8">
        <v>0</v>
      </c>
      <c r="J25" s="8"/>
      <c r="K25" s="8">
        <v>131553</v>
      </c>
      <c r="L25" s="8"/>
      <c r="M25" s="8">
        <v>1167549</v>
      </c>
      <c r="N25" s="8"/>
      <c r="O25" s="8">
        <v>3906</v>
      </c>
      <c r="P25" s="8"/>
      <c r="Q25" s="8">
        <v>156409</v>
      </c>
      <c r="R25" s="8"/>
      <c r="S25" s="7">
        <f t="shared" si="1"/>
        <v>35224</v>
      </c>
      <c r="T25" s="8"/>
      <c r="U25" s="8">
        <v>4141205</v>
      </c>
      <c r="V25" s="7"/>
      <c r="W25" s="8">
        <v>650000</v>
      </c>
    </row>
    <row r="26" spans="1:23" ht="12.75" customHeight="1" x14ac:dyDescent="0.2">
      <c r="A26" s="7" t="s">
        <v>33</v>
      </c>
      <c r="C26" s="7" t="s">
        <v>34</v>
      </c>
      <c r="D26" s="6"/>
      <c r="E26" s="8">
        <v>724153</v>
      </c>
      <c r="F26" s="8"/>
      <c r="G26" s="8">
        <v>5356198</v>
      </c>
      <c r="H26" s="8"/>
      <c r="I26" s="8">
        <v>53736</v>
      </c>
      <c r="J26" s="8"/>
      <c r="K26" s="8">
        <v>197196</v>
      </c>
      <c r="L26" s="8"/>
      <c r="M26" s="8">
        <v>3032779</v>
      </c>
      <c r="N26" s="8"/>
      <c r="O26" s="8">
        <v>11970</v>
      </c>
      <c r="P26" s="8"/>
      <c r="Q26" s="8">
        <f>166678+745444</f>
        <v>912122</v>
      </c>
      <c r="R26" s="8"/>
      <c r="S26" s="7">
        <f t="shared" si="1"/>
        <v>218474</v>
      </c>
      <c r="T26" s="8"/>
      <c r="U26" s="8">
        <v>10506628</v>
      </c>
      <c r="V26" s="7"/>
      <c r="W26" s="8">
        <f>85445+127295</f>
        <v>212740</v>
      </c>
    </row>
    <row r="27" spans="1:23" ht="12.75" customHeight="1" x14ac:dyDescent="0.2">
      <c r="A27" s="7" t="s">
        <v>35</v>
      </c>
      <c r="C27" s="7" t="s">
        <v>36</v>
      </c>
      <c r="D27" s="6"/>
      <c r="E27" s="8">
        <v>700400</v>
      </c>
      <c r="F27" s="8"/>
      <c r="G27" s="8">
        <v>3611700</v>
      </c>
      <c r="H27" s="8"/>
      <c r="I27" s="8">
        <v>0</v>
      </c>
      <c r="J27" s="8"/>
      <c r="K27" s="8">
        <v>254372</v>
      </c>
      <c r="L27" s="8"/>
      <c r="M27" s="8">
        <v>968366</v>
      </c>
      <c r="N27" s="8"/>
      <c r="O27" s="8">
        <v>0</v>
      </c>
      <c r="P27" s="8"/>
      <c r="Q27" s="8">
        <f>18907+201849</f>
        <v>220756</v>
      </c>
      <c r="R27" s="8"/>
      <c r="S27" s="7">
        <f t="shared" si="1"/>
        <v>82384</v>
      </c>
      <c r="T27" s="8"/>
      <c r="U27" s="8">
        <v>5837978</v>
      </c>
      <c r="V27" s="7"/>
      <c r="W27" s="8">
        <f>1110000+1163922</f>
        <v>2273922</v>
      </c>
    </row>
    <row r="28" spans="1:23" ht="12.75" customHeight="1" x14ac:dyDescent="0.2">
      <c r="A28" s="7" t="s">
        <v>37</v>
      </c>
      <c r="C28" s="7" t="s">
        <v>38</v>
      </c>
      <c r="D28" s="6"/>
      <c r="E28" s="8">
        <v>295639</v>
      </c>
      <c r="F28" s="8"/>
      <c r="G28" s="8">
        <v>1366351</v>
      </c>
      <c r="H28" s="8"/>
      <c r="I28" s="8">
        <v>0</v>
      </c>
      <c r="J28" s="8"/>
      <c r="K28" s="8">
        <v>1141825</v>
      </c>
      <c r="L28" s="8"/>
      <c r="M28" s="8">
        <v>1019979</v>
      </c>
      <c r="N28" s="8"/>
      <c r="O28" s="8">
        <v>0</v>
      </c>
      <c r="P28" s="8"/>
      <c r="Q28" s="8">
        <v>243279</v>
      </c>
      <c r="R28" s="8"/>
      <c r="S28" s="7">
        <f t="shared" si="1"/>
        <v>117958</v>
      </c>
      <c r="T28" s="8"/>
      <c r="U28" s="8">
        <v>4185031</v>
      </c>
      <c r="V28" s="7"/>
      <c r="W28" s="8">
        <f>120812+1015+80000</f>
        <v>201827</v>
      </c>
    </row>
    <row r="29" spans="1:23" ht="12.75" customHeight="1" x14ac:dyDescent="0.2">
      <c r="A29" s="7" t="s">
        <v>39</v>
      </c>
      <c r="C29" s="7" t="s">
        <v>25</v>
      </c>
      <c r="D29" s="6"/>
      <c r="E29" s="8">
        <v>3906861</v>
      </c>
      <c r="F29" s="8"/>
      <c r="G29" s="8">
        <v>10758113</v>
      </c>
      <c r="H29" s="8"/>
      <c r="I29" s="8">
        <v>278888</v>
      </c>
      <c r="J29" s="8"/>
      <c r="K29" s="8">
        <v>1151937</v>
      </c>
      <c r="L29" s="8"/>
      <c r="M29" s="8">
        <v>2842680</v>
      </c>
      <c r="N29" s="8"/>
      <c r="O29" s="8">
        <v>688970</v>
      </c>
      <c r="P29" s="8"/>
      <c r="Q29" s="8">
        <f>397561+2481137</f>
        <v>2878698</v>
      </c>
      <c r="R29" s="8"/>
      <c r="S29" s="7">
        <f t="shared" si="1"/>
        <v>272112</v>
      </c>
      <c r="T29" s="8"/>
      <c r="U29" s="8">
        <v>22778259</v>
      </c>
      <c r="V29" s="7"/>
      <c r="W29" s="8">
        <f>3025+202650+45518+6112550+2988224</f>
        <v>9351967</v>
      </c>
    </row>
    <row r="30" spans="1:23" ht="12.75" customHeight="1" x14ac:dyDescent="0.2">
      <c r="A30" s="7" t="s">
        <v>40</v>
      </c>
      <c r="C30" s="7" t="s">
        <v>41</v>
      </c>
      <c r="D30" s="6"/>
      <c r="E30" s="8">
        <v>1757727</v>
      </c>
      <c r="F30" s="8"/>
      <c r="G30" s="8">
        <v>6621712</v>
      </c>
      <c r="H30" s="8"/>
      <c r="I30" s="8">
        <v>189935</v>
      </c>
      <c r="J30" s="8"/>
      <c r="K30" s="8">
        <v>914370</v>
      </c>
      <c r="L30" s="8"/>
      <c r="M30" s="8">
        <v>3167978</v>
      </c>
      <c r="N30" s="8"/>
      <c r="O30" s="8">
        <v>0</v>
      </c>
      <c r="P30" s="8"/>
      <c r="Q30" s="8">
        <f>263036+91856</f>
        <v>354892</v>
      </c>
      <c r="R30" s="8"/>
      <c r="S30" s="7">
        <f t="shared" si="1"/>
        <v>648977</v>
      </c>
      <c r="T30" s="8"/>
      <c r="U30" s="8">
        <v>13655591</v>
      </c>
      <c r="V30" s="7"/>
      <c r="W30" s="8">
        <f>2127556+2049168</f>
        <v>4176724</v>
      </c>
    </row>
    <row r="31" spans="1:23" ht="12.75" customHeight="1" x14ac:dyDescent="0.2">
      <c r="A31" s="7" t="s">
        <v>42</v>
      </c>
      <c r="C31" s="7" t="s">
        <v>43</v>
      </c>
      <c r="D31" s="6"/>
      <c r="E31" s="8">
        <v>3312909</v>
      </c>
      <c r="F31" s="8"/>
      <c r="G31" s="8">
        <v>32056490</v>
      </c>
      <c r="H31" s="8"/>
      <c r="I31" s="8">
        <v>977428</v>
      </c>
      <c r="J31" s="8"/>
      <c r="K31" s="8">
        <v>1790370</v>
      </c>
      <c r="L31" s="8"/>
      <c r="M31" s="8">
        <v>3744046</v>
      </c>
      <c r="N31" s="8"/>
      <c r="O31" s="8">
        <v>0</v>
      </c>
      <c r="P31" s="8"/>
      <c r="Q31" s="8">
        <v>479189</v>
      </c>
      <c r="R31" s="8"/>
      <c r="S31" s="7">
        <f t="shared" si="1"/>
        <v>482793</v>
      </c>
      <c r="T31" s="8"/>
      <c r="U31" s="8">
        <v>42843225</v>
      </c>
      <c r="V31" s="7"/>
      <c r="W31" s="8">
        <f>1500000+11853301</f>
        <v>13353301</v>
      </c>
    </row>
    <row r="32" spans="1:23" ht="12.75" customHeight="1" x14ac:dyDescent="0.2">
      <c r="A32" s="7" t="s">
        <v>44</v>
      </c>
      <c r="C32" s="7" t="s">
        <v>45</v>
      </c>
      <c r="D32" s="6"/>
      <c r="E32" s="8">
        <v>2054493</v>
      </c>
      <c r="F32" s="8"/>
      <c r="G32" s="8">
        <v>16144481</v>
      </c>
      <c r="H32" s="8"/>
      <c r="I32" s="8">
        <v>2355951</v>
      </c>
      <c r="J32" s="8"/>
      <c r="K32" s="8">
        <v>2753744</v>
      </c>
      <c r="L32" s="8"/>
      <c r="M32" s="8">
        <v>9865676</v>
      </c>
      <c r="N32" s="8"/>
      <c r="O32" s="8">
        <v>47110</v>
      </c>
      <c r="P32" s="8"/>
      <c r="Q32" s="8">
        <f>104663+1026206</f>
        <v>1130869</v>
      </c>
      <c r="R32" s="8"/>
      <c r="S32" s="7">
        <f t="shared" si="1"/>
        <v>928052</v>
      </c>
      <c r="T32" s="8"/>
      <c r="U32" s="8">
        <v>35280376</v>
      </c>
      <c r="V32" s="7"/>
      <c r="W32" s="8">
        <f>4895000+3850000+1511640+1714169</f>
        <v>11970809</v>
      </c>
    </row>
    <row r="33" spans="1:24" ht="12.75" customHeight="1" x14ac:dyDescent="0.2">
      <c r="A33" s="7" t="s">
        <v>46</v>
      </c>
      <c r="C33" s="7" t="s">
        <v>25</v>
      </c>
      <c r="D33" s="6"/>
      <c r="E33" s="8">
        <v>4267409</v>
      </c>
      <c r="F33" s="8"/>
      <c r="G33" s="8">
        <v>15175081</v>
      </c>
      <c r="H33" s="8"/>
      <c r="I33" s="8">
        <v>0</v>
      </c>
      <c r="J33" s="8"/>
      <c r="K33" s="8">
        <v>1317669</v>
      </c>
      <c r="L33" s="8"/>
      <c r="M33" s="8">
        <v>3200231</v>
      </c>
      <c r="N33" s="8"/>
      <c r="O33" s="8">
        <v>488853</v>
      </c>
      <c r="P33" s="8"/>
      <c r="Q33" s="8">
        <f>564218+266067</f>
        <v>830285</v>
      </c>
      <c r="R33" s="8"/>
      <c r="S33" s="7">
        <f t="shared" si="1"/>
        <v>644925</v>
      </c>
      <c r="T33" s="8"/>
      <c r="U33" s="8">
        <v>25924453</v>
      </c>
      <c r="V33" s="7"/>
      <c r="W33" s="8">
        <f>30406+3580000+2005000+136940+2308+2277477</f>
        <v>8032131</v>
      </c>
    </row>
    <row r="34" spans="1:24" ht="12.75" customHeight="1" x14ac:dyDescent="0.2">
      <c r="A34" s="7" t="s">
        <v>47</v>
      </c>
      <c r="C34" s="7" t="s">
        <v>25</v>
      </c>
      <c r="D34" s="6"/>
      <c r="E34" s="8">
        <v>3493259</v>
      </c>
      <c r="F34" s="8"/>
      <c r="G34" s="8">
        <v>10295714</v>
      </c>
      <c r="H34" s="8"/>
      <c r="I34" s="8">
        <v>0</v>
      </c>
      <c r="J34" s="8"/>
      <c r="K34" s="8">
        <v>2192826</v>
      </c>
      <c r="L34" s="8"/>
      <c r="M34" s="8">
        <v>2534867</v>
      </c>
      <c r="N34" s="8"/>
      <c r="O34" s="8">
        <v>616531</v>
      </c>
      <c r="P34" s="8"/>
      <c r="Q34" s="8">
        <f>910025+501500</f>
        <v>1411525</v>
      </c>
      <c r="R34" s="8"/>
      <c r="S34" s="7">
        <f t="shared" si="1"/>
        <v>268694</v>
      </c>
      <c r="T34" s="8"/>
      <c r="U34" s="8">
        <v>20813416</v>
      </c>
      <c r="V34" s="7"/>
      <c r="W34" s="8">
        <f>27144+1820000+67150+221671+628054</f>
        <v>2764019</v>
      </c>
    </row>
    <row r="35" spans="1:24" ht="12.75" customHeight="1" x14ac:dyDescent="0.2">
      <c r="A35" s="7" t="s">
        <v>48</v>
      </c>
      <c r="C35" s="7" t="s">
        <v>25</v>
      </c>
      <c r="D35" s="6"/>
      <c r="E35" s="8">
        <v>1952842</v>
      </c>
      <c r="F35" s="8"/>
      <c r="G35" s="8">
        <v>17603699</v>
      </c>
      <c r="H35" s="8"/>
      <c r="I35" s="8">
        <v>213567</v>
      </c>
      <c r="J35" s="8"/>
      <c r="K35" s="8">
        <v>1867450</v>
      </c>
      <c r="L35" s="8"/>
      <c r="M35" s="8">
        <v>3537753</v>
      </c>
      <c r="N35" s="8"/>
      <c r="O35" s="8">
        <v>85066</v>
      </c>
      <c r="P35" s="8"/>
      <c r="Q35" s="8">
        <f>689562+408470</f>
        <v>1098032</v>
      </c>
      <c r="R35" s="8"/>
      <c r="S35" s="7">
        <f t="shared" si="1"/>
        <v>673261</v>
      </c>
      <c r="T35" s="8"/>
      <c r="U35" s="8">
        <v>27031670</v>
      </c>
      <c r="V35" s="7"/>
      <c r="W35" s="8">
        <f>10246+2006371+3534965</f>
        <v>5551582</v>
      </c>
    </row>
    <row r="36" spans="1:24" ht="12.75" customHeight="1" x14ac:dyDescent="0.2">
      <c r="A36" s="7" t="s">
        <v>49</v>
      </c>
      <c r="C36" s="7" t="s">
        <v>25</v>
      </c>
      <c r="D36" s="6"/>
      <c r="E36" s="8">
        <v>1647181</v>
      </c>
      <c r="F36" s="8"/>
      <c r="G36" s="8">
        <v>15216780</v>
      </c>
      <c r="H36" s="8"/>
      <c r="I36" s="8">
        <v>342430</v>
      </c>
      <c r="J36" s="8"/>
      <c r="K36" s="8">
        <v>1064828</v>
      </c>
      <c r="L36" s="8"/>
      <c r="M36" s="8">
        <v>1963016</v>
      </c>
      <c r="N36" s="8"/>
      <c r="O36" s="8">
        <v>0</v>
      </c>
      <c r="P36" s="8"/>
      <c r="Q36" s="8">
        <v>568145</v>
      </c>
      <c r="R36" s="8"/>
      <c r="S36" s="7">
        <f t="shared" si="1"/>
        <v>195847</v>
      </c>
      <c r="T36" s="8"/>
      <c r="U36" s="8">
        <v>20998227</v>
      </c>
      <c r="V36" s="7"/>
      <c r="W36" s="8">
        <f>7725+217450+3938711</f>
        <v>4163886</v>
      </c>
    </row>
    <row r="37" spans="1:24" ht="12.75" customHeight="1" x14ac:dyDescent="0.2">
      <c r="A37" s="7" t="s">
        <v>458</v>
      </c>
      <c r="C37" s="7" t="s">
        <v>64</v>
      </c>
      <c r="D37" s="6"/>
      <c r="E37" s="8">
        <v>155660</v>
      </c>
      <c r="F37" s="8"/>
      <c r="G37" s="8">
        <v>2729208</v>
      </c>
      <c r="H37" s="8"/>
      <c r="I37" s="8">
        <v>0</v>
      </c>
      <c r="J37" s="8"/>
      <c r="K37" s="8">
        <v>1039451</v>
      </c>
      <c r="L37" s="8"/>
      <c r="M37" s="8">
        <v>1167580</v>
      </c>
      <c r="N37" s="8"/>
      <c r="O37" s="8">
        <v>7304</v>
      </c>
      <c r="P37" s="8"/>
      <c r="Q37" s="8">
        <v>103816</v>
      </c>
      <c r="R37" s="8"/>
      <c r="S37" s="7">
        <f t="shared" si="1"/>
        <v>151525</v>
      </c>
      <c r="T37" s="8"/>
      <c r="U37" s="8">
        <v>5354544</v>
      </c>
      <c r="V37" s="7"/>
      <c r="W37" s="8">
        <f>23995+200000+189999+1100720+1480</f>
        <v>1516194</v>
      </c>
    </row>
    <row r="38" spans="1:24" ht="12.75" customHeight="1" x14ac:dyDescent="0.2">
      <c r="A38" s="7" t="s">
        <v>50</v>
      </c>
      <c r="C38" s="7" t="s">
        <v>51</v>
      </c>
      <c r="D38" s="6"/>
      <c r="E38" s="8">
        <v>1640863</v>
      </c>
      <c r="F38" s="8"/>
      <c r="G38" s="8">
        <v>14142938</v>
      </c>
      <c r="H38" s="8"/>
      <c r="I38" s="8">
        <v>0</v>
      </c>
      <c r="J38" s="8"/>
      <c r="K38" s="8">
        <v>1811368</v>
      </c>
      <c r="L38" s="8"/>
      <c r="M38" s="8">
        <v>4997108</v>
      </c>
      <c r="N38" s="8"/>
      <c r="O38" s="8">
        <v>293882</v>
      </c>
      <c r="P38" s="8"/>
      <c r="Q38" s="8">
        <v>890044</v>
      </c>
      <c r="R38" s="8"/>
      <c r="S38" s="7">
        <f t="shared" si="1"/>
        <v>603023</v>
      </c>
      <c r="T38" s="8"/>
      <c r="U38" s="8">
        <v>24379226</v>
      </c>
      <c r="V38" s="7"/>
      <c r="W38" s="8">
        <f>108576+1320000+108549+1482594</f>
        <v>3019719</v>
      </c>
    </row>
    <row r="39" spans="1:24" ht="12.75" customHeight="1" x14ac:dyDescent="0.2">
      <c r="A39" s="7" t="s">
        <v>52</v>
      </c>
      <c r="C39" s="7" t="s">
        <v>53</v>
      </c>
      <c r="D39" s="6"/>
      <c r="E39" s="8">
        <v>8033399</v>
      </c>
      <c r="F39" s="8"/>
      <c r="G39" s="8">
        <v>0</v>
      </c>
      <c r="H39" s="8"/>
      <c r="I39" s="8">
        <v>0</v>
      </c>
      <c r="J39" s="8"/>
      <c r="K39" s="8">
        <v>185435</v>
      </c>
      <c r="L39" s="8"/>
      <c r="M39" s="8">
        <v>1532113</v>
      </c>
      <c r="N39" s="8"/>
      <c r="O39" s="8">
        <v>67416</v>
      </c>
      <c r="P39" s="8"/>
      <c r="Q39" s="8">
        <f>9140+783588</f>
        <v>792728</v>
      </c>
      <c r="R39" s="8"/>
      <c r="S39" s="7">
        <f t="shared" si="1"/>
        <v>414047</v>
      </c>
      <c r="T39" s="8"/>
      <c r="U39" s="8">
        <v>11025138</v>
      </c>
      <c r="V39" s="7"/>
      <c r="W39" s="8">
        <f>1042+500000+3171150</f>
        <v>3672192</v>
      </c>
    </row>
    <row r="40" spans="1:24" ht="12.75" customHeight="1" x14ac:dyDescent="0.2">
      <c r="A40" s="7" t="s">
        <v>54</v>
      </c>
      <c r="C40" s="7" t="s">
        <v>55</v>
      </c>
      <c r="D40" s="6"/>
      <c r="E40" s="8">
        <v>588052</v>
      </c>
      <c r="F40" s="8"/>
      <c r="G40" s="8">
        <v>4193548</v>
      </c>
      <c r="H40" s="8"/>
      <c r="I40" s="8">
        <v>97787</v>
      </c>
      <c r="J40" s="8"/>
      <c r="K40" s="8">
        <v>367693</v>
      </c>
      <c r="L40" s="8"/>
      <c r="M40" s="8">
        <v>1158709</v>
      </c>
      <c r="N40" s="8"/>
      <c r="O40" s="8">
        <v>16716</v>
      </c>
      <c r="P40" s="8"/>
      <c r="Q40" s="8">
        <f>154393+32105</f>
        <v>186498</v>
      </c>
      <c r="R40" s="8"/>
      <c r="S40" s="7">
        <f t="shared" si="1"/>
        <v>322818</v>
      </c>
      <c r="T40" s="8"/>
      <c r="U40" s="8">
        <v>6931821</v>
      </c>
      <c r="V40" s="7"/>
      <c r="W40" s="8">
        <v>228276</v>
      </c>
    </row>
    <row r="41" spans="1:24" ht="12.75" customHeight="1" x14ac:dyDescent="0.2">
      <c r="A41" s="7" t="s">
        <v>56</v>
      </c>
      <c r="C41" s="7" t="s">
        <v>57</v>
      </c>
      <c r="D41" s="6"/>
      <c r="E41" s="8">
        <v>1510478</v>
      </c>
      <c r="F41" s="8"/>
      <c r="G41" s="8">
        <v>6620591</v>
      </c>
      <c r="H41" s="8"/>
      <c r="I41" s="8">
        <v>148862</v>
      </c>
      <c r="J41" s="8"/>
      <c r="K41" s="8">
        <v>742492</v>
      </c>
      <c r="L41" s="8"/>
      <c r="M41" s="8">
        <v>3318776</v>
      </c>
      <c r="N41" s="8"/>
      <c r="O41" s="8">
        <v>7325</v>
      </c>
      <c r="P41" s="8"/>
      <c r="Q41" s="8">
        <f>154346+1104138</f>
        <v>1258484</v>
      </c>
      <c r="R41" s="8"/>
      <c r="S41" s="7">
        <f t="shared" si="1"/>
        <v>126513</v>
      </c>
      <c r="T41" s="8"/>
      <c r="U41" s="8">
        <v>13733521</v>
      </c>
      <c r="V41" s="7"/>
      <c r="W41" s="8">
        <f>133436+4000+67711+984289</f>
        <v>1189436</v>
      </c>
    </row>
    <row r="42" spans="1:24" ht="12.75" customHeight="1" x14ac:dyDescent="0.2">
      <c r="A42" s="7" t="s">
        <v>509</v>
      </c>
      <c r="C42" s="7" t="s">
        <v>59</v>
      </c>
      <c r="D42" s="6"/>
      <c r="E42" s="8">
        <v>491496</v>
      </c>
      <c r="F42" s="8"/>
      <c r="G42" s="8">
        <v>1821872</v>
      </c>
      <c r="H42" s="8"/>
      <c r="I42" s="8">
        <v>0</v>
      </c>
      <c r="J42" s="8"/>
      <c r="K42" s="8">
        <v>156556</v>
      </c>
      <c r="L42" s="8"/>
      <c r="M42" s="8">
        <v>1630309</v>
      </c>
      <c r="N42" s="8"/>
      <c r="O42" s="8">
        <v>0</v>
      </c>
      <c r="P42" s="8"/>
      <c r="Q42" s="8">
        <v>577546</v>
      </c>
      <c r="R42" s="8"/>
      <c r="S42" s="7">
        <f t="shared" ref="S42" si="3">+U42-SUM(E42:Q42)</f>
        <v>219213</v>
      </c>
      <c r="T42" s="8"/>
      <c r="U42" s="8">
        <v>4896992</v>
      </c>
      <c r="V42" s="7"/>
      <c r="W42" s="8">
        <v>55000</v>
      </c>
    </row>
    <row r="43" spans="1:24" ht="12.75" customHeight="1" x14ac:dyDescent="0.2">
      <c r="A43" s="7" t="s">
        <v>470</v>
      </c>
      <c r="C43" s="7" t="s">
        <v>13</v>
      </c>
      <c r="D43" s="6"/>
      <c r="E43" s="8">
        <v>340925</v>
      </c>
      <c r="F43" s="8"/>
      <c r="G43" s="8">
        <v>2209364</v>
      </c>
      <c r="H43" s="8"/>
      <c r="I43" s="8">
        <v>0</v>
      </c>
      <c r="J43" s="8"/>
      <c r="K43" s="8">
        <v>170362</v>
      </c>
      <c r="L43" s="8"/>
      <c r="M43" s="8">
        <v>479962</v>
      </c>
      <c r="N43" s="8"/>
      <c r="O43" s="8">
        <v>0</v>
      </c>
      <c r="P43" s="8"/>
      <c r="Q43" s="8">
        <v>70872</v>
      </c>
      <c r="R43" s="8"/>
      <c r="S43" s="7">
        <f t="shared" si="1"/>
        <v>68253</v>
      </c>
      <c r="T43" s="8"/>
      <c r="U43" s="8">
        <v>3339738</v>
      </c>
      <c r="V43" s="7"/>
      <c r="W43" s="8">
        <f>93047+1290000</f>
        <v>1383047</v>
      </c>
    </row>
    <row r="44" spans="1:24" ht="12.75" customHeight="1" x14ac:dyDescent="0.2">
      <c r="A44" s="7" t="s">
        <v>493</v>
      </c>
      <c r="B44" s="10"/>
      <c r="C44" s="7" t="s">
        <v>41</v>
      </c>
      <c r="D44" s="6"/>
      <c r="E44" s="8">
        <v>442789</v>
      </c>
      <c r="F44" s="8"/>
      <c r="G44" s="8">
        <v>4118270</v>
      </c>
      <c r="H44" s="8"/>
      <c r="I44" s="8">
        <v>102367</v>
      </c>
      <c r="J44" s="8"/>
      <c r="K44" s="8">
        <v>125582</v>
      </c>
      <c r="L44" s="8"/>
      <c r="M44" s="8">
        <v>3307557</v>
      </c>
      <c r="N44" s="8"/>
      <c r="O44" s="8">
        <v>124802</v>
      </c>
      <c r="P44" s="8"/>
      <c r="Q44" s="8">
        <v>344958</v>
      </c>
      <c r="R44" s="8"/>
      <c r="S44" s="7">
        <f t="shared" si="1"/>
        <v>278706</v>
      </c>
      <c r="T44" s="8"/>
      <c r="U44" s="8">
        <v>8845031</v>
      </c>
      <c r="V44" s="7"/>
      <c r="W44" s="8">
        <f>1500000+992693+10098</f>
        <v>2502791</v>
      </c>
    </row>
    <row r="45" spans="1:24" ht="12.75" customHeight="1" x14ac:dyDescent="0.2">
      <c r="A45" s="7" t="s">
        <v>58</v>
      </c>
      <c r="C45" s="7" t="s">
        <v>59</v>
      </c>
      <c r="D45" s="6"/>
      <c r="E45" s="8">
        <v>504931</v>
      </c>
      <c r="F45" s="8"/>
      <c r="G45" s="8">
        <v>2674400</v>
      </c>
      <c r="H45" s="8"/>
      <c r="I45" s="8">
        <v>63275</v>
      </c>
      <c r="J45" s="8"/>
      <c r="K45" s="8">
        <v>365433</v>
      </c>
      <c r="L45" s="8"/>
      <c r="M45" s="8">
        <v>1602021</v>
      </c>
      <c r="N45" s="8"/>
      <c r="O45" s="8">
        <v>31781</v>
      </c>
      <c r="P45" s="8"/>
      <c r="Q45" s="8">
        <f>103515+67181</f>
        <v>170696</v>
      </c>
      <c r="R45" s="8"/>
      <c r="S45" s="7">
        <f t="shared" si="1"/>
        <v>85180</v>
      </c>
      <c r="T45" s="8"/>
      <c r="U45" s="8">
        <v>5497717</v>
      </c>
      <c r="V45" s="7"/>
      <c r="W45" s="8">
        <v>196924</v>
      </c>
    </row>
    <row r="46" spans="1:24" ht="12.75" hidden="1" customHeight="1" x14ac:dyDescent="0.2">
      <c r="A46" s="7" t="s">
        <v>60</v>
      </c>
      <c r="C46" s="7" t="s">
        <v>13</v>
      </c>
      <c r="D46" s="6"/>
      <c r="E46" s="8">
        <v>3392212</v>
      </c>
      <c r="F46" s="8"/>
      <c r="G46" s="8">
        <v>44401532</v>
      </c>
      <c r="H46" s="8"/>
      <c r="I46" s="8">
        <v>0</v>
      </c>
      <c r="J46" s="8"/>
      <c r="K46" s="8">
        <v>12025673</v>
      </c>
      <c r="L46" s="8"/>
      <c r="M46" s="8">
        <v>8442716</v>
      </c>
      <c r="N46" s="8"/>
      <c r="O46" s="8">
        <v>0</v>
      </c>
      <c r="P46" s="8"/>
      <c r="Q46" s="8">
        <f>1558750+484718</f>
        <v>2043468</v>
      </c>
      <c r="R46" s="8"/>
      <c r="S46" s="7">
        <f t="shared" si="1"/>
        <v>12670224</v>
      </c>
      <c r="T46" s="8"/>
      <c r="U46" s="8">
        <v>82975825</v>
      </c>
      <c r="V46" s="7"/>
      <c r="W46" s="8">
        <f>40087+25960+65000</f>
        <v>131047</v>
      </c>
      <c r="X46" s="7"/>
    </row>
    <row r="47" spans="1:24" ht="12.75" hidden="1" customHeight="1" x14ac:dyDescent="0.2">
      <c r="A47" s="7" t="s">
        <v>479</v>
      </c>
      <c r="C47" s="7" t="s">
        <v>109</v>
      </c>
      <c r="D47" s="6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7">
        <f t="shared" si="1"/>
        <v>0</v>
      </c>
      <c r="T47" s="8"/>
      <c r="U47" s="8"/>
      <c r="V47" s="7"/>
      <c r="W47" s="8"/>
      <c r="X47" s="7"/>
    </row>
    <row r="48" spans="1:24" ht="12.75" customHeight="1" x14ac:dyDescent="0.2">
      <c r="A48" s="7" t="s">
        <v>61</v>
      </c>
      <c r="C48" s="7" t="s">
        <v>62</v>
      </c>
      <c r="D48" s="6"/>
      <c r="E48" s="8">
        <v>355416</v>
      </c>
      <c r="F48" s="8"/>
      <c r="G48" s="8">
        <v>4851673</v>
      </c>
      <c r="H48" s="8"/>
      <c r="I48" s="8">
        <f>961734+556035</f>
        <v>1517769</v>
      </c>
      <c r="J48" s="8"/>
      <c r="K48" s="8">
        <v>351371</v>
      </c>
      <c r="L48" s="8"/>
      <c r="M48" s="8">
        <v>2343595</v>
      </c>
      <c r="N48" s="8"/>
      <c r="O48" s="8">
        <v>7800</v>
      </c>
      <c r="P48" s="8"/>
      <c r="Q48" s="8">
        <f>80544+340252</f>
        <v>420796</v>
      </c>
      <c r="R48" s="8"/>
      <c r="S48" s="7">
        <f t="shared" si="1"/>
        <v>828850</v>
      </c>
      <c r="T48" s="8"/>
      <c r="U48" s="8">
        <v>10677270</v>
      </c>
      <c r="V48" s="7"/>
      <c r="W48" s="8">
        <f>1000000+105793+1832967</f>
        <v>2938760</v>
      </c>
    </row>
    <row r="49" spans="1:23" ht="12.75" customHeight="1" x14ac:dyDescent="0.2">
      <c r="A49" s="7" t="s">
        <v>63</v>
      </c>
      <c r="C49" s="7" t="s">
        <v>64</v>
      </c>
      <c r="D49" s="6"/>
      <c r="E49" s="8">
        <v>13478234</v>
      </c>
      <c r="F49" s="8"/>
      <c r="G49" s="8">
        <v>0</v>
      </c>
      <c r="H49" s="8"/>
      <c r="I49" s="8">
        <v>0</v>
      </c>
      <c r="J49" s="8"/>
      <c r="K49" s="8">
        <v>346123</v>
      </c>
      <c r="L49" s="8"/>
      <c r="M49" s="8">
        <v>3737724</v>
      </c>
      <c r="N49" s="8"/>
      <c r="O49" s="8">
        <v>664390</v>
      </c>
      <c r="P49" s="8"/>
      <c r="Q49" s="8">
        <v>357324</v>
      </c>
      <c r="R49" s="8"/>
      <c r="S49" s="7">
        <f t="shared" si="1"/>
        <v>475025</v>
      </c>
      <c r="T49" s="8"/>
      <c r="U49" s="8">
        <v>19058820</v>
      </c>
      <c r="V49" s="7"/>
      <c r="W49" s="8">
        <f>1514+3065000</f>
        <v>3066514</v>
      </c>
    </row>
    <row r="50" spans="1:23" ht="12.75" hidden="1" customHeight="1" x14ac:dyDescent="0.2">
      <c r="A50" s="7" t="s">
        <v>65</v>
      </c>
      <c r="C50" s="7" t="s">
        <v>373</v>
      </c>
      <c r="D50" s="6"/>
      <c r="E50" s="8">
        <v>1120500</v>
      </c>
      <c r="F50" s="8"/>
      <c r="G50" s="8">
        <v>5488804</v>
      </c>
      <c r="H50" s="8"/>
      <c r="I50" s="8">
        <v>0</v>
      </c>
      <c r="J50" s="8"/>
      <c r="K50" s="8">
        <v>338073</v>
      </c>
      <c r="L50" s="8"/>
      <c r="M50" s="8">
        <v>1273139</v>
      </c>
      <c r="N50" s="8"/>
      <c r="O50" s="8">
        <v>163019</v>
      </c>
      <c r="P50" s="8"/>
      <c r="Q50" s="8">
        <f>155337+1297823</f>
        <v>1453160</v>
      </c>
      <c r="R50" s="8"/>
      <c r="S50" s="7">
        <f t="shared" si="1"/>
        <v>419161</v>
      </c>
      <c r="T50" s="8"/>
      <c r="U50" s="8">
        <v>10255856</v>
      </c>
      <c r="V50" s="7"/>
      <c r="W50" s="8">
        <f>61377+1325+820000</f>
        <v>882702</v>
      </c>
    </row>
    <row r="51" spans="1:23" ht="12.75" customHeight="1" x14ac:dyDescent="0.2">
      <c r="A51" s="7" t="s">
        <v>66</v>
      </c>
      <c r="C51" s="7" t="s">
        <v>43</v>
      </c>
      <c r="D51" s="6"/>
      <c r="E51" s="8">
        <v>1604785</v>
      </c>
      <c r="F51" s="8"/>
      <c r="G51" s="8">
        <v>1597323</v>
      </c>
      <c r="H51" s="8"/>
      <c r="I51" s="8">
        <v>69594</v>
      </c>
      <c r="J51" s="8"/>
      <c r="K51" s="8">
        <v>167151</v>
      </c>
      <c r="L51" s="8"/>
      <c r="M51" s="8">
        <v>1374646</v>
      </c>
      <c r="N51" s="8"/>
      <c r="O51" s="8">
        <v>0</v>
      </c>
      <c r="P51" s="8"/>
      <c r="Q51" s="8">
        <f>32492+101531</f>
        <v>134023</v>
      </c>
      <c r="R51" s="8"/>
      <c r="S51" s="7">
        <f t="shared" si="1"/>
        <v>122302</v>
      </c>
      <c r="T51" s="8"/>
      <c r="U51" s="8">
        <v>5069824</v>
      </c>
      <c r="V51" s="7"/>
      <c r="W51" s="8">
        <f>455000+8000</f>
        <v>463000</v>
      </c>
    </row>
    <row r="52" spans="1:23" ht="12.75" hidden="1" customHeight="1" x14ac:dyDescent="0.2">
      <c r="A52" s="7" t="s">
        <v>67</v>
      </c>
      <c r="C52" s="7" t="s">
        <v>68</v>
      </c>
      <c r="D52" s="6"/>
      <c r="E52" s="8">
        <v>1132782</v>
      </c>
      <c r="F52" s="8"/>
      <c r="G52" s="8">
        <v>10877683</v>
      </c>
      <c r="H52" s="8"/>
      <c r="I52" s="8">
        <v>207975</v>
      </c>
      <c r="J52" s="8"/>
      <c r="K52" s="8">
        <v>3957405</v>
      </c>
      <c r="L52" s="8"/>
      <c r="M52" s="8">
        <v>6694860</v>
      </c>
      <c r="N52" s="8"/>
      <c r="O52" s="8">
        <v>34087</v>
      </c>
      <c r="P52" s="8"/>
      <c r="Q52" s="8">
        <v>1658779</v>
      </c>
      <c r="R52" s="8"/>
      <c r="S52" s="7">
        <f t="shared" si="1"/>
        <v>487152</v>
      </c>
      <c r="T52" s="8"/>
      <c r="U52" s="8">
        <v>25050723</v>
      </c>
      <c r="V52" s="7"/>
      <c r="W52" s="8">
        <f>209155+2503682</f>
        <v>2712837</v>
      </c>
    </row>
    <row r="53" spans="1:23" ht="12.75" customHeight="1" x14ac:dyDescent="0.2">
      <c r="A53" s="7" t="s">
        <v>69</v>
      </c>
      <c r="C53" s="7" t="s">
        <v>43</v>
      </c>
      <c r="D53" s="6"/>
      <c r="E53" s="8">
        <v>378812000</v>
      </c>
      <c r="F53" s="8"/>
      <c r="G53" s="8">
        <v>0</v>
      </c>
      <c r="H53" s="8"/>
      <c r="I53" s="8">
        <v>0</v>
      </c>
      <c r="J53" s="8"/>
      <c r="K53" s="8">
        <v>37738000</v>
      </c>
      <c r="L53" s="8"/>
      <c r="M53" s="8">
        <v>74867000</v>
      </c>
      <c r="N53" s="8"/>
      <c r="O53" s="8">
        <v>5058000</v>
      </c>
      <c r="P53" s="8"/>
      <c r="Q53" s="8">
        <v>10624000</v>
      </c>
      <c r="R53" s="8"/>
      <c r="S53" s="7">
        <f t="shared" si="1"/>
        <v>148217000</v>
      </c>
      <c r="T53" s="8"/>
      <c r="U53" s="8">
        <v>655316000</v>
      </c>
      <c r="V53" s="7"/>
      <c r="W53" s="8">
        <f>89155000+49325000+17700000+115744000</f>
        <v>271924000</v>
      </c>
    </row>
    <row r="54" spans="1:23" ht="12.75" customHeight="1" x14ac:dyDescent="0.2">
      <c r="A54" s="7" t="s">
        <v>459</v>
      </c>
      <c r="C54" s="7" t="s">
        <v>460</v>
      </c>
      <c r="D54" s="6"/>
      <c r="E54" s="8">
        <v>848237</v>
      </c>
      <c r="F54" s="8"/>
      <c r="G54" s="8">
        <v>4791783</v>
      </c>
      <c r="H54" s="8"/>
      <c r="I54" s="8">
        <v>206162</v>
      </c>
      <c r="J54" s="8"/>
      <c r="K54" s="8">
        <v>945688</v>
      </c>
      <c r="L54" s="8"/>
      <c r="M54" s="8">
        <v>1920659</v>
      </c>
      <c r="N54" s="8"/>
      <c r="O54" s="8">
        <v>523</v>
      </c>
      <c r="P54" s="8"/>
      <c r="Q54" s="8">
        <f>59001+998064</f>
        <v>1057065</v>
      </c>
      <c r="R54" s="8"/>
      <c r="S54" s="7">
        <f t="shared" si="1"/>
        <v>213604</v>
      </c>
      <c r="T54" s="8"/>
      <c r="U54" s="8">
        <v>9983721</v>
      </c>
      <c r="V54" s="7"/>
      <c r="W54" s="8">
        <f>14200+170000+58570</f>
        <v>242770</v>
      </c>
    </row>
    <row r="55" spans="1:23" ht="12.75" customHeight="1" x14ac:dyDescent="0.2">
      <c r="A55" s="7" t="s">
        <v>70</v>
      </c>
      <c r="C55" s="7" t="s">
        <v>64</v>
      </c>
      <c r="D55" s="19"/>
      <c r="E55" s="8">
        <v>2374876</v>
      </c>
      <c r="F55" s="8"/>
      <c r="G55" s="8">
        <v>2682476</v>
      </c>
      <c r="H55" s="8"/>
      <c r="I55" s="8">
        <f>332380+284328</f>
        <v>616708</v>
      </c>
      <c r="J55" s="8"/>
      <c r="K55" s="8">
        <v>1078970</v>
      </c>
      <c r="L55" s="8"/>
      <c r="M55" s="8">
        <v>1487288</v>
      </c>
      <c r="N55" s="8"/>
      <c r="O55" s="8">
        <v>34419</v>
      </c>
      <c r="P55" s="8"/>
      <c r="Q55" s="8">
        <f>5572+25488</f>
        <v>31060</v>
      </c>
      <c r="R55" s="8"/>
      <c r="S55" s="7">
        <f t="shared" si="1"/>
        <v>200113</v>
      </c>
      <c r="T55" s="8"/>
      <c r="U55" s="8">
        <v>8505910</v>
      </c>
      <c r="V55" s="7"/>
      <c r="W55" s="8">
        <f>435389+185433+871050</f>
        <v>1491872</v>
      </c>
    </row>
    <row r="56" spans="1:23" ht="12.75" customHeight="1" x14ac:dyDescent="0.2">
      <c r="A56" s="7" t="s">
        <v>71</v>
      </c>
      <c r="C56" s="7" t="s">
        <v>25</v>
      </c>
      <c r="D56" s="6"/>
      <c r="E56" s="8">
        <v>55312000</v>
      </c>
      <c r="F56" s="8"/>
      <c r="G56" s="8">
        <v>331118000</v>
      </c>
      <c r="H56" s="8"/>
      <c r="I56" s="8">
        <v>86084000</v>
      </c>
      <c r="J56" s="8"/>
      <c r="K56" s="8">
        <v>41436000</v>
      </c>
      <c r="L56" s="8"/>
      <c r="M56" s="8">
        <v>31821000</v>
      </c>
      <c r="N56" s="8"/>
      <c r="O56" s="8">
        <v>0</v>
      </c>
      <c r="P56" s="8"/>
      <c r="Q56" s="8">
        <v>26830000</v>
      </c>
      <c r="R56" s="8"/>
      <c r="S56" s="7">
        <f t="shared" si="1"/>
        <v>165396000</v>
      </c>
      <c r="T56" s="8"/>
      <c r="U56" s="8">
        <v>737997000</v>
      </c>
      <c r="V56" s="7"/>
      <c r="W56" s="8">
        <f>59830000+82945000+8770000+324000+6507000</f>
        <v>158376000</v>
      </c>
    </row>
    <row r="57" spans="1:23" ht="12.75" customHeight="1" x14ac:dyDescent="0.2">
      <c r="A57" s="7" t="s">
        <v>72</v>
      </c>
      <c r="C57" s="7" t="s">
        <v>25</v>
      </c>
      <c r="D57" s="6"/>
      <c r="E57" s="8">
        <v>9906172</v>
      </c>
      <c r="F57" s="8"/>
      <c r="G57" s="8">
        <v>23022254</v>
      </c>
      <c r="H57" s="8"/>
      <c r="I57" s="8">
        <v>1674194</v>
      </c>
      <c r="J57" s="8"/>
      <c r="K57" s="8">
        <v>4683331</v>
      </c>
      <c r="L57" s="8"/>
      <c r="M57" s="8">
        <v>8929394</v>
      </c>
      <c r="N57" s="8"/>
      <c r="O57" s="8">
        <v>1982802</v>
      </c>
      <c r="P57" s="8"/>
      <c r="Q57" s="8">
        <f>2431223+2937542</f>
        <v>5368765</v>
      </c>
      <c r="R57" s="8"/>
      <c r="S57" s="7">
        <f t="shared" si="1"/>
        <v>3272470</v>
      </c>
      <c r="T57" s="8"/>
      <c r="U57" s="8">
        <v>58839382</v>
      </c>
      <c r="V57" s="7"/>
      <c r="W57" s="8">
        <f>128697+24540+3982694</f>
        <v>4135931</v>
      </c>
    </row>
    <row r="58" spans="1:23" ht="12.75" customHeight="1" x14ac:dyDescent="0.2">
      <c r="A58" s="7" t="s">
        <v>73</v>
      </c>
      <c r="C58" s="7" t="s">
        <v>74</v>
      </c>
      <c r="D58" s="6"/>
      <c r="E58" s="8">
        <v>567349</v>
      </c>
      <c r="F58" s="8"/>
      <c r="G58" s="8">
        <v>4012962</v>
      </c>
      <c r="H58" s="8"/>
      <c r="I58" s="8">
        <v>0</v>
      </c>
      <c r="J58" s="8"/>
      <c r="K58" s="8">
        <v>337782</v>
      </c>
      <c r="L58" s="8"/>
      <c r="M58" s="8">
        <v>1922192</v>
      </c>
      <c r="N58" s="8"/>
      <c r="O58" s="8">
        <v>86441</v>
      </c>
      <c r="P58" s="8"/>
      <c r="Q58" s="8">
        <f>46895+13222</f>
        <v>60117</v>
      </c>
      <c r="R58" s="8"/>
      <c r="S58" s="7">
        <f t="shared" si="1"/>
        <v>210058</v>
      </c>
      <c r="T58" s="8"/>
      <c r="U58" s="8">
        <v>7196901</v>
      </c>
      <c r="V58" s="7"/>
      <c r="W58" s="8">
        <f>1704250+235000+1836+546470</f>
        <v>2487556</v>
      </c>
    </row>
    <row r="59" spans="1:23" ht="12.75" hidden="1" customHeight="1" x14ac:dyDescent="0.2">
      <c r="A59" s="7" t="s">
        <v>75</v>
      </c>
      <c r="C59" s="7" t="s">
        <v>41</v>
      </c>
      <c r="D59" s="6"/>
      <c r="E59" s="8">
        <v>44812000</v>
      </c>
      <c r="F59" s="8"/>
      <c r="G59" s="8">
        <v>692845000</v>
      </c>
      <c r="H59" s="8"/>
      <c r="I59" s="8">
        <v>0</v>
      </c>
      <c r="J59" s="8"/>
      <c r="K59" s="8">
        <v>92423000</v>
      </c>
      <c r="L59" s="8"/>
      <c r="M59" s="8">
        <v>77730000</v>
      </c>
      <c r="N59" s="8"/>
      <c r="O59" s="8">
        <v>0</v>
      </c>
      <c r="P59" s="8"/>
      <c r="Q59" s="8">
        <f>32003000+28749000</f>
        <v>60752000</v>
      </c>
      <c r="R59" s="8"/>
      <c r="S59" s="7">
        <f t="shared" si="1"/>
        <v>231133000</v>
      </c>
      <c r="T59" s="8"/>
      <c r="U59" s="8">
        <v>1199695000</v>
      </c>
      <c r="V59" s="7"/>
      <c r="W59" s="8">
        <f>75228000+165745000+192195000+54392000</f>
        <v>487560000</v>
      </c>
    </row>
    <row r="60" spans="1:23" ht="12.75" customHeight="1" x14ac:dyDescent="0.2">
      <c r="A60" s="7" t="s">
        <v>92</v>
      </c>
      <c r="C60" s="7" t="s">
        <v>92</v>
      </c>
      <c r="D60" s="6"/>
      <c r="E60" s="8">
        <v>2572080</v>
      </c>
      <c r="F60" s="8"/>
      <c r="G60" s="8">
        <v>0</v>
      </c>
      <c r="H60" s="8"/>
      <c r="I60" s="8">
        <v>46240</v>
      </c>
      <c r="J60" s="8"/>
      <c r="K60" s="8">
        <v>259350</v>
      </c>
      <c r="L60" s="8"/>
      <c r="M60" s="8">
        <v>2002991</v>
      </c>
      <c r="N60" s="8"/>
      <c r="O60" s="8">
        <v>0</v>
      </c>
      <c r="P60" s="8"/>
      <c r="Q60" s="8">
        <f>102771+37883</f>
        <v>140654</v>
      </c>
      <c r="R60" s="8"/>
      <c r="S60" s="7">
        <f t="shared" si="1"/>
        <v>83466</v>
      </c>
      <c r="T60" s="8"/>
      <c r="U60" s="8">
        <v>5104781</v>
      </c>
      <c r="V60" s="7"/>
      <c r="W60" s="8">
        <f>322766+1039000</f>
        <v>1361766</v>
      </c>
    </row>
    <row r="61" spans="1:23" ht="12.75" customHeight="1" x14ac:dyDescent="0.2">
      <c r="A61" s="7" t="s">
        <v>76</v>
      </c>
      <c r="C61" s="7" t="s">
        <v>17</v>
      </c>
      <c r="D61" s="6"/>
      <c r="E61" s="8">
        <v>1021308</v>
      </c>
      <c r="F61" s="8"/>
      <c r="G61" s="8">
        <v>3067806</v>
      </c>
      <c r="H61" s="8"/>
      <c r="I61" s="8">
        <f>20477+145880</f>
        <v>166357</v>
      </c>
      <c r="J61" s="8"/>
      <c r="K61" s="8">
        <v>60839</v>
      </c>
      <c r="L61" s="8"/>
      <c r="M61" s="8">
        <v>2175439</v>
      </c>
      <c r="N61" s="8"/>
      <c r="O61" s="8">
        <v>149561</v>
      </c>
      <c r="P61" s="8"/>
      <c r="Q61" s="8">
        <f>646370+281892</f>
        <v>928262</v>
      </c>
      <c r="R61" s="8"/>
      <c r="S61" s="7">
        <f t="shared" si="1"/>
        <v>145235</v>
      </c>
      <c r="T61" s="8"/>
      <c r="U61" s="8">
        <v>7714807</v>
      </c>
      <c r="V61" s="7"/>
      <c r="W61" s="8">
        <f>544352+343000+14240+358098</f>
        <v>1259690</v>
      </c>
    </row>
    <row r="62" spans="1:23" ht="12.75" customHeight="1" x14ac:dyDescent="0.2">
      <c r="A62" s="7" t="s">
        <v>77</v>
      </c>
      <c r="C62" s="7" t="s">
        <v>78</v>
      </c>
      <c r="D62" s="6"/>
      <c r="E62" s="8">
        <v>2067209</v>
      </c>
      <c r="F62" s="8"/>
      <c r="G62" s="8">
        <v>0</v>
      </c>
      <c r="H62" s="8"/>
      <c r="I62" s="8">
        <v>0</v>
      </c>
      <c r="J62" s="8"/>
      <c r="K62" s="8">
        <v>358115</v>
      </c>
      <c r="L62" s="8"/>
      <c r="M62" s="8">
        <v>1799081</v>
      </c>
      <c r="N62" s="8"/>
      <c r="O62" s="8">
        <v>0</v>
      </c>
      <c r="P62" s="8"/>
      <c r="Q62" s="8">
        <f>79267+7817</f>
        <v>87084</v>
      </c>
      <c r="R62" s="8"/>
      <c r="S62" s="7">
        <f t="shared" si="1"/>
        <v>30481</v>
      </c>
      <c r="T62" s="8"/>
      <c r="U62" s="8">
        <v>4341970</v>
      </c>
      <c r="V62" s="7"/>
      <c r="W62" s="8">
        <f>999+160000</f>
        <v>160999</v>
      </c>
    </row>
    <row r="63" spans="1:23" ht="12.75" customHeight="1" x14ac:dyDescent="0.2">
      <c r="A63" s="7" t="s">
        <v>79</v>
      </c>
      <c r="C63" s="7" t="s">
        <v>79</v>
      </c>
      <c r="D63" s="6"/>
      <c r="E63" s="8">
        <v>529211</v>
      </c>
      <c r="F63" s="8"/>
      <c r="G63" s="8">
        <v>4139519</v>
      </c>
      <c r="H63" s="8"/>
      <c r="I63" s="8">
        <v>163980</v>
      </c>
      <c r="J63" s="8"/>
      <c r="K63" s="8">
        <v>1128503</v>
      </c>
      <c r="L63" s="8"/>
      <c r="M63" s="8">
        <v>1607386</v>
      </c>
      <c r="N63" s="8"/>
      <c r="O63" s="8">
        <v>4581</v>
      </c>
      <c r="P63" s="8"/>
      <c r="Q63" s="8">
        <f>142821+95376</f>
        <v>238197</v>
      </c>
      <c r="R63" s="8"/>
      <c r="S63" s="7">
        <f t="shared" si="1"/>
        <v>92139</v>
      </c>
      <c r="T63" s="8"/>
      <c r="U63" s="8">
        <v>7903516</v>
      </c>
      <c r="V63" s="7"/>
      <c r="W63" s="8">
        <v>6348</v>
      </c>
    </row>
    <row r="64" spans="1:23" ht="12.75" hidden="1" customHeight="1" x14ac:dyDescent="0.2">
      <c r="A64" s="10" t="s">
        <v>461</v>
      </c>
      <c r="B64" s="10"/>
      <c r="C64" s="10" t="s">
        <v>55</v>
      </c>
      <c r="D64" s="6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7">
        <f t="shared" si="1"/>
        <v>0</v>
      </c>
      <c r="T64" s="8"/>
      <c r="U64" s="8"/>
      <c r="V64" s="7"/>
      <c r="W64" s="8"/>
    </row>
    <row r="65" spans="1:23" ht="12.75" hidden="1" customHeight="1" x14ac:dyDescent="0.2">
      <c r="A65" s="7" t="s">
        <v>80</v>
      </c>
      <c r="C65" s="7" t="s">
        <v>11</v>
      </c>
      <c r="D65" s="6"/>
      <c r="E65" s="8">
        <v>9233359</v>
      </c>
      <c r="F65" s="8"/>
      <c r="G65" s="8">
        <v>19433228</v>
      </c>
      <c r="H65" s="8"/>
      <c r="I65" s="8">
        <v>640969</v>
      </c>
      <c r="J65" s="8"/>
      <c r="K65" s="8">
        <v>5197180</v>
      </c>
      <c r="L65" s="8"/>
      <c r="M65" s="8">
        <f>7237038+3728442</f>
        <v>10965480</v>
      </c>
      <c r="N65" s="8"/>
      <c r="O65" s="8">
        <v>184556</v>
      </c>
      <c r="P65" s="8"/>
      <c r="Q65" s="8">
        <f>885612+308788</f>
        <v>1194400</v>
      </c>
      <c r="R65" s="8"/>
      <c r="S65" s="7">
        <f t="shared" si="1"/>
        <v>1054674</v>
      </c>
      <c r="T65" s="8"/>
      <c r="U65" s="8">
        <v>47903846</v>
      </c>
      <c r="V65" s="7"/>
      <c r="W65" s="8">
        <v>22953663</v>
      </c>
    </row>
    <row r="66" spans="1:23" s="57" customFormat="1" ht="12.75" customHeight="1" x14ac:dyDescent="0.2">
      <c r="A66" s="9" t="s">
        <v>81</v>
      </c>
      <c r="C66" s="9" t="s">
        <v>64</v>
      </c>
      <c r="D66" s="6"/>
      <c r="E66" s="8">
        <v>13117426</v>
      </c>
      <c r="F66" s="8"/>
      <c r="G66" s="8">
        <v>100450896</v>
      </c>
      <c r="H66" s="8"/>
      <c r="I66" s="8">
        <v>15018105</v>
      </c>
      <c r="J66" s="8"/>
      <c r="K66" s="8">
        <v>27256576</v>
      </c>
      <c r="L66" s="8"/>
      <c r="M66" s="8">
        <v>45662634</v>
      </c>
      <c r="N66" s="8"/>
      <c r="O66" s="8">
        <v>297589</v>
      </c>
      <c r="P66" s="8"/>
      <c r="Q66" s="8">
        <f>1616712+5926766</f>
        <v>7543478</v>
      </c>
      <c r="R66" s="8"/>
      <c r="S66" s="7">
        <f t="shared" si="1"/>
        <v>9094175</v>
      </c>
      <c r="T66" s="8"/>
      <c r="U66" s="8">
        <v>218440879</v>
      </c>
      <c r="V66" s="7"/>
      <c r="W66" s="8">
        <f>35555000+8590551+5435222</f>
        <v>49580773</v>
      </c>
    </row>
    <row r="67" spans="1:23" ht="12.75" customHeight="1" x14ac:dyDescent="0.2">
      <c r="A67" s="7" t="s">
        <v>82</v>
      </c>
      <c r="C67" s="7" t="s">
        <v>43</v>
      </c>
      <c r="D67" s="6"/>
      <c r="E67" s="8">
        <v>2024642</v>
      </c>
      <c r="F67" s="8"/>
      <c r="G67" s="8">
        <v>0</v>
      </c>
      <c r="H67" s="8"/>
      <c r="I67" s="8">
        <v>0</v>
      </c>
      <c r="J67" s="8"/>
      <c r="K67" s="8">
        <v>97247</v>
      </c>
      <c r="L67" s="8"/>
      <c r="M67" s="8">
        <v>1386449</v>
      </c>
      <c r="N67" s="8"/>
      <c r="O67" s="8">
        <v>0</v>
      </c>
      <c r="P67" s="8"/>
      <c r="Q67" s="8">
        <v>75051</v>
      </c>
      <c r="R67" s="8"/>
      <c r="S67" s="7">
        <f t="shared" si="1"/>
        <v>18739</v>
      </c>
      <c r="T67" s="8"/>
      <c r="U67" s="8">
        <v>3602128</v>
      </c>
      <c r="V67" s="7"/>
      <c r="W67" s="8">
        <f>301741+2120000+246378+6500</f>
        <v>2674619</v>
      </c>
    </row>
    <row r="68" spans="1:23" s="57" customFormat="1" ht="12.75" customHeight="1" x14ac:dyDescent="0.2">
      <c r="A68" s="7" t="s">
        <v>83</v>
      </c>
      <c r="B68" s="56"/>
      <c r="C68" s="7" t="s">
        <v>83</v>
      </c>
      <c r="D68" s="6"/>
      <c r="E68" s="8">
        <v>937902</v>
      </c>
      <c r="F68" s="8"/>
      <c r="G68" s="8">
        <v>6934078</v>
      </c>
      <c r="H68" s="8"/>
      <c r="I68" s="8">
        <v>66732</v>
      </c>
      <c r="J68" s="8"/>
      <c r="K68" s="8">
        <v>671448</v>
      </c>
      <c r="L68" s="8"/>
      <c r="M68" s="8">
        <v>2943779</v>
      </c>
      <c r="N68" s="8"/>
      <c r="O68" s="8">
        <v>40992</v>
      </c>
      <c r="P68" s="8"/>
      <c r="Q68" s="8">
        <f>259187+796536</f>
        <v>1055723</v>
      </c>
      <c r="R68" s="8"/>
      <c r="S68" s="11">
        <f>+U68-SUM(E68:Q68)</f>
        <v>293752</v>
      </c>
      <c r="T68" s="8"/>
      <c r="U68" s="16">
        <v>12944406</v>
      </c>
      <c r="V68" s="11"/>
      <c r="W68" s="11">
        <f>410000+1112332</f>
        <v>1522332</v>
      </c>
    </row>
    <row r="69" spans="1:23" s="57" customFormat="1" ht="12.75" hidden="1" customHeight="1" x14ac:dyDescent="0.2">
      <c r="A69" s="7" t="s">
        <v>84</v>
      </c>
      <c r="B69" s="56"/>
      <c r="C69" s="7" t="s">
        <v>84</v>
      </c>
      <c r="D69" s="6"/>
      <c r="E69" s="8">
        <v>1685641</v>
      </c>
      <c r="F69" s="8"/>
      <c r="G69" s="8">
        <v>18435254</v>
      </c>
      <c r="H69" s="8"/>
      <c r="I69" s="8">
        <f>51455+658991</f>
        <v>710446</v>
      </c>
      <c r="J69" s="8"/>
      <c r="K69" s="8">
        <v>2949115</v>
      </c>
      <c r="L69" s="8"/>
      <c r="M69" s="8">
        <v>4566345</v>
      </c>
      <c r="N69" s="8"/>
      <c r="O69" s="8">
        <v>0</v>
      </c>
      <c r="P69" s="8"/>
      <c r="Q69" s="8">
        <f>772584+2718941</f>
        <v>3491525</v>
      </c>
      <c r="R69" s="8"/>
      <c r="S69" s="11">
        <f>+U69-SUM(E69:Q69)</f>
        <v>1197178</v>
      </c>
      <c r="T69" s="8"/>
      <c r="U69" s="8">
        <v>33035504</v>
      </c>
      <c r="V69" s="11"/>
      <c r="W69" s="8">
        <f>12345+5155407</f>
        <v>5167752</v>
      </c>
    </row>
    <row r="70" spans="1:23" s="58" customFormat="1" ht="12.75" customHeight="1" x14ac:dyDescent="0.2">
      <c r="A70" s="9" t="s">
        <v>85</v>
      </c>
      <c r="B70" s="57"/>
      <c r="C70" s="9" t="s">
        <v>86</v>
      </c>
      <c r="D70" s="19"/>
      <c r="E70" s="8">
        <v>412194</v>
      </c>
      <c r="F70" s="8"/>
      <c r="G70" s="8">
        <v>2352461</v>
      </c>
      <c r="H70" s="8"/>
      <c r="I70" s="8">
        <v>0</v>
      </c>
      <c r="J70" s="8"/>
      <c r="K70" s="8">
        <v>567160</v>
      </c>
      <c r="L70" s="8"/>
      <c r="M70" s="8">
        <v>754625</v>
      </c>
      <c r="N70" s="8"/>
      <c r="O70" s="8">
        <v>0</v>
      </c>
      <c r="P70" s="8"/>
      <c r="Q70" s="8">
        <f>80926+3421</f>
        <v>84347</v>
      </c>
      <c r="R70" s="8"/>
      <c r="S70" s="11">
        <f>+U70-SUM(E70:Q70)</f>
        <v>44278</v>
      </c>
      <c r="T70" s="8"/>
      <c r="U70" s="8">
        <v>4215065</v>
      </c>
      <c r="V70" s="11"/>
      <c r="W70" s="8">
        <f>65878+157577</f>
        <v>223455</v>
      </c>
    </row>
    <row r="71" spans="1:23" ht="12.75" customHeight="1" x14ac:dyDescent="0.2">
      <c r="A71" s="9" t="s">
        <v>392</v>
      </c>
      <c r="B71" s="57"/>
      <c r="C71" s="9" t="s">
        <v>87</v>
      </c>
      <c r="D71" s="6"/>
      <c r="E71" s="8">
        <v>890268</v>
      </c>
      <c r="F71" s="8"/>
      <c r="G71" s="8">
        <v>6609398</v>
      </c>
      <c r="H71" s="8"/>
      <c r="I71" s="8">
        <v>0</v>
      </c>
      <c r="J71" s="8"/>
      <c r="K71" s="8">
        <v>1261803</v>
      </c>
      <c r="L71" s="8"/>
      <c r="M71" s="8">
        <v>2722755</v>
      </c>
      <c r="N71" s="8"/>
      <c r="O71" s="8">
        <v>0</v>
      </c>
      <c r="P71" s="8"/>
      <c r="Q71" s="8">
        <v>60609</v>
      </c>
      <c r="R71" s="8"/>
      <c r="S71" s="7">
        <f t="shared" ref="S71" si="4">+U71-SUM(E71:Q71)</f>
        <v>501705</v>
      </c>
      <c r="T71" s="8"/>
      <c r="U71" s="16">
        <v>12046538</v>
      </c>
      <c r="V71" s="7"/>
      <c r="W71" s="7">
        <v>0</v>
      </c>
    </row>
    <row r="72" spans="1:23" ht="12.75" customHeight="1" x14ac:dyDescent="0.2">
      <c r="A72" s="7" t="s">
        <v>88</v>
      </c>
      <c r="C72" s="7" t="s">
        <v>41</v>
      </c>
      <c r="D72" s="6"/>
      <c r="E72" s="8">
        <v>3458562</v>
      </c>
      <c r="F72" s="8"/>
      <c r="G72" s="8">
        <v>73684325</v>
      </c>
      <c r="H72" s="8"/>
      <c r="I72" s="8">
        <v>1854486</v>
      </c>
      <c r="J72" s="8"/>
      <c r="K72" s="8">
        <v>7306722</v>
      </c>
      <c r="L72" s="8"/>
      <c r="M72" s="8">
        <v>6325147</v>
      </c>
      <c r="N72" s="8"/>
      <c r="O72" s="8">
        <v>247024</v>
      </c>
      <c r="P72" s="8"/>
      <c r="Q72" s="8">
        <v>2990982</v>
      </c>
      <c r="R72" s="8"/>
      <c r="S72" s="7">
        <f t="shared" ref="S72:S86" si="5">+U72-SUM(E72:Q72)</f>
        <v>10424039</v>
      </c>
      <c r="T72" s="8"/>
      <c r="U72" s="8">
        <v>106291287</v>
      </c>
      <c r="V72" s="7"/>
      <c r="W72" s="8">
        <f>5920000+301504+22023361</f>
        <v>28244865</v>
      </c>
    </row>
    <row r="73" spans="1:23" ht="12.75" customHeight="1" x14ac:dyDescent="0.2">
      <c r="A73" s="10" t="s">
        <v>482</v>
      </c>
      <c r="B73" s="10"/>
      <c r="C73" s="10" t="s">
        <v>25</v>
      </c>
      <c r="D73" s="6"/>
      <c r="E73" s="8">
        <v>860878</v>
      </c>
      <c r="F73" s="8"/>
      <c r="G73" s="8">
        <v>8123073</v>
      </c>
      <c r="H73" s="8"/>
      <c r="I73" s="8">
        <v>4471</v>
      </c>
      <c r="J73" s="8"/>
      <c r="K73" s="8">
        <v>1398368</v>
      </c>
      <c r="L73" s="8"/>
      <c r="M73" s="8">
        <v>6302149</v>
      </c>
      <c r="N73" s="8"/>
      <c r="O73" s="8">
        <v>15941</v>
      </c>
      <c r="P73" s="8"/>
      <c r="Q73" s="8">
        <v>533872</v>
      </c>
      <c r="R73" s="8"/>
      <c r="S73" s="7">
        <f t="shared" si="5"/>
        <v>2767013</v>
      </c>
      <c r="T73" s="8"/>
      <c r="U73" s="8">
        <v>20005765</v>
      </c>
      <c r="V73" s="7"/>
      <c r="W73" s="8">
        <f>7231+1031000</f>
        <v>1038231</v>
      </c>
    </row>
    <row r="74" spans="1:23" ht="12.75" customHeight="1" x14ac:dyDescent="0.2">
      <c r="A74" s="7" t="s">
        <v>91</v>
      </c>
      <c r="B74" s="10"/>
      <c r="C74" s="7" t="s">
        <v>92</v>
      </c>
      <c r="D74" s="6"/>
      <c r="E74" s="8">
        <v>861933</v>
      </c>
      <c r="F74" s="8"/>
      <c r="G74" s="8">
        <v>3062336</v>
      </c>
      <c r="H74" s="8"/>
      <c r="I74" s="8">
        <v>38415</v>
      </c>
      <c r="J74" s="8"/>
      <c r="K74" s="8">
        <v>92947</v>
      </c>
      <c r="L74" s="8"/>
      <c r="M74" s="8">
        <v>2404161</v>
      </c>
      <c r="N74" s="8"/>
      <c r="O74" s="8">
        <v>17023</v>
      </c>
      <c r="P74" s="8"/>
      <c r="Q74" s="8">
        <f>480440+387304</f>
        <v>867744</v>
      </c>
      <c r="R74" s="8"/>
      <c r="S74" s="7">
        <f t="shared" si="5"/>
        <v>2162862</v>
      </c>
      <c r="T74" s="8"/>
      <c r="U74" s="8">
        <f>8489421+1018000</f>
        <v>9507421</v>
      </c>
      <c r="V74" s="7"/>
      <c r="W74" s="8">
        <f>185434+78020+635233+2583348</f>
        <v>3482035</v>
      </c>
    </row>
    <row r="75" spans="1:23" s="57" customFormat="1" ht="12.75" hidden="1" customHeight="1" x14ac:dyDescent="0.2">
      <c r="A75" s="9" t="s">
        <v>93</v>
      </c>
      <c r="C75" s="9" t="s">
        <v>92</v>
      </c>
      <c r="D75" s="19"/>
      <c r="E75" s="8">
        <v>1274562</v>
      </c>
      <c r="F75" s="8"/>
      <c r="G75" s="8">
        <v>0</v>
      </c>
      <c r="H75" s="8"/>
      <c r="I75" s="8">
        <v>0</v>
      </c>
      <c r="J75" s="8"/>
      <c r="K75" s="8">
        <v>389722</v>
      </c>
      <c r="L75" s="8"/>
      <c r="M75" s="8">
        <v>294466</v>
      </c>
      <c r="N75" s="8"/>
      <c r="O75" s="8">
        <v>0</v>
      </c>
      <c r="P75" s="8"/>
      <c r="Q75" s="8">
        <f>81505+8276</f>
        <v>89781</v>
      </c>
      <c r="R75" s="8"/>
      <c r="S75" s="7">
        <f t="shared" si="5"/>
        <v>645320</v>
      </c>
      <c r="T75" s="8"/>
      <c r="U75" s="8">
        <v>2693851</v>
      </c>
      <c r="V75" s="7"/>
      <c r="W75" s="8">
        <f>7367+125858+60000+94341</f>
        <v>287566</v>
      </c>
    </row>
    <row r="76" spans="1:23" ht="12.75" customHeight="1" x14ac:dyDescent="0.2">
      <c r="A76" s="7" t="s">
        <v>89</v>
      </c>
      <c r="C76" s="7" t="s">
        <v>90</v>
      </c>
      <c r="D76" s="6"/>
      <c r="E76" s="8">
        <v>2666719</v>
      </c>
      <c r="F76" s="8"/>
      <c r="G76" s="8">
        <v>6866149</v>
      </c>
      <c r="H76" s="8"/>
      <c r="I76" s="8">
        <f>254636+285961</f>
        <v>540597</v>
      </c>
      <c r="J76" s="8"/>
      <c r="K76" s="8">
        <v>863748</v>
      </c>
      <c r="L76" s="8"/>
      <c r="M76" s="8">
        <v>3195647</v>
      </c>
      <c r="N76" s="8"/>
      <c r="O76" s="8">
        <v>0</v>
      </c>
      <c r="P76" s="8"/>
      <c r="Q76" s="8">
        <f>657641+158025</f>
        <v>815666</v>
      </c>
      <c r="R76" s="8"/>
      <c r="S76" s="7">
        <f t="shared" si="5"/>
        <v>503478</v>
      </c>
      <c r="T76" s="8"/>
      <c r="U76" s="8">
        <v>15452004</v>
      </c>
      <c r="V76" s="7"/>
      <c r="W76" s="8">
        <f>37646+1217900</f>
        <v>1255546</v>
      </c>
    </row>
    <row r="77" spans="1:23" ht="12.75" customHeight="1" x14ac:dyDescent="0.2">
      <c r="A77" s="7" t="s">
        <v>94</v>
      </c>
      <c r="C77" s="7" t="s">
        <v>95</v>
      </c>
      <c r="D77" s="6"/>
      <c r="E77" s="8">
        <v>686132</v>
      </c>
      <c r="F77" s="8"/>
      <c r="G77" s="8">
        <v>3422531</v>
      </c>
      <c r="H77" s="8"/>
      <c r="I77" s="8">
        <v>0</v>
      </c>
      <c r="J77" s="8"/>
      <c r="K77" s="8">
        <v>791604</v>
      </c>
      <c r="L77" s="8"/>
      <c r="M77" s="8">
        <v>1510784</v>
      </c>
      <c r="N77" s="8"/>
      <c r="O77" s="8">
        <v>20157</v>
      </c>
      <c r="P77" s="8"/>
      <c r="Q77" s="8">
        <f>89194+898677</f>
        <v>987871</v>
      </c>
      <c r="R77" s="8"/>
      <c r="S77" s="7">
        <f t="shared" si="5"/>
        <v>156622</v>
      </c>
      <c r="T77" s="8"/>
      <c r="U77" s="8">
        <v>7575701</v>
      </c>
      <c r="V77" s="7"/>
      <c r="W77" s="8">
        <f>33001+75000</f>
        <v>108001</v>
      </c>
    </row>
    <row r="78" spans="1:23" ht="12.75" customHeight="1" x14ac:dyDescent="0.2">
      <c r="A78" s="7" t="s">
        <v>96</v>
      </c>
      <c r="C78" s="7" t="s">
        <v>15</v>
      </c>
      <c r="D78" s="6"/>
      <c r="E78" s="8">
        <v>3266785</v>
      </c>
      <c r="F78" s="8"/>
      <c r="G78" s="8">
        <v>22163511</v>
      </c>
      <c r="H78" s="8"/>
      <c r="I78" s="8">
        <v>1618682</v>
      </c>
      <c r="J78" s="8"/>
      <c r="K78" s="8">
        <v>1820242</v>
      </c>
      <c r="L78" s="8"/>
      <c r="M78" s="8">
        <v>11711054</v>
      </c>
      <c r="N78" s="8"/>
      <c r="O78" s="8">
        <v>159237</v>
      </c>
      <c r="P78" s="8"/>
      <c r="Q78" s="8">
        <f>467518+1629394</f>
        <v>2096912</v>
      </c>
      <c r="R78" s="8"/>
      <c r="S78" s="7">
        <f t="shared" si="5"/>
        <v>1248932</v>
      </c>
      <c r="T78" s="8"/>
      <c r="U78" s="8">
        <v>44085355</v>
      </c>
      <c r="V78" s="7"/>
      <c r="W78" s="8">
        <f>728460+17233+111323+224477</f>
        <v>1081493</v>
      </c>
    </row>
    <row r="79" spans="1:23" ht="12.75" customHeight="1" x14ac:dyDescent="0.2">
      <c r="A79" s="7" t="s">
        <v>97</v>
      </c>
      <c r="C79" s="7" t="s">
        <v>64</v>
      </c>
      <c r="D79" s="6"/>
      <c r="E79" s="8">
        <v>1579384</v>
      </c>
      <c r="F79" s="8"/>
      <c r="G79" s="8">
        <v>6535293</v>
      </c>
      <c r="H79" s="8"/>
      <c r="I79" s="8">
        <v>396046</v>
      </c>
      <c r="J79" s="8"/>
      <c r="K79" s="8">
        <v>1290893</v>
      </c>
      <c r="L79" s="8"/>
      <c r="M79" s="8">
        <v>1638354</v>
      </c>
      <c r="N79" s="8"/>
      <c r="O79" s="8">
        <v>81457</v>
      </c>
      <c r="P79" s="8"/>
      <c r="Q79" s="8">
        <f>22541+112709</f>
        <v>135250</v>
      </c>
      <c r="R79" s="8"/>
      <c r="S79" s="7">
        <f t="shared" si="5"/>
        <v>301804</v>
      </c>
      <c r="T79" s="8"/>
      <c r="U79" s="8">
        <v>11958481</v>
      </c>
      <c r="V79" s="7"/>
      <c r="W79" s="8">
        <f>192140+5003056</f>
        <v>5195196</v>
      </c>
    </row>
    <row r="80" spans="1:23" ht="12.75" customHeight="1" x14ac:dyDescent="0.2">
      <c r="A80" s="7" t="s">
        <v>98</v>
      </c>
      <c r="C80" s="7" t="s">
        <v>25</v>
      </c>
      <c r="D80" s="6"/>
      <c r="E80" s="8">
        <v>4544254</v>
      </c>
      <c r="F80" s="8"/>
      <c r="G80" s="8">
        <v>21216091</v>
      </c>
      <c r="H80" s="8"/>
      <c r="I80" s="8">
        <v>679602</v>
      </c>
      <c r="J80" s="8"/>
      <c r="K80" s="8">
        <v>6342556</v>
      </c>
      <c r="L80" s="8"/>
      <c r="M80" s="8">
        <v>7468739</v>
      </c>
      <c r="N80" s="8"/>
      <c r="O80" s="8">
        <v>1229316</v>
      </c>
      <c r="P80" s="8"/>
      <c r="Q80" s="8">
        <v>1975305</v>
      </c>
      <c r="R80" s="8"/>
      <c r="S80" s="7">
        <f t="shared" si="5"/>
        <v>1771565</v>
      </c>
      <c r="T80" s="8"/>
      <c r="U80" s="8">
        <v>45227428</v>
      </c>
      <c r="V80" s="7"/>
      <c r="W80" s="8">
        <f>26174+4804675</f>
        <v>4830849</v>
      </c>
    </row>
    <row r="81" spans="1:23" ht="12.75" customHeight="1" x14ac:dyDescent="0.2">
      <c r="A81" s="7" t="s">
        <v>99</v>
      </c>
      <c r="C81" s="7" t="s">
        <v>28</v>
      </c>
      <c r="D81" s="6"/>
      <c r="E81" s="8">
        <v>5235512</v>
      </c>
      <c r="F81" s="8"/>
      <c r="G81" s="8">
        <v>11994955</v>
      </c>
      <c r="H81" s="8"/>
      <c r="I81" s="8">
        <f>841187+379278</f>
        <v>1220465</v>
      </c>
      <c r="J81" s="8"/>
      <c r="K81" s="8">
        <v>5778812</v>
      </c>
      <c r="L81" s="8"/>
      <c r="M81" s="8">
        <v>6535383</v>
      </c>
      <c r="N81" s="8"/>
      <c r="O81" s="8">
        <v>363052</v>
      </c>
      <c r="P81" s="8"/>
      <c r="Q81" s="8">
        <v>1639486</v>
      </c>
      <c r="R81" s="8"/>
      <c r="S81" s="7">
        <f t="shared" si="5"/>
        <v>609297</v>
      </c>
      <c r="T81" s="8"/>
      <c r="U81" s="8">
        <v>33376962</v>
      </c>
      <c r="V81" s="7"/>
      <c r="W81" s="8">
        <f>120000+1611186+4484+5170028+16193</f>
        <v>6921891</v>
      </c>
    </row>
    <row r="82" spans="1:23" ht="12.75" customHeight="1" x14ac:dyDescent="0.2">
      <c r="A82" s="7" t="s">
        <v>100</v>
      </c>
      <c r="C82" s="7" t="s">
        <v>101</v>
      </c>
      <c r="D82" s="6"/>
      <c r="E82" s="8">
        <v>28664812</v>
      </c>
      <c r="F82" s="8"/>
      <c r="G82" s="8">
        <v>0</v>
      </c>
      <c r="H82" s="8"/>
      <c r="I82" s="8">
        <v>0</v>
      </c>
      <c r="J82" s="8"/>
      <c r="K82" s="8">
        <v>2561018</v>
      </c>
      <c r="L82" s="8"/>
      <c r="M82" s="8">
        <v>8716682</v>
      </c>
      <c r="N82" s="8"/>
      <c r="O82" s="8">
        <v>28940</v>
      </c>
      <c r="P82" s="8"/>
      <c r="Q82" s="8">
        <v>2005002</v>
      </c>
      <c r="R82" s="8"/>
      <c r="S82" s="7">
        <f t="shared" si="5"/>
        <v>673164</v>
      </c>
      <c r="T82" s="8"/>
      <c r="U82" s="8">
        <v>42649618</v>
      </c>
      <c r="V82" s="7"/>
      <c r="W82" s="8">
        <f>122264+6540000+422277+4721472</f>
        <v>11806013</v>
      </c>
    </row>
    <row r="83" spans="1:23" ht="12.75" customHeight="1" x14ac:dyDescent="0.2">
      <c r="A83" s="7" t="s">
        <v>102</v>
      </c>
      <c r="C83" s="7" t="s">
        <v>11</v>
      </c>
      <c r="D83" s="19"/>
      <c r="E83" s="8">
        <v>1032399</v>
      </c>
      <c r="F83" s="8"/>
      <c r="G83" s="8">
        <v>10138954</v>
      </c>
      <c r="H83" s="8"/>
      <c r="I83" s="8">
        <v>2332631</v>
      </c>
      <c r="J83" s="8"/>
      <c r="K83" s="8">
        <v>617670</v>
      </c>
      <c r="L83" s="8"/>
      <c r="M83" s="8">
        <v>1519777</v>
      </c>
      <c r="N83" s="8"/>
      <c r="O83" s="8">
        <v>149854</v>
      </c>
      <c r="P83" s="8"/>
      <c r="Q83" s="8">
        <f>168593+136289</f>
        <v>304882</v>
      </c>
      <c r="R83" s="8"/>
      <c r="S83" s="7">
        <f t="shared" si="5"/>
        <v>498468</v>
      </c>
      <c r="T83" s="8"/>
      <c r="U83" s="8">
        <v>16594635</v>
      </c>
      <c r="V83" s="7"/>
      <c r="W83" s="8">
        <f>4500000+100000+322500+187888</f>
        <v>5110388</v>
      </c>
    </row>
    <row r="84" spans="1:23" ht="12.75" customHeight="1" x14ac:dyDescent="0.2">
      <c r="A84" s="7" t="s">
        <v>103</v>
      </c>
      <c r="C84" s="7" t="s">
        <v>25</v>
      </c>
      <c r="D84" s="6"/>
      <c r="E84" s="8">
        <v>3699627</v>
      </c>
      <c r="F84" s="8"/>
      <c r="G84" s="8">
        <v>8034255</v>
      </c>
      <c r="H84" s="8"/>
      <c r="I84" s="8">
        <v>273415</v>
      </c>
      <c r="J84" s="8"/>
      <c r="K84" s="8">
        <v>2232900</v>
      </c>
      <c r="L84" s="8"/>
      <c r="M84" s="8">
        <v>2292518</v>
      </c>
      <c r="N84" s="8"/>
      <c r="O84" s="8">
        <v>238489</v>
      </c>
      <c r="P84" s="8"/>
      <c r="Q84" s="8">
        <v>500445</v>
      </c>
      <c r="R84" s="8"/>
      <c r="S84" s="7">
        <f t="shared" si="5"/>
        <v>423866</v>
      </c>
      <c r="T84" s="8"/>
      <c r="U84" s="8">
        <v>17695515</v>
      </c>
      <c r="V84" s="7"/>
      <c r="W84" s="8">
        <f>140090+20590000+901349+722797</f>
        <v>22354236</v>
      </c>
    </row>
    <row r="85" spans="1:23" ht="12.75" customHeight="1" x14ac:dyDescent="0.2">
      <c r="A85" s="7" t="s">
        <v>104</v>
      </c>
      <c r="C85" s="7" t="s">
        <v>105</v>
      </c>
      <c r="D85" s="6"/>
      <c r="E85" s="8">
        <v>2773713</v>
      </c>
      <c r="F85" s="8"/>
      <c r="G85" s="8">
        <v>21563110</v>
      </c>
      <c r="H85" s="8"/>
      <c r="I85" s="8">
        <v>0</v>
      </c>
      <c r="J85" s="8"/>
      <c r="K85" s="8">
        <v>2891751</v>
      </c>
      <c r="L85" s="8"/>
      <c r="M85" s="8">
        <v>6654320</v>
      </c>
      <c r="N85" s="8"/>
      <c r="O85" s="8">
        <v>208357</v>
      </c>
      <c r="P85" s="8"/>
      <c r="Q85" s="8">
        <f>319236+1321720</f>
        <v>1640956</v>
      </c>
      <c r="R85" s="8"/>
      <c r="S85" s="7">
        <f t="shared" si="5"/>
        <v>1311381</v>
      </c>
      <c r="T85" s="8"/>
      <c r="U85" s="8">
        <v>37043588</v>
      </c>
      <c r="V85" s="7"/>
      <c r="W85" s="8">
        <f>211000+928+26243826</f>
        <v>26455754</v>
      </c>
    </row>
    <row r="86" spans="1:23" ht="12.75" customHeight="1" x14ac:dyDescent="0.2">
      <c r="A86" s="7" t="s">
        <v>106</v>
      </c>
      <c r="C86" s="7" t="s">
        <v>43</v>
      </c>
      <c r="D86" s="6"/>
      <c r="E86" s="8">
        <v>10912638</v>
      </c>
      <c r="F86" s="8"/>
      <c r="G86" s="8">
        <v>0</v>
      </c>
      <c r="H86" s="8"/>
      <c r="I86" s="8">
        <v>2713909</v>
      </c>
      <c r="J86" s="8"/>
      <c r="K86" s="8">
        <v>635297</v>
      </c>
      <c r="L86" s="8"/>
      <c r="M86" s="8">
        <v>2564750</v>
      </c>
      <c r="N86" s="8"/>
      <c r="O86" s="8">
        <v>12429</v>
      </c>
      <c r="P86" s="8"/>
      <c r="Q86" s="8">
        <v>361810</v>
      </c>
      <c r="R86" s="8"/>
      <c r="S86" s="7">
        <f t="shared" si="5"/>
        <v>214795</v>
      </c>
      <c r="T86" s="8"/>
      <c r="U86" s="8">
        <v>17415628</v>
      </c>
      <c r="V86" s="7"/>
      <c r="W86" s="8">
        <f>98967+1135364</f>
        <v>1234331</v>
      </c>
    </row>
    <row r="87" spans="1:23" s="58" customFormat="1" ht="12.75" customHeight="1" x14ac:dyDescent="0.2">
      <c r="A87" s="7" t="s">
        <v>467</v>
      </c>
      <c r="B87" s="57"/>
      <c r="C87" s="9"/>
      <c r="D87" s="19"/>
      <c r="E87" s="8"/>
      <c r="F87" s="8"/>
      <c r="G87" s="8"/>
      <c r="H87" s="8"/>
      <c r="I87" s="8"/>
      <c r="J87" s="8"/>
      <c r="K87" s="8"/>
      <c r="L87" s="8"/>
      <c r="M87" s="8"/>
      <c r="N87" s="92"/>
      <c r="O87" s="8"/>
      <c r="P87" s="8"/>
      <c r="Q87" s="8"/>
      <c r="R87" s="8"/>
      <c r="S87" s="7"/>
      <c r="T87" s="8"/>
      <c r="U87" s="8"/>
      <c r="V87" s="7"/>
      <c r="W87" s="11" t="s">
        <v>478</v>
      </c>
    </row>
    <row r="88" spans="1:23" s="76" customFormat="1" ht="12.75" customHeight="1" x14ac:dyDescent="0.2">
      <c r="A88" s="38" t="s">
        <v>487</v>
      </c>
      <c r="C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24"/>
      <c r="T88" s="75"/>
      <c r="U88" s="77"/>
      <c r="V88" s="78"/>
      <c r="W88" s="29"/>
    </row>
    <row r="89" spans="1:23" s="76" customFormat="1" ht="12.75" customHeight="1" x14ac:dyDescent="0.2">
      <c r="A89" s="38" t="s">
        <v>505</v>
      </c>
      <c r="C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24"/>
      <c r="T89" s="75"/>
      <c r="U89" s="77"/>
      <c r="V89" s="78"/>
      <c r="W89" s="29"/>
    </row>
    <row r="90" spans="1:23" s="76" customFormat="1" ht="12.75" customHeight="1" x14ac:dyDescent="0.2">
      <c r="A90" s="75" t="s">
        <v>287</v>
      </c>
      <c r="C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24"/>
      <c r="T90" s="75"/>
      <c r="U90" s="77"/>
      <c r="V90" s="78"/>
      <c r="W90" s="29"/>
    </row>
    <row r="91" spans="1:23" ht="12.75" customHeight="1" x14ac:dyDescent="0.2">
      <c r="A91" s="75" t="s">
        <v>478</v>
      </c>
    </row>
    <row r="93" spans="1:23" s="55" customFormat="1" ht="12.75" customHeight="1" x14ac:dyDescent="0.2">
      <c r="A93" s="38"/>
      <c r="C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88"/>
      <c r="T93" s="3"/>
      <c r="U93" s="16"/>
      <c r="V93" s="2"/>
      <c r="W93" s="63" t="s">
        <v>292</v>
      </c>
    </row>
    <row r="94" spans="1:23" s="55" customFormat="1" ht="12.75" customHeight="1" x14ac:dyDescent="0.2">
      <c r="A94" s="3"/>
      <c r="C94" s="3"/>
      <c r="E94" s="3" t="s">
        <v>291</v>
      </c>
      <c r="F94" s="3"/>
      <c r="G94" s="3" t="s">
        <v>324</v>
      </c>
      <c r="H94" s="3"/>
      <c r="I94" s="3" t="s">
        <v>292</v>
      </c>
      <c r="J94" s="3"/>
      <c r="K94" s="3" t="s">
        <v>290</v>
      </c>
      <c r="L94" s="3"/>
      <c r="M94" s="3" t="s">
        <v>325</v>
      </c>
      <c r="N94" s="3"/>
      <c r="O94" s="3" t="s">
        <v>326</v>
      </c>
      <c r="P94" s="3"/>
      <c r="Q94" s="3" t="s">
        <v>327</v>
      </c>
      <c r="R94" s="3"/>
      <c r="S94" s="88" t="s">
        <v>328</v>
      </c>
      <c r="T94" s="3"/>
      <c r="U94" s="88" t="s">
        <v>5</v>
      </c>
      <c r="V94" s="2"/>
      <c r="W94" s="63" t="s">
        <v>431</v>
      </c>
    </row>
    <row r="95" spans="1:23" s="55" customFormat="1" ht="12.75" customHeight="1" x14ac:dyDescent="0.2">
      <c r="A95" s="45" t="s">
        <v>6</v>
      </c>
      <c r="C95" s="45" t="s">
        <v>7</v>
      </c>
      <c r="E95" s="46" t="s">
        <v>421</v>
      </c>
      <c r="F95" s="3"/>
      <c r="G95" s="46" t="s">
        <v>297</v>
      </c>
      <c r="H95" s="3"/>
      <c r="I95" s="46" t="s">
        <v>297</v>
      </c>
      <c r="J95" s="3"/>
      <c r="K95" s="46" t="s">
        <v>295</v>
      </c>
      <c r="L95" s="3"/>
      <c r="M95" s="46" t="s">
        <v>329</v>
      </c>
      <c r="N95" s="3"/>
      <c r="O95" s="46" t="s">
        <v>330</v>
      </c>
      <c r="P95" s="3"/>
      <c r="Q95" s="46" t="s">
        <v>399</v>
      </c>
      <c r="R95" s="3"/>
      <c r="S95" s="27" t="s">
        <v>321</v>
      </c>
      <c r="T95" s="3"/>
      <c r="U95" s="27" t="s">
        <v>300</v>
      </c>
      <c r="V95" s="2"/>
      <c r="W95" s="87" t="s">
        <v>432</v>
      </c>
    </row>
    <row r="96" spans="1:23" s="55" customFormat="1" ht="12.75" customHeight="1" x14ac:dyDescent="0.2">
      <c r="A96" s="3"/>
      <c r="C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88"/>
      <c r="T96" s="3"/>
      <c r="U96" s="16"/>
      <c r="V96" s="2"/>
      <c r="W96" s="63"/>
    </row>
    <row r="97" spans="1:23" s="58" customFormat="1" ht="12.75" customHeight="1" x14ac:dyDescent="0.2">
      <c r="A97" s="7" t="s">
        <v>107</v>
      </c>
      <c r="C97" s="7" t="s">
        <v>108</v>
      </c>
      <c r="D97" s="6"/>
      <c r="E97" s="40">
        <v>676823</v>
      </c>
      <c r="F97" s="40"/>
      <c r="G97" s="40">
        <v>4697624</v>
      </c>
      <c r="H97" s="40"/>
      <c r="I97" s="40">
        <v>0</v>
      </c>
      <c r="J97" s="40"/>
      <c r="K97" s="40">
        <v>914601</v>
      </c>
      <c r="L97" s="40"/>
      <c r="M97" s="40">
        <v>2431749</v>
      </c>
      <c r="N97" s="40"/>
      <c r="O97" s="40">
        <v>55536</v>
      </c>
      <c r="P97" s="40"/>
      <c r="Q97" s="40">
        <f>18638+22531</f>
        <v>41169</v>
      </c>
      <c r="R97" s="40"/>
      <c r="S97" s="9">
        <f t="shared" ref="S97:S133" si="6">+U97-SUM(E97:Q97)</f>
        <v>649511</v>
      </c>
      <c r="T97" s="40"/>
      <c r="U97" s="40">
        <v>9467013</v>
      </c>
      <c r="V97" s="9"/>
      <c r="W97" s="40">
        <f>4525+635484+51565+93720</f>
        <v>785294</v>
      </c>
    </row>
    <row r="98" spans="1:23" ht="12.75" customHeight="1" x14ac:dyDescent="0.2">
      <c r="A98" s="7" t="s">
        <v>41</v>
      </c>
      <c r="B98" s="58"/>
      <c r="C98" s="7" t="s">
        <v>109</v>
      </c>
      <c r="D98" s="6"/>
      <c r="E98" s="8">
        <v>1083889</v>
      </c>
      <c r="F98" s="8"/>
      <c r="G98" s="8">
        <v>8125750</v>
      </c>
      <c r="H98" s="8"/>
      <c r="I98" s="8">
        <f>152896+203459</f>
        <v>356355</v>
      </c>
      <c r="J98" s="8"/>
      <c r="K98" s="8">
        <v>79297</v>
      </c>
      <c r="L98" s="8"/>
      <c r="M98" s="8">
        <v>1598314</v>
      </c>
      <c r="N98" s="8"/>
      <c r="O98" s="8">
        <v>397406</v>
      </c>
      <c r="P98" s="8"/>
      <c r="Q98" s="8">
        <v>786601</v>
      </c>
      <c r="R98" s="8"/>
      <c r="S98" s="7">
        <f t="shared" si="6"/>
        <v>380036</v>
      </c>
      <c r="T98" s="8"/>
      <c r="U98" s="8">
        <v>12807648</v>
      </c>
      <c r="V98" s="7"/>
      <c r="W98" s="8">
        <f>5630000+4002411+179138+402706</f>
        <v>10214255</v>
      </c>
    </row>
    <row r="99" spans="1:23" ht="12.75" customHeight="1" x14ac:dyDescent="0.2">
      <c r="A99" s="7" t="s">
        <v>110</v>
      </c>
      <c r="C99" s="7" t="s">
        <v>74</v>
      </c>
      <c r="D99" s="6"/>
      <c r="E99" s="8">
        <v>952809</v>
      </c>
      <c r="F99" s="8"/>
      <c r="G99" s="8">
        <v>7645178</v>
      </c>
      <c r="H99" s="8"/>
      <c r="I99" s="8">
        <v>0</v>
      </c>
      <c r="J99" s="8"/>
      <c r="K99" s="8">
        <v>448421</v>
      </c>
      <c r="L99" s="8"/>
      <c r="M99" s="8">
        <v>2768210</v>
      </c>
      <c r="N99" s="8"/>
      <c r="O99" s="8">
        <v>56864</v>
      </c>
      <c r="P99" s="8"/>
      <c r="Q99" s="8">
        <f>31691+509689</f>
        <v>541380</v>
      </c>
      <c r="R99" s="8"/>
      <c r="S99" s="7">
        <f t="shared" si="6"/>
        <v>458018</v>
      </c>
      <c r="T99" s="8"/>
      <c r="U99" s="8">
        <v>12870880</v>
      </c>
      <c r="V99" s="7"/>
      <c r="W99" s="8">
        <f>745000+3789+1748000</f>
        <v>2496789</v>
      </c>
    </row>
    <row r="100" spans="1:23" ht="12.75" hidden="1" customHeight="1" x14ac:dyDescent="0.2">
      <c r="A100" s="7" t="s">
        <v>111</v>
      </c>
      <c r="C100" s="7" t="s">
        <v>41</v>
      </c>
      <c r="D100" s="6"/>
      <c r="E100" s="8">
        <v>2056265</v>
      </c>
      <c r="F100" s="8"/>
      <c r="G100" s="8">
        <v>14405894</v>
      </c>
      <c r="H100" s="8"/>
      <c r="I100" s="8">
        <f>421791+1002203</f>
        <v>1423994</v>
      </c>
      <c r="J100" s="8"/>
      <c r="K100" s="8">
        <v>3044719</v>
      </c>
      <c r="L100" s="8"/>
      <c r="M100" s="8">
        <v>4465679</v>
      </c>
      <c r="N100" s="8"/>
      <c r="O100" s="8">
        <v>0</v>
      </c>
      <c r="P100" s="8"/>
      <c r="Q100" s="8">
        <f>896537+534385</f>
        <v>1430922</v>
      </c>
      <c r="R100" s="8"/>
      <c r="S100" s="7">
        <f t="shared" si="6"/>
        <v>1409472</v>
      </c>
      <c r="T100" s="8"/>
      <c r="U100" s="8">
        <v>28236945</v>
      </c>
      <c r="V100" s="7"/>
      <c r="W100" s="8">
        <f>28799+3076136+136681</f>
        <v>3241616</v>
      </c>
    </row>
    <row r="101" spans="1:23" ht="12.75" customHeight="1" x14ac:dyDescent="0.2">
      <c r="A101" s="7" t="s">
        <v>483</v>
      </c>
      <c r="C101" s="7" t="s">
        <v>55</v>
      </c>
      <c r="D101" s="6"/>
      <c r="E101" s="8">
        <v>397633</v>
      </c>
      <c r="F101" s="8"/>
      <c r="G101" s="8">
        <v>4588122</v>
      </c>
      <c r="H101" s="8"/>
      <c r="I101" s="8">
        <v>653533</v>
      </c>
      <c r="J101" s="8"/>
      <c r="K101" s="8">
        <v>1201197</v>
      </c>
      <c r="L101" s="8"/>
      <c r="M101" s="8">
        <v>1485791</v>
      </c>
      <c r="N101" s="8"/>
      <c r="O101" s="8">
        <v>0</v>
      </c>
      <c r="P101" s="8"/>
      <c r="Q101" s="8">
        <f>124206+23481</f>
        <v>147687</v>
      </c>
      <c r="R101" s="8"/>
      <c r="S101" s="7">
        <f t="shared" si="6"/>
        <v>663844</v>
      </c>
      <c r="T101" s="8"/>
      <c r="U101" s="8">
        <v>9137807</v>
      </c>
      <c r="V101" s="7"/>
      <c r="W101" s="8">
        <f>770000+360000+2077537</f>
        <v>3207537</v>
      </c>
    </row>
    <row r="102" spans="1:23" ht="12.75" customHeight="1" x14ac:dyDescent="0.2">
      <c r="A102" s="7" t="s">
        <v>112</v>
      </c>
      <c r="C102" s="7" t="s">
        <v>25</v>
      </c>
      <c r="D102" s="6"/>
      <c r="E102" s="8">
        <v>9671280</v>
      </c>
      <c r="F102" s="8"/>
      <c r="G102" s="8">
        <v>9309810</v>
      </c>
      <c r="H102" s="8"/>
      <c r="I102" s="8">
        <f>315167+171005</f>
        <v>486172</v>
      </c>
      <c r="J102" s="8"/>
      <c r="K102" s="8">
        <v>5856629</v>
      </c>
      <c r="L102" s="8"/>
      <c r="M102" s="8">
        <v>4541749</v>
      </c>
      <c r="N102" s="8"/>
      <c r="O102" s="8">
        <v>273919</v>
      </c>
      <c r="P102" s="8"/>
      <c r="Q102" s="8">
        <f>402030+1581961</f>
        <v>1983991</v>
      </c>
      <c r="R102" s="8"/>
      <c r="S102" s="7">
        <f t="shared" si="6"/>
        <v>2446415</v>
      </c>
      <c r="T102" s="8"/>
      <c r="U102" s="8">
        <v>34569965</v>
      </c>
      <c r="V102" s="7"/>
      <c r="W102" s="8">
        <f>5775000+2584976</f>
        <v>8359976</v>
      </c>
    </row>
    <row r="103" spans="1:23" ht="12.75" customHeight="1" x14ac:dyDescent="0.2">
      <c r="A103" s="7" t="s">
        <v>113</v>
      </c>
      <c r="C103" s="7" t="s">
        <v>17</v>
      </c>
      <c r="D103" s="6"/>
      <c r="E103" s="8">
        <v>475257</v>
      </c>
      <c r="F103" s="8"/>
      <c r="G103" s="8">
        <v>2654009</v>
      </c>
      <c r="H103" s="8"/>
      <c r="I103" s="8">
        <v>0</v>
      </c>
      <c r="J103" s="8"/>
      <c r="K103" s="8">
        <v>284744</v>
      </c>
      <c r="L103" s="8"/>
      <c r="M103" s="8">
        <v>1273552</v>
      </c>
      <c r="N103" s="8"/>
      <c r="O103" s="8">
        <v>340660</v>
      </c>
      <c r="P103" s="8"/>
      <c r="Q103" s="8">
        <v>260981</v>
      </c>
      <c r="R103" s="8"/>
      <c r="S103" s="7">
        <f t="shared" si="6"/>
        <v>129503</v>
      </c>
      <c r="T103" s="8"/>
      <c r="U103" s="8">
        <v>5418706</v>
      </c>
      <c r="V103" s="7"/>
      <c r="W103" s="8">
        <f>3286+311523+955538</f>
        <v>1270347</v>
      </c>
    </row>
    <row r="104" spans="1:23" ht="12.75" customHeight="1" x14ac:dyDescent="0.2">
      <c r="A104" s="7" t="s">
        <v>114</v>
      </c>
      <c r="C104" s="7" t="s">
        <v>78</v>
      </c>
      <c r="D104" s="6"/>
      <c r="E104" s="8">
        <v>1098958</v>
      </c>
      <c r="F104" s="8"/>
      <c r="G104" s="8">
        <v>4422181</v>
      </c>
      <c r="H104" s="8"/>
      <c r="I104" s="8">
        <v>0</v>
      </c>
      <c r="J104" s="8"/>
      <c r="K104" s="8">
        <v>69990</v>
      </c>
      <c r="L104" s="8"/>
      <c r="M104" s="8">
        <v>2803629</v>
      </c>
      <c r="N104" s="8"/>
      <c r="O104" s="8">
        <v>7071</v>
      </c>
      <c r="P104" s="8"/>
      <c r="Q104" s="8">
        <f>249125+947104</f>
        <v>1196229</v>
      </c>
      <c r="R104" s="8"/>
      <c r="S104" s="7">
        <f t="shared" si="6"/>
        <v>117703</v>
      </c>
      <c r="T104" s="8"/>
      <c r="U104" s="8">
        <v>9715761</v>
      </c>
      <c r="V104" s="7"/>
      <c r="W104" s="8">
        <v>15230</v>
      </c>
    </row>
    <row r="105" spans="1:23" ht="12.75" customHeight="1" x14ac:dyDescent="0.2">
      <c r="A105" s="7" t="s">
        <v>115</v>
      </c>
      <c r="C105" s="7" t="s">
        <v>41</v>
      </c>
      <c r="D105" s="6"/>
      <c r="E105" s="8">
        <v>1740073</v>
      </c>
      <c r="F105" s="8"/>
      <c r="G105" s="8">
        <v>6845331</v>
      </c>
      <c r="H105" s="8"/>
      <c r="I105" s="8">
        <v>413790</v>
      </c>
      <c r="J105" s="8"/>
      <c r="K105" s="8">
        <v>1300942</v>
      </c>
      <c r="L105" s="8"/>
      <c r="M105" s="8">
        <v>1672554</v>
      </c>
      <c r="N105" s="8"/>
      <c r="O105" s="8">
        <v>0</v>
      </c>
      <c r="P105" s="8"/>
      <c r="Q105" s="8">
        <f>211362+91515</f>
        <v>302877</v>
      </c>
      <c r="R105" s="8"/>
      <c r="S105" s="7">
        <f t="shared" si="6"/>
        <v>323416</v>
      </c>
      <c r="T105" s="8"/>
      <c r="U105" s="8">
        <v>12598983</v>
      </c>
      <c r="V105" s="7"/>
      <c r="W105" s="8">
        <f>4541+28952+20166+2800000+101644</f>
        <v>2955303</v>
      </c>
    </row>
    <row r="106" spans="1:23" ht="12.75" customHeight="1" x14ac:dyDescent="0.2">
      <c r="A106" s="9" t="s">
        <v>116</v>
      </c>
      <c r="B106" s="57"/>
      <c r="C106" s="9" t="s">
        <v>11</v>
      </c>
      <c r="D106" s="6"/>
      <c r="E106" s="8">
        <v>1403516</v>
      </c>
      <c r="F106" s="8"/>
      <c r="G106" s="8">
        <v>19086743</v>
      </c>
      <c r="H106" s="8"/>
      <c r="I106" s="8">
        <v>481020</v>
      </c>
      <c r="J106" s="8"/>
      <c r="K106" s="8">
        <v>987299</v>
      </c>
      <c r="L106" s="8"/>
      <c r="M106" s="8">
        <v>3189399</v>
      </c>
      <c r="N106" s="8"/>
      <c r="O106" s="8">
        <v>47316</v>
      </c>
      <c r="P106" s="8"/>
      <c r="Q106" s="8">
        <f>493184+32713</f>
        <v>525897</v>
      </c>
      <c r="R106" s="8"/>
      <c r="S106" s="7">
        <f t="shared" si="6"/>
        <v>1937081</v>
      </c>
      <c r="T106" s="8"/>
      <c r="U106" s="8">
        <v>27658271</v>
      </c>
      <c r="V106" s="7"/>
      <c r="W106" s="8">
        <f>25165000+1077120+6980500</f>
        <v>33222620</v>
      </c>
    </row>
    <row r="107" spans="1:23" ht="12.75" customHeight="1" x14ac:dyDescent="0.2">
      <c r="A107" s="7" t="s">
        <v>118</v>
      </c>
      <c r="C107" s="7" t="s">
        <v>119</v>
      </c>
      <c r="D107" s="6"/>
      <c r="E107" s="8">
        <v>1098819</v>
      </c>
      <c r="F107" s="8"/>
      <c r="G107" s="8">
        <v>6197188</v>
      </c>
      <c r="H107" s="8"/>
      <c r="I107" s="8">
        <v>237039</v>
      </c>
      <c r="J107" s="8"/>
      <c r="K107" s="8">
        <v>196711</v>
      </c>
      <c r="L107" s="8"/>
      <c r="M107" s="8">
        <v>2563469</v>
      </c>
      <c r="N107" s="8"/>
      <c r="O107" s="8">
        <v>14640</v>
      </c>
      <c r="P107" s="8"/>
      <c r="Q107" s="8">
        <f>102358+92804</f>
        <v>195162</v>
      </c>
      <c r="R107" s="8"/>
      <c r="S107" s="7">
        <f t="shared" si="6"/>
        <v>338565</v>
      </c>
      <c r="T107" s="8"/>
      <c r="U107" s="8">
        <v>10841593</v>
      </c>
      <c r="V107" s="7"/>
      <c r="W107" s="8">
        <v>1340236</v>
      </c>
    </row>
    <row r="108" spans="1:23" ht="12.75" customHeight="1" x14ac:dyDescent="0.2">
      <c r="A108" s="7" t="s">
        <v>120</v>
      </c>
      <c r="C108" s="7" t="s">
        <v>41</v>
      </c>
      <c r="D108" s="6"/>
      <c r="E108" s="8">
        <v>2565710</v>
      </c>
      <c r="F108" s="8"/>
      <c r="G108" s="8">
        <v>21750608</v>
      </c>
      <c r="H108" s="8"/>
      <c r="I108" s="8">
        <f>3699084+747442</f>
        <v>4446526</v>
      </c>
      <c r="J108" s="8"/>
      <c r="K108" s="8">
        <v>1512727</v>
      </c>
      <c r="L108" s="8"/>
      <c r="M108" s="8">
        <v>8360366</v>
      </c>
      <c r="N108" s="8"/>
      <c r="O108" s="8">
        <v>179896</v>
      </c>
      <c r="P108" s="8"/>
      <c r="Q108" s="8">
        <f>1213088+464329</f>
        <v>1677417</v>
      </c>
      <c r="R108" s="8"/>
      <c r="S108" s="7">
        <f t="shared" si="6"/>
        <v>1650564</v>
      </c>
      <c r="T108" s="8"/>
      <c r="U108" s="8">
        <v>42143814</v>
      </c>
      <c r="V108" s="7"/>
      <c r="W108" s="8">
        <f>21277+1395000+7241725</f>
        <v>8658002</v>
      </c>
    </row>
    <row r="109" spans="1:23" ht="12.75" customHeight="1" x14ac:dyDescent="0.2">
      <c r="A109" s="6" t="s">
        <v>494</v>
      </c>
      <c r="B109" s="14"/>
      <c r="C109" s="6" t="s">
        <v>41</v>
      </c>
      <c r="D109" s="6"/>
      <c r="E109" s="8">
        <v>244174</v>
      </c>
      <c r="F109" s="8"/>
      <c r="G109" s="8">
        <v>9296649</v>
      </c>
      <c r="H109" s="8"/>
      <c r="I109" s="8">
        <v>47887</v>
      </c>
      <c r="J109" s="8"/>
      <c r="K109" s="8">
        <v>2336011</v>
      </c>
      <c r="L109" s="8"/>
      <c r="M109" s="8">
        <v>940520</v>
      </c>
      <c r="N109" s="8"/>
      <c r="O109" s="8">
        <v>35522</v>
      </c>
      <c r="P109" s="8"/>
      <c r="Q109" s="8">
        <v>257313</v>
      </c>
      <c r="R109" s="8"/>
      <c r="S109" s="7">
        <f t="shared" si="6"/>
        <v>588248</v>
      </c>
      <c r="T109" s="8"/>
      <c r="U109" s="8">
        <v>13746324</v>
      </c>
      <c r="V109" s="7"/>
      <c r="W109" s="8">
        <f>9980000+1450000+462239+502000+613334</f>
        <v>13007573</v>
      </c>
    </row>
    <row r="110" spans="1:23" ht="12.75" customHeight="1" x14ac:dyDescent="0.2">
      <c r="A110" s="7" t="s">
        <v>43</v>
      </c>
      <c r="C110" s="7" t="s">
        <v>101</v>
      </c>
      <c r="D110" s="6"/>
      <c r="E110" s="8">
        <v>8919224</v>
      </c>
      <c r="F110" s="8"/>
      <c r="G110" s="8">
        <v>21320905</v>
      </c>
      <c r="H110" s="8"/>
      <c r="I110" s="8">
        <v>0</v>
      </c>
      <c r="J110" s="8"/>
      <c r="K110" s="8">
        <v>12659606</v>
      </c>
      <c r="L110" s="8"/>
      <c r="M110" s="8">
        <v>10997434</v>
      </c>
      <c r="N110" s="8"/>
      <c r="O110" s="8">
        <v>811933</v>
      </c>
      <c r="P110" s="8"/>
      <c r="Q110" s="8">
        <f>981700+1130278</f>
        <v>2111978</v>
      </c>
      <c r="R110" s="8"/>
      <c r="S110" s="7">
        <f t="shared" si="6"/>
        <v>990169</v>
      </c>
      <c r="T110" s="8"/>
      <c r="U110" s="8">
        <v>57811249</v>
      </c>
      <c r="V110" s="7"/>
      <c r="W110" s="8">
        <f>418+8844112</f>
        <v>8844530</v>
      </c>
    </row>
    <row r="111" spans="1:23" ht="12.75" customHeight="1" x14ac:dyDescent="0.2">
      <c r="A111" s="7" t="s">
        <v>121</v>
      </c>
      <c r="C111" s="7" t="s">
        <v>43</v>
      </c>
      <c r="D111" s="6"/>
      <c r="E111" s="8">
        <v>2473983</v>
      </c>
      <c r="F111" s="8"/>
      <c r="G111" s="8">
        <v>3092518</v>
      </c>
      <c r="H111" s="8"/>
      <c r="I111" s="8">
        <v>452863</v>
      </c>
      <c r="J111" s="8"/>
      <c r="K111" s="8">
        <v>881137</v>
      </c>
      <c r="L111" s="8"/>
      <c r="M111" s="8">
        <v>1589536</v>
      </c>
      <c r="N111" s="8"/>
      <c r="O111" s="8">
        <v>0</v>
      </c>
      <c r="P111" s="8"/>
      <c r="Q111" s="8">
        <f>197051+213233</f>
        <v>410284</v>
      </c>
      <c r="R111" s="8"/>
      <c r="S111" s="7">
        <f t="shared" si="6"/>
        <v>413545</v>
      </c>
      <c r="T111" s="8"/>
      <c r="U111" s="8">
        <v>9313866</v>
      </c>
      <c r="V111" s="7"/>
      <c r="W111" s="8">
        <f>2334505+352467+503048</f>
        <v>3190020</v>
      </c>
    </row>
    <row r="112" spans="1:23" ht="12.75" customHeight="1" x14ac:dyDescent="0.2">
      <c r="A112" s="7" t="s">
        <v>122</v>
      </c>
      <c r="C112" s="7" t="s">
        <v>123</v>
      </c>
      <c r="D112" s="6"/>
      <c r="E112" s="8">
        <v>6577781</v>
      </c>
      <c r="F112" s="8"/>
      <c r="G112" s="8">
        <v>0</v>
      </c>
      <c r="H112" s="8"/>
      <c r="I112" s="8">
        <v>0</v>
      </c>
      <c r="J112" s="8"/>
      <c r="K112" s="8">
        <v>951566</v>
      </c>
      <c r="L112" s="8"/>
      <c r="M112" s="8">
        <v>4810389</v>
      </c>
      <c r="N112" s="8"/>
      <c r="O112" s="8">
        <v>0</v>
      </c>
      <c r="P112" s="8"/>
      <c r="Q112" s="8">
        <f>40331+43048</f>
        <v>83379</v>
      </c>
      <c r="R112" s="8"/>
      <c r="S112" s="7">
        <f t="shared" si="6"/>
        <v>246488</v>
      </c>
      <c r="T112" s="8"/>
      <c r="U112" s="8">
        <v>12669603</v>
      </c>
      <c r="V112" s="7"/>
      <c r="W112" s="8">
        <f>49319+1300000+40480+788460</f>
        <v>2178259</v>
      </c>
    </row>
    <row r="113" spans="1:23" ht="12.75" customHeight="1" x14ac:dyDescent="0.2">
      <c r="A113" s="7" t="s">
        <v>124</v>
      </c>
      <c r="C113" s="7" t="s">
        <v>25</v>
      </c>
      <c r="D113" s="6"/>
      <c r="E113" s="8">
        <v>1488608</v>
      </c>
      <c r="F113" s="8"/>
      <c r="G113" s="8">
        <v>10963230</v>
      </c>
      <c r="H113" s="8"/>
      <c r="I113" s="8">
        <v>79161</v>
      </c>
      <c r="J113" s="8"/>
      <c r="K113" s="8">
        <v>684993</v>
      </c>
      <c r="L113" s="8"/>
      <c r="M113" s="8">
        <v>1727952</v>
      </c>
      <c r="N113" s="8"/>
      <c r="O113" s="8">
        <v>1058101</v>
      </c>
      <c r="P113" s="8"/>
      <c r="Q113" s="8">
        <v>369810</v>
      </c>
      <c r="R113" s="8"/>
      <c r="S113" s="7">
        <f t="shared" si="6"/>
        <v>275526</v>
      </c>
      <c r="T113" s="8"/>
      <c r="U113" s="8">
        <v>16647381</v>
      </c>
      <c r="V113" s="7"/>
      <c r="W113" s="8">
        <v>1943000</v>
      </c>
    </row>
    <row r="114" spans="1:23" ht="12.75" hidden="1" customHeight="1" x14ac:dyDescent="0.2">
      <c r="A114" s="7" t="s">
        <v>125</v>
      </c>
      <c r="C114" s="7" t="s">
        <v>41</v>
      </c>
      <c r="D114" s="6"/>
      <c r="E114" s="8">
        <v>1981224</v>
      </c>
      <c r="F114" s="8"/>
      <c r="G114" s="8">
        <v>17436327</v>
      </c>
      <c r="H114" s="8"/>
      <c r="I114" s="8">
        <v>2333600</v>
      </c>
      <c r="J114" s="8"/>
      <c r="K114" s="8">
        <v>4741570</v>
      </c>
      <c r="L114" s="8"/>
      <c r="M114" s="8">
        <v>7103146</v>
      </c>
      <c r="N114" s="8"/>
      <c r="O114" s="8">
        <v>0</v>
      </c>
      <c r="P114" s="8"/>
      <c r="Q114" s="8">
        <f>1183422+330873</f>
        <v>1514295</v>
      </c>
      <c r="R114" s="8"/>
      <c r="S114" s="7">
        <f t="shared" si="6"/>
        <v>613239</v>
      </c>
      <c r="T114" s="8"/>
      <c r="U114" s="8">
        <v>35723401</v>
      </c>
      <c r="V114" s="7"/>
      <c r="W114" s="8">
        <f>28398+8020000+15982+17689+392939</f>
        <v>8475008</v>
      </c>
    </row>
    <row r="115" spans="1:23" ht="12.75" customHeight="1" x14ac:dyDescent="0.2">
      <c r="A115" s="7" t="s">
        <v>126</v>
      </c>
      <c r="C115" s="7" t="s">
        <v>117</v>
      </c>
      <c r="D115" s="6"/>
      <c r="E115" s="8">
        <v>3804009</v>
      </c>
      <c r="F115" s="8"/>
      <c r="G115" s="8">
        <v>0</v>
      </c>
      <c r="H115" s="8"/>
      <c r="I115" s="8">
        <v>0</v>
      </c>
      <c r="J115" s="8"/>
      <c r="K115" s="8">
        <v>515886</v>
      </c>
      <c r="L115" s="8"/>
      <c r="M115" s="8">
        <v>935675</v>
      </c>
      <c r="N115" s="8"/>
      <c r="O115" s="8">
        <v>0</v>
      </c>
      <c r="P115" s="8"/>
      <c r="Q115" s="8">
        <f>66010+340959</f>
        <v>406969</v>
      </c>
      <c r="R115" s="8"/>
      <c r="S115" s="7">
        <f t="shared" si="6"/>
        <v>204765</v>
      </c>
      <c r="T115" s="8"/>
      <c r="U115" s="8">
        <v>5867304</v>
      </c>
      <c r="V115" s="7"/>
      <c r="W115" s="8">
        <f>622965+46738</f>
        <v>669703</v>
      </c>
    </row>
    <row r="116" spans="1:23" ht="12.75" customHeight="1" x14ac:dyDescent="0.2">
      <c r="A116" s="7" t="s">
        <v>127</v>
      </c>
      <c r="C116" s="7" t="s">
        <v>78</v>
      </c>
      <c r="D116" s="6"/>
      <c r="E116" s="8">
        <v>214724</v>
      </c>
      <c r="F116" s="8"/>
      <c r="G116" s="8">
        <v>1988782</v>
      </c>
      <c r="H116" s="8"/>
      <c r="I116" s="8">
        <v>0</v>
      </c>
      <c r="J116" s="8"/>
      <c r="K116" s="8">
        <v>1790</v>
      </c>
      <c r="L116" s="8"/>
      <c r="M116" s="8">
        <v>720005</v>
      </c>
      <c r="N116" s="8"/>
      <c r="O116" s="8">
        <v>0</v>
      </c>
      <c r="P116" s="8"/>
      <c r="Q116" s="8">
        <f>122330+16294</f>
        <v>138624</v>
      </c>
      <c r="R116" s="8"/>
      <c r="S116" s="7">
        <f t="shared" si="6"/>
        <v>106068</v>
      </c>
      <c r="T116" s="8"/>
      <c r="U116" s="8">
        <v>3169993</v>
      </c>
      <c r="V116" s="7"/>
      <c r="W116" s="8">
        <f>2890000+893052</f>
        <v>3783052</v>
      </c>
    </row>
    <row r="117" spans="1:23" ht="12.75" customHeight="1" x14ac:dyDescent="0.2">
      <c r="A117" s="7" t="s">
        <v>128</v>
      </c>
      <c r="B117" s="58"/>
      <c r="C117" s="7" t="s">
        <v>64</v>
      </c>
      <c r="D117" s="6"/>
      <c r="E117" s="8">
        <v>2944598</v>
      </c>
      <c r="F117" s="8"/>
      <c r="G117" s="8">
        <v>12377766</v>
      </c>
      <c r="H117" s="8"/>
      <c r="I117" s="8">
        <v>1192255</v>
      </c>
      <c r="J117" s="8"/>
      <c r="K117" s="8">
        <v>1489629</v>
      </c>
      <c r="L117" s="8"/>
      <c r="M117" s="8">
        <v>3975067</v>
      </c>
      <c r="N117" s="8"/>
      <c r="O117" s="8">
        <v>734557</v>
      </c>
      <c r="P117" s="8"/>
      <c r="Q117" s="8">
        <v>569105</v>
      </c>
      <c r="R117" s="8"/>
      <c r="S117" s="7">
        <f t="shared" si="6"/>
        <v>1609067</v>
      </c>
      <c r="T117" s="8"/>
      <c r="U117" s="8">
        <v>24892044</v>
      </c>
      <c r="V117" s="7"/>
      <c r="W117" s="8">
        <v>8815339</v>
      </c>
    </row>
    <row r="118" spans="1:23" ht="12.75" customHeight="1" x14ac:dyDescent="0.2">
      <c r="A118" s="7" t="s">
        <v>129</v>
      </c>
      <c r="C118" s="7" t="s">
        <v>11</v>
      </c>
      <c r="D118" s="6"/>
      <c r="E118" s="8">
        <v>4501593</v>
      </c>
      <c r="F118" s="8"/>
      <c r="G118" s="8">
        <v>16924821</v>
      </c>
      <c r="H118" s="8"/>
      <c r="I118" s="8">
        <v>0</v>
      </c>
      <c r="J118" s="8"/>
      <c r="K118" s="8">
        <v>1406405</v>
      </c>
      <c r="L118" s="8"/>
      <c r="M118" s="8">
        <v>8835797</v>
      </c>
      <c r="N118" s="8"/>
      <c r="O118" s="8">
        <v>338391</v>
      </c>
      <c r="P118" s="8"/>
      <c r="Q118" s="8">
        <v>56467</v>
      </c>
      <c r="R118" s="8"/>
      <c r="S118" s="7">
        <f t="shared" si="6"/>
        <v>634283</v>
      </c>
      <c r="T118" s="8"/>
      <c r="U118" s="8">
        <v>32697757</v>
      </c>
      <c r="V118" s="7"/>
      <c r="W118" s="8">
        <f>32646+6752878+7539000+96579</f>
        <v>14421103</v>
      </c>
    </row>
    <row r="119" spans="1:23" ht="12.75" customHeight="1" x14ac:dyDescent="0.2">
      <c r="A119" s="7" t="s">
        <v>36</v>
      </c>
      <c r="C119" s="7" t="s">
        <v>130</v>
      </c>
      <c r="D119" s="6"/>
      <c r="E119" s="8">
        <v>791222</v>
      </c>
      <c r="F119" s="8"/>
      <c r="G119" s="8">
        <v>2319601</v>
      </c>
      <c r="H119" s="8"/>
      <c r="I119" s="8">
        <v>20318</v>
      </c>
      <c r="J119" s="8"/>
      <c r="K119" s="8">
        <v>1273744</v>
      </c>
      <c r="L119" s="8"/>
      <c r="M119" s="8">
        <v>2743072</v>
      </c>
      <c r="N119" s="8"/>
      <c r="O119" s="8">
        <v>191861</v>
      </c>
      <c r="P119" s="8"/>
      <c r="Q119" s="8">
        <f>113749+350712</f>
        <v>464461</v>
      </c>
      <c r="R119" s="8"/>
      <c r="S119" s="7">
        <f t="shared" si="6"/>
        <v>185863</v>
      </c>
      <c r="T119" s="8"/>
      <c r="U119" s="8">
        <v>7990142</v>
      </c>
      <c r="V119" s="7"/>
      <c r="W119" s="8">
        <f>895000+195971+4226+1939497</f>
        <v>3034694</v>
      </c>
    </row>
    <row r="120" spans="1:23" ht="12.75" customHeight="1" x14ac:dyDescent="0.2">
      <c r="A120" s="7" t="s">
        <v>131</v>
      </c>
      <c r="C120" s="7" t="s">
        <v>25</v>
      </c>
      <c r="D120" s="6"/>
      <c r="E120" s="8">
        <v>985924</v>
      </c>
      <c r="F120" s="8"/>
      <c r="G120" s="8">
        <v>24700011</v>
      </c>
      <c r="H120" s="8"/>
      <c r="I120" s="8">
        <f>173733+1188902+11078+914807</f>
        <v>2288520</v>
      </c>
      <c r="J120" s="8"/>
      <c r="K120" s="8">
        <v>312093</v>
      </c>
      <c r="L120" s="8"/>
      <c r="M120" s="8">
        <v>821712</v>
      </c>
      <c r="N120" s="8"/>
      <c r="O120" s="8">
        <v>54732</v>
      </c>
      <c r="P120" s="8"/>
      <c r="Q120" s="8">
        <f>665541+323332</f>
        <v>988873</v>
      </c>
      <c r="R120" s="8"/>
      <c r="S120" s="7">
        <f t="shared" si="6"/>
        <v>970717</v>
      </c>
      <c r="T120" s="8"/>
      <c r="U120" s="8">
        <v>31122582</v>
      </c>
      <c r="V120" s="7"/>
      <c r="W120" s="8">
        <f>6800000+48960+42852+9817000</f>
        <v>16708812</v>
      </c>
    </row>
    <row r="121" spans="1:23" ht="12.75" hidden="1" customHeight="1" x14ac:dyDescent="0.2">
      <c r="A121" s="7" t="s">
        <v>476</v>
      </c>
      <c r="C121" s="7" t="s">
        <v>43</v>
      </c>
      <c r="D121" s="6"/>
      <c r="E121" s="8">
        <v>813785</v>
      </c>
      <c r="F121" s="8"/>
      <c r="G121" s="8">
        <v>5685073</v>
      </c>
      <c r="H121" s="8"/>
      <c r="I121" s="8">
        <v>0</v>
      </c>
      <c r="J121" s="8"/>
      <c r="K121" s="8">
        <v>465029</v>
      </c>
      <c r="L121" s="8"/>
      <c r="M121" s="8">
        <v>6168284</v>
      </c>
      <c r="N121" s="8"/>
      <c r="O121" s="8">
        <v>0</v>
      </c>
      <c r="P121" s="8"/>
      <c r="Q121" s="8">
        <f>400+39351</f>
        <v>39751</v>
      </c>
      <c r="R121" s="8"/>
      <c r="S121" s="7">
        <f t="shared" si="6"/>
        <v>860166</v>
      </c>
      <c r="T121" s="8"/>
      <c r="U121" s="8">
        <v>14032088</v>
      </c>
      <c r="V121" s="7"/>
      <c r="W121" s="8">
        <v>1531978</v>
      </c>
    </row>
    <row r="122" spans="1:23" ht="12.75" customHeight="1" x14ac:dyDescent="0.2">
      <c r="A122" s="6" t="s">
        <v>132</v>
      </c>
      <c r="B122" s="18"/>
      <c r="C122" s="6" t="s">
        <v>133</v>
      </c>
      <c r="D122" s="6"/>
      <c r="E122" s="8">
        <v>2799919</v>
      </c>
      <c r="F122" s="8"/>
      <c r="G122" s="8">
        <v>0</v>
      </c>
      <c r="H122" s="8"/>
      <c r="I122" s="8">
        <v>0</v>
      </c>
      <c r="J122" s="8"/>
      <c r="K122" s="8">
        <v>1538003</v>
      </c>
      <c r="L122" s="8"/>
      <c r="M122" s="8">
        <v>2617845</v>
      </c>
      <c r="N122" s="8"/>
      <c r="O122" s="8">
        <v>3345</v>
      </c>
      <c r="P122" s="8"/>
      <c r="Q122" s="8">
        <f>103648+483739</f>
        <v>587387</v>
      </c>
      <c r="R122" s="8"/>
      <c r="S122" s="7">
        <f t="shared" si="6"/>
        <v>375138</v>
      </c>
      <c r="T122" s="8"/>
      <c r="U122" s="8">
        <v>7921637</v>
      </c>
      <c r="V122" s="7"/>
      <c r="W122" s="8">
        <f>1000+38204</f>
        <v>39204</v>
      </c>
    </row>
    <row r="123" spans="1:23" ht="12.75" customHeight="1" x14ac:dyDescent="0.2">
      <c r="A123" s="7" t="s">
        <v>134</v>
      </c>
      <c r="C123" s="7" t="s">
        <v>134</v>
      </c>
      <c r="D123" s="6"/>
      <c r="E123" s="8">
        <v>1460789</v>
      </c>
      <c r="F123" s="8"/>
      <c r="G123" s="8">
        <v>0</v>
      </c>
      <c r="H123" s="8"/>
      <c r="I123" s="8">
        <v>0</v>
      </c>
      <c r="J123" s="8"/>
      <c r="K123" s="8">
        <v>2014655</v>
      </c>
      <c r="L123" s="8"/>
      <c r="M123" s="8">
        <v>1231048</v>
      </c>
      <c r="N123" s="8"/>
      <c r="O123" s="8">
        <v>0</v>
      </c>
      <c r="P123" s="8"/>
      <c r="Q123" s="8">
        <f>48696+102399</f>
        <v>151095</v>
      </c>
      <c r="R123" s="8"/>
      <c r="S123" s="7">
        <f t="shared" si="6"/>
        <v>705228</v>
      </c>
      <c r="T123" s="8"/>
      <c r="U123" s="8">
        <v>5562815</v>
      </c>
      <c r="V123" s="7"/>
      <c r="W123" s="8">
        <f>21400+260283</f>
        <v>281683</v>
      </c>
    </row>
    <row r="124" spans="1:23" ht="12.75" customHeight="1" x14ac:dyDescent="0.2">
      <c r="A124" s="7" t="s">
        <v>135</v>
      </c>
      <c r="C124" s="7" t="s">
        <v>20</v>
      </c>
      <c r="D124" s="6"/>
      <c r="E124" s="8">
        <v>2802943</v>
      </c>
      <c r="F124" s="8"/>
      <c r="G124" s="8">
        <v>11921978</v>
      </c>
      <c r="H124" s="8"/>
      <c r="I124" s="8">
        <v>450226</v>
      </c>
      <c r="J124" s="8"/>
      <c r="K124" s="8">
        <v>1837390</v>
      </c>
      <c r="L124" s="8"/>
      <c r="M124" s="8">
        <v>6824535</v>
      </c>
      <c r="N124" s="8"/>
      <c r="O124" s="8">
        <v>200091</v>
      </c>
      <c r="P124" s="8"/>
      <c r="Q124" s="8">
        <f>396389+223148</f>
        <v>619537</v>
      </c>
      <c r="R124" s="8"/>
      <c r="S124" s="7">
        <f t="shared" si="6"/>
        <v>532934</v>
      </c>
      <c r="T124" s="8"/>
      <c r="U124" s="8">
        <v>25189634</v>
      </c>
      <c r="V124" s="7"/>
      <c r="W124" s="8">
        <f>15346+1070784+40340+270762</f>
        <v>1397232</v>
      </c>
    </row>
    <row r="125" spans="1:23" ht="12.75" hidden="1" customHeight="1" x14ac:dyDescent="0.2">
      <c r="A125" s="7" t="s">
        <v>136</v>
      </c>
      <c r="C125" s="7" t="s">
        <v>137</v>
      </c>
      <c r="D125" s="6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7">
        <f t="shared" si="6"/>
        <v>0</v>
      </c>
      <c r="T125" s="8"/>
      <c r="U125" s="8"/>
      <c r="V125" s="7"/>
      <c r="W125" s="8"/>
    </row>
    <row r="126" spans="1:23" ht="12.75" customHeight="1" x14ac:dyDescent="0.2">
      <c r="A126" s="7" t="s">
        <v>138</v>
      </c>
      <c r="C126" s="7" t="s">
        <v>64</v>
      </c>
      <c r="D126" s="6"/>
      <c r="E126" s="8">
        <v>8131160</v>
      </c>
      <c r="F126" s="8"/>
      <c r="G126" s="8">
        <v>39891659</v>
      </c>
      <c r="H126" s="8"/>
      <c r="I126" s="8">
        <v>0</v>
      </c>
      <c r="J126" s="8"/>
      <c r="K126" s="8">
        <v>8794951</v>
      </c>
      <c r="L126" s="8"/>
      <c r="M126" s="8">
        <v>11090451</v>
      </c>
      <c r="N126" s="8"/>
      <c r="O126" s="8">
        <v>965122</v>
      </c>
      <c r="P126" s="8"/>
      <c r="Q126" s="8">
        <f>525190+1837695</f>
        <v>2362885</v>
      </c>
      <c r="R126" s="8"/>
      <c r="S126" s="7">
        <f t="shared" si="6"/>
        <v>3774222</v>
      </c>
      <c r="T126" s="8"/>
      <c r="U126" s="8">
        <v>75010450</v>
      </c>
      <c r="V126" s="7"/>
      <c r="W126" s="8">
        <f>11903130+597935</f>
        <v>12501065</v>
      </c>
    </row>
    <row r="127" spans="1:23" ht="12.75" customHeight="1" x14ac:dyDescent="0.2">
      <c r="A127" s="7" t="s">
        <v>473</v>
      </c>
      <c r="C127" s="7" t="s">
        <v>90</v>
      </c>
      <c r="D127" s="6"/>
      <c r="E127" s="8">
        <v>1605728</v>
      </c>
      <c r="F127" s="8"/>
      <c r="G127" s="8">
        <v>3180550</v>
      </c>
      <c r="H127" s="8"/>
      <c r="I127" s="8">
        <v>0</v>
      </c>
      <c r="J127" s="8"/>
      <c r="K127" s="8">
        <v>354037</v>
      </c>
      <c r="L127" s="8"/>
      <c r="M127" s="8">
        <v>1231369</v>
      </c>
      <c r="N127" s="8"/>
      <c r="O127" s="8">
        <v>0</v>
      </c>
      <c r="P127" s="8"/>
      <c r="Q127" s="8">
        <f>18925+18708</f>
        <v>37633</v>
      </c>
      <c r="R127" s="8"/>
      <c r="S127" s="7">
        <f t="shared" si="6"/>
        <v>287604</v>
      </c>
      <c r="T127" s="8"/>
      <c r="U127" s="8">
        <v>6696921</v>
      </c>
      <c r="V127" s="7"/>
      <c r="W127" s="8">
        <f>6988+135000+875000+434858</f>
        <v>1451846</v>
      </c>
    </row>
    <row r="128" spans="1:23" ht="12.75" customHeight="1" x14ac:dyDescent="0.2">
      <c r="A128" s="7" t="s">
        <v>139</v>
      </c>
      <c r="C128" s="7" t="s">
        <v>25</v>
      </c>
      <c r="D128" s="6"/>
      <c r="E128" s="8">
        <v>12041251</v>
      </c>
      <c r="F128" s="8"/>
      <c r="G128" s="8">
        <v>19542235</v>
      </c>
      <c r="H128" s="8"/>
      <c r="I128" s="8">
        <v>379614</v>
      </c>
      <c r="J128" s="8"/>
      <c r="K128" s="8">
        <v>3396958</v>
      </c>
      <c r="L128" s="8"/>
      <c r="M128" s="8">
        <v>10383636</v>
      </c>
      <c r="N128" s="8"/>
      <c r="O128" s="8">
        <v>75390</v>
      </c>
      <c r="P128" s="8"/>
      <c r="Q128" s="8">
        <f>2351660+1811478</f>
        <v>4163138</v>
      </c>
      <c r="R128" s="8"/>
      <c r="S128" s="7">
        <f t="shared" si="6"/>
        <v>943555</v>
      </c>
      <c r="T128" s="8"/>
      <c r="U128" s="8">
        <v>50925777</v>
      </c>
      <c r="V128" s="7"/>
      <c r="W128" s="8">
        <f>130124+974285+5896000+3427889+3097661+137491+4286718</f>
        <v>17950168</v>
      </c>
    </row>
    <row r="129" spans="1:24" ht="12.75" customHeight="1" x14ac:dyDescent="0.2">
      <c r="A129" s="7" t="s">
        <v>140</v>
      </c>
      <c r="C129" s="7" t="s">
        <v>100</v>
      </c>
      <c r="D129" s="6"/>
      <c r="E129" s="8">
        <v>20167837</v>
      </c>
      <c r="F129" s="8"/>
      <c r="G129" s="8">
        <v>0</v>
      </c>
      <c r="H129" s="8"/>
      <c r="I129" s="8">
        <v>0</v>
      </c>
      <c r="J129" s="8"/>
      <c r="K129" s="8">
        <v>4463521</v>
      </c>
      <c r="L129" s="8"/>
      <c r="M129" s="8">
        <v>10125086</v>
      </c>
      <c r="N129" s="8"/>
      <c r="O129" s="8">
        <v>122408</v>
      </c>
      <c r="P129" s="8"/>
      <c r="Q129" s="8">
        <f>26190+2313306</f>
        <v>2339496</v>
      </c>
      <c r="R129" s="8"/>
      <c r="S129" s="7">
        <f t="shared" si="6"/>
        <v>1404153</v>
      </c>
      <c r="T129" s="8"/>
      <c r="U129" s="8">
        <v>38622501</v>
      </c>
      <c r="V129" s="7"/>
      <c r="W129" s="8">
        <f>1049337+1288514+9806</f>
        <v>2347657</v>
      </c>
    </row>
    <row r="130" spans="1:24" ht="12.75" customHeight="1" x14ac:dyDescent="0.2">
      <c r="A130" s="7" t="s">
        <v>141</v>
      </c>
      <c r="C130" s="7" t="s">
        <v>109</v>
      </c>
      <c r="D130" s="6"/>
      <c r="E130" s="8">
        <v>3070560</v>
      </c>
      <c r="F130" s="8"/>
      <c r="G130" s="8">
        <v>6155444</v>
      </c>
      <c r="H130" s="8"/>
      <c r="I130" s="8">
        <f>1366321+1758769</f>
        <v>3125090</v>
      </c>
      <c r="J130" s="8"/>
      <c r="K130" s="8">
        <v>2819113</v>
      </c>
      <c r="L130" s="8"/>
      <c r="M130" s="8">
        <v>2647883</v>
      </c>
      <c r="N130" s="8"/>
      <c r="O130" s="8">
        <v>89051</v>
      </c>
      <c r="P130" s="8"/>
      <c r="Q130" s="8">
        <v>737151</v>
      </c>
      <c r="R130" s="8"/>
      <c r="S130" s="7">
        <f t="shared" si="6"/>
        <v>496955</v>
      </c>
      <c r="T130" s="8"/>
      <c r="U130" s="8">
        <v>19141247</v>
      </c>
      <c r="V130" s="7"/>
      <c r="W130" s="8">
        <f>64912+662500</f>
        <v>727412</v>
      </c>
    </row>
    <row r="131" spans="1:24" ht="12.75" customHeight="1" x14ac:dyDescent="0.2">
      <c r="A131" s="7" t="s">
        <v>142</v>
      </c>
      <c r="C131" s="7" t="s">
        <v>86</v>
      </c>
      <c r="D131" s="6"/>
      <c r="E131" s="8">
        <v>1110806</v>
      </c>
      <c r="F131" s="8"/>
      <c r="G131" s="8">
        <v>15714825</v>
      </c>
      <c r="H131" s="8"/>
      <c r="I131" s="8">
        <v>181827</v>
      </c>
      <c r="J131" s="8"/>
      <c r="K131" s="8">
        <v>6663705</v>
      </c>
      <c r="L131" s="8"/>
      <c r="M131" s="8">
        <v>9478598</v>
      </c>
      <c r="N131" s="8"/>
      <c r="O131" s="8">
        <v>69336</v>
      </c>
      <c r="P131" s="8"/>
      <c r="Q131" s="8">
        <f>831922+1744696</f>
        <v>2576618</v>
      </c>
      <c r="R131" s="8"/>
      <c r="S131" s="7">
        <f t="shared" si="6"/>
        <v>1079559</v>
      </c>
      <c r="T131" s="8"/>
      <c r="U131" s="8">
        <v>36875274</v>
      </c>
      <c r="V131" s="7"/>
      <c r="W131" s="8">
        <f>34430+1985000+23798+1357561+61410</f>
        <v>3462199</v>
      </c>
    </row>
    <row r="132" spans="1:24" ht="12.75" customHeight="1" x14ac:dyDescent="0.2">
      <c r="A132" s="7" t="s">
        <v>34</v>
      </c>
      <c r="C132" s="7" t="s">
        <v>143</v>
      </c>
      <c r="D132" s="6"/>
      <c r="E132" s="8">
        <v>491748</v>
      </c>
      <c r="F132" s="8"/>
      <c r="G132" s="8">
        <v>2593258</v>
      </c>
      <c r="H132" s="8"/>
      <c r="I132" s="8">
        <v>0</v>
      </c>
      <c r="J132" s="8"/>
      <c r="K132" s="8">
        <v>321269</v>
      </c>
      <c r="L132" s="8"/>
      <c r="M132" s="8">
        <v>1259789</v>
      </c>
      <c r="N132" s="8"/>
      <c r="O132" s="8">
        <v>0</v>
      </c>
      <c r="P132" s="8"/>
      <c r="Q132" s="8">
        <v>43647</v>
      </c>
      <c r="R132" s="8"/>
      <c r="S132" s="7">
        <f t="shared" si="6"/>
        <v>58390</v>
      </c>
      <c r="T132" s="8"/>
      <c r="U132" s="8">
        <v>4768101</v>
      </c>
      <c r="V132" s="7"/>
      <c r="W132" s="8">
        <v>10000</v>
      </c>
    </row>
    <row r="133" spans="1:24" ht="12.75" customHeight="1" x14ac:dyDescent="0.2">
      <c r="A133" s="7" t="s">
        <v>144</v>
      </c>
      <c r="C133" s="7" t="s">
        <v>145</v>
      </c>
      <c r="D133" s="6"/>
      <c r="E133" s="8">
        <v>4625348</v>
      </c>
      <c r="F133" s="8"/>
      <c r="G133" s="8">
        <v>0</v>
      </c>
      <c r="H133" s="8"/>
      <c r="I133" s="8">
        <v>0</v>
      </c>
      <c r="J133" s="8"/>
      <c r="K133" s="8">
        <v>329860</v>
      </c>
      <c r="L133" s="8"/>
      <c r="M133" s="8">
        <v>968480</v>
      </c>
      <c r="N133" s="8"/>
      <c r="O133" s="8">
        <v>63898</v>
      </c>
      <c r="P133" s="8"/>
      <c r="Q133" s="8">
        <v>218989</v>
      </c>
      <c r="R133" s="8"/>
      <c r="S133" s="7">
        <f t="shared" si="6"/>
        <v>57404</v>
      </c>
      <c r="T133" s="8"/>
      <c r="U133" s="8">
        <v>6263979</v>
      </c>
      <c r="V133" s="7"/>
      <c r="W133" s="8">
        <f>20+5700+582447</f>
        <v>588167</v>
      </c>
    </row>
    <row r="134" spans="1:24" s="57" customFormat="1" ht="12.75" customHeight="1" x14ac:dyDescent="0.2">
      <c r="A134" s="7" t="s">
        <v>15</v>
      </c>
      <c r="B134" s="56"/>
      <c r="C134" s="7" t="s">
        <v>15</v>
      </c>
      <c r="D134" s="6"/>
      <c r="E134" s="8">
        <v>3422090</v>
      </c>
      <c r="F134" s="8"/>
      <c r="G134" s="8">
        <v>18330321</v>
      </c>
      <c r="H134" s="8"/>
      <c r="I134" s="8">
        <v>695739</v>
      </c>
      <c r="J134" s="8"/>
      <c r="K134" s="8">
        <v>2126964</v>
      </c>
      <c r="L134" s="8"/>
      <c r="M134" s="8">
        <v>13002984</v>
      </c>
      <c r="N134" s="8"/>
      <c r="O134" s="8">
        <v>69882</v>
      </c>
      <c r="P134" s="8"/>
      <c r="Q134" s="8">
        <f>1082878+2165344</f>
        <v>3248222</v>
      </c>
      <c r="R134" s="8"/>
      <c r="S134" s="7">
        <f t="shared" ref="S134:S142" si="7">+U134-SUM(E134:Q134)</f>
        <v>1551124</v>
      </c>
      <c r="T134" s="8"/>
      <c r="U134" s="16">
        <v>42447326</v>
      </c>
      <c r="V134" s="7"/>
      <c r="W134" s="7">
        <f>2677334+5535000+5815000+1119366+4014044</f>
        <v>19160744</v>
      </c>
    </row>
    <row r="135" spans="1:24" ht="12.75" customHeight="1" x14ac:dyDescent="0.2">
      <c r="A135" s="7" t="s">
        <v>146</v>
      </c>
      <c r="C135" s="7" t="s">
        <v>13</v>
      </c>
      <c r="D135" s="6"/>
      <c r="E135" s="8">
        <v>281171</v>
      </c>
      <c r="F135" s="8"/>
      <c r="G135" s="8">
        <v>2674757</v>
      </c>
      <c r="H135" s="8"/>
      <c r="I135" s="8">
        <v>0</v>
      </c>
      <c r="J135" s="8"/>
      <c r="K135" s="8">
        <v>489370</v>
      </c>
      <c r="L135" s="8"/>
      <c r="M135" s="8">
        <v>2169197</v>
      </c>
      <c r="N135" s="8"/>
      <c r="O135" s="8">
        <v>0</v>
      </c>
      <c r="P135" s="8"/>
      <c r="Q135" s="8">
        <f>149538+33369</f>
        <v>182907</v>
      </c>
      <c r="R135" s="8"/>
      <c r="S135" s="7">
        <f t="shared" si="7"/>
        <v>60154</v>
      </c>
      <c r="T135" s="8"/>
      <c r="U135" s="8">
        <v>5857556</v>
      </c>
      <c r="V135" s="7"/>
      <c r="W135" s="8">
        <f>235000+120000+2301+415866</f>
        <v>773167</v>
      </c>
    </row>
    <row r="136" spans="1:24" ht="12.75" customHeight="1" x14ac:dyDescent="0.2">
      <c r="A136" s="7" t="s">
        <v>147</v>
      </c>
      <c r="C136" s="7" t="s">
        <v>43</v>
      </c>
      <c r="D136" s="6"/>
      <c r="E136" s="8">
        <v>2875721</v>
      </c>
      <c r="F136" s="8"/>
      <c r="G136" s="8">
        <v>3496995</v>
      </c>
      <c r="H136" s="8"/>
      <c r="I136" s="8">
        <v>0</v>
      </c>
      <c r="J136" s="8"/>
      <c r="K136" s="8">
        <v>75933</v>
      </c>
      <c r="L136" s="8"/>
      <c r="M136" s="8">
        <v>1559656</v>
      </c>
      <c r="N136" s="8"/>
      <c r="O136" s="8">
        <v>112305</v>
      </c>
      <c r="P136" s="8"/>
      <c r="Q136" s="8">
        <f>313988+132509</f>
        <v>446497</v>
      </c>
      <c r="R136" s="8"/>
      <c r="S136" s="7">
        <f t="shared" si="7"/>
        <v>265114</v>
      </c>
      <c r="T136" s="8"/>
      <c r="U136" s="8">
        <v>8832221</v>
      </c>
      <c r="V136" s="7"/>
      <c r="W136" s="8">
        <f>9505+715000+75698+889160</f>
        <v>1689363</v>
      </c>
    </row>
    <row r="137" spans="1:24" s="57" customFormat="1" ht="12.75" customHeight="1" x14ac:dyDescent="0.2">
      <c r="A137" s="7" t="s">
        <v>148</v>
      </c>
      <c r="B137" s="56"/>
      <c r="C137" s="7" t="s">
        <v>25</v>
      </c>
      <c r="D137" s="6"/>
      <c r="E137" s="8">
        <v>4333380</v>
      </c>
      <c r="F137" s="8"/>
      <c r="G137" s="8">
        <v>6828252</v>
      </c>
      <c r="H137" s="8"/>
      <c r="I137" s="8">
        <v>130038</v>
      </c>
      <c r="J137" s="8"/>
      <c r="K137" s="8">
        <v>611088</v>
      </c>
      <c r="L137" s="8"/>
      <c r="M137" s="8">
        <v>4318984</v>
      </c>
      <c r="N137" s="8"/>
      <c r="O137" s="8">
        <v>1027030</v>
      </c>
      <c r="P137" s="8"/>
      <c r="Q137" s="8">
        <f>46877+1679031</f>
        <v>1725908</v>
      </c>
      <c r="R137" s="8"/>
      <c r="S137" s="7">
        <f t="shared" si="7"/>
        <v>446073</v>
      </c>
      <c r="T137" s="8"/>
      <c r="U137" s="8">
        <v>19420753</v>
      </c>
      <c r="V137" s="7"/>
      <c r="W137" s="8">
        <f>97068+800000+1554859</f>
        <v>2451927</v>
      </c>
    </row>
    <row r="138" spans="1:24" ht="12.75" customHeight="1" x14ac:dyDescent="0.2">
      <c r="A138" s="7" t="s">
        <v>149</v>
      </c>
      <c r="C138" s="7" t="s">
        <v>11</v>
      </c>
      <c r="D138" s="6"/>
      <c r="E138" s="8">
        <v>2210299</v>
      </c>
      <c r="F138" s="8"/>
      <c r="G138" s="8">
        <v>8377742</v>
      </c>
      <c r="H138" s="8"/>
      <c r="I138" s="8">
        <v>44719</v>
      </c>
      <c r="J138" s="8"/>
      <c r="K138" s="8">
        <v>1965882</v>
      </c>
      <c r="L138" s="8"/>
      <c r="M138" s="8">
        <v>8330059</v>
      </c>
      <c r="N138" s="8"/>
      <c r="O138" s="8">
        <v>314245</v>
      </c>
      <c r="P138" s="8"/>
      <c r="Q138" s="8">
        <f>295493+615006</f>
        <v>910499</v>
      </c>
      <c r="R138" s="8"/>
      <c r="S138" s="7">
        <f t="shared" si="7"/>
        <v>137637</v>
      </c>
      <c r="T138" s="8"/>
      <c r="U138" s="8">
        <v>22291082</v>
      </c>
      <c r="V138" s="7"/>
      <c r="W138" s="8">
        <v>2753770</v>
      </c>
    </row>
    <row r="139" spans="1:24" ht="12.75" customHeight="1" x14ac:dyDescent="0.2">
      <c r="A139" s="7" t="s">
        <v>475</v>
      </c>
      <c r="C139" s="7" t="s">
        <v>43</v>
      </c>
      <c r="D139" s="6"/>
      <c r="E139" s="8">
        <v>4226885</v>
      </c>
      <c r="F139" s="8"/>
      <c r="G139" s="8">
        <v>0</v>
      </c>
      <c r="H139" s="8"/>
      <c r="I139" s="8">
        <v>0</v>
      </c>
      <c r="J139" s="8"/>
      <c r="K139" s="8">
        <v>133489</v>
      </c>
      <c r="L139" s="8"/>
      <c r="M139" s="8">
        <v>1433242</v>
      </c>
      <c r="N139" s="8"/>
      <c r="O139" s="8">
        <v>0</v>
      </c>
      <c r="P139" s="8"/>
      <c r="Q139" s="8">
        <f>89063+116858</f>
        <v>205921</v>
      </c>
      <c r="R139" s="8"/>
      <c r="S139" s="7">
        <f t="shared" si="7"/>
        <v>314345</v>
      </c>
      <c r="T139" s="8"/>
      <c r="U139" s="8">
        <v>6313882</v>
      </c>
      <c r="V139" s="7"/>
      <c r="W139" s="8">
        <v>209500</v>
      </c>
      <c r="X139" s="7"/>
    </row>
    <row r="140" spans="1:24" s="58" customFormat="1" ht="12.75" customHeight="1" x14ac:dyDescent="0.2">
      <c r="A140" s="7" t="s">
        <v>150</v>
      </c>
      <c r="B140" s="56"/>
      <c r="C140" s="7" t="s">
        <v>151</v>
      </c>
      <c r="D140" s="6"/>
      <c r="E140" s="8">
        <v>1800415</v>
      </c>
      <c r="F140" s="8"/>
      <c r="G140" s="8">
        <v>23210618</v>
      </c>
      <c r="H140" s="8"/>
      <c r="I140" s="8">
        <v>0</v>
      </c>
      <c r="J140" s="8"/>
      <c r="K140" s="8">
        <v>3955765</v>
      </c>
      <c r="L140" s="8"/>
      <c r="M140" s="8">
        <v>15263618</v>
      </c>
      <c r="N140" s="8"/>
      <c r="O140" s="8">
        <v>25418</v>
      </c>
      <c r="P140" s="8"/>
      <c r="Q140" s="8">
        <f>1301348+1962732</f>
        <v>3264080</v>
      </c>
      <c r="R140" s="8"/>
      <c r="S140" s="7">
        <f t="shared" si="7"/>
        <v>783311</v>
      </c>
      <c r="T140" s="8"/>
      <c r="U140" s="8">
        <v>48303225</v>
      </c>
      <c r="V140" s="7"/>
      <c r="W140" s="8">
        <f>82557+12243698+363494</f>
        <v>12689749</v>
      </c>
    </row>
    <row r="141" spans="1:24" ht="12.75" customHeight="1" x14ac:dyDescent="0.2">
      <c r="A141" s="7" t="s">
        <v>152</v>
      </c>
      <c r="C141" s="7" t="s">
        <v>25</v>
      </c>
      <c r="D141" s="6"/>
      <c r="E141" s="8">
        <v>5227788</v>
      </c>
      <c r="F141" s="8"/>
      <c r="G141" s="8">
        <v>7293044</v>
      </c>
      <c r="H141" s="8"/>
      <c r="I141" s="8">
        <v>0</v>
      </c>
      <c r="J141" s="8"/>
      <c r="K141" s="8">
        <v>1918029</v>
      </c>
      <c r="L141" s="8"/>
      <c r="M141" s="8">
        <v>3205290</v>
      </c>
      <c r="N141" s="8"/>
      <c r="O141" s="8">
        <v>296820</v>
      </c>
      <c r="P141" s="8"/>
      <c r="Q141" s="8">
        <v>1898391</v>
      </c>
      <c r="R141" s="8"/>
      <c r="S141" s="7">
        <f t="shared" si="7"/>
        <v>323737</v>
      </c>
      <c r="T141" s="8"/>
      <c r="U141" s="8">
        <v>20163099</v>
      </c>
      <c r="V141" s="7"/>
      <c r="W141" s="8">
        <f>26599+374819+2869624</f>
        <v>3271042</v>
      </c>
    </row>
    <row r="142" spans="1:24" ht="12.75" customHeight="1" x14ac:dyDescent="0.2">
      <c r="A142" s="7" t="s">
        <v>153</v>
      </c>
      <c r="C142" s="7" t="s">
        <v>38</v>
      </c>
      <c r="D142" s="6"/>
      <c r="E142" s="8">
        <v>516317</v>
      </c>
      <c r="F142" s="8"/>
      <c r="G142" s="8">
        <v>8655407</v>
      </c>
      <c r="H142" s="8"/>
      <c r="I142" s="8">
        <f>427948+374918+215018</f>
        <v>1017884</v>
      </c>
      <c r="J142" s="8"/>
      <c r="K142" s="8">
        <v>2155165</v>
      </c>
      <c r="L142" s="8"/>
      <c r="M142" s="8">
        <v>6011967</v>
      </c>
      <c r="N142" s="8"/>
      <c r="O142" s="8">
        <v>0</v>
      </c>
      <c r="P142" s="8"/>
      <c r="Q142" s="8">
        <v>910242</v>
      </c>
      <c r="R142" s="8"/>
      <c r="S142" s="7">
        <f t="shared" si="7"/>
        <v>357666</v>
      </c>
      <c r="T142" s="8"/>
      <c r="U142" s="8">
        <v>19624648</v>
      </c>
      <c r="V142" s="7"/>
      <c r="W142" s="8">
        <f>3240000+106176+143155</f>
        <v>3489331</v>
      </c>
    </row>
    <row r="143" spans="1:24" ht="12.75" customHeight="1" x14ac:dyDescent="0.2">
      <c r="A143" s="7" t="s">
        <v>154</v>
      </c>
      <c r="C143" s="7" t="s">
        <v>154</v>
      </c>
      <c r="D143" s="6"/>
      <c r="E143" s="8">
        <v>1213171</v>
      </c>
      <c r="F143" s="8"/>
      <c r="G143" s="8">
        <v>12679571</v>
      </c>
      <c r="H143" s="8"/>
      <c r="I143" s="8">
        <v>375340</v>
      </c>
      <c r="J143" s="8"/>
      <c r="K143" s="8">
        <v>1242226</v>
      </c>
      <c r="L143" s="8"/>
      <c r="M143" s="8">
        <v>6623132</v>
      </c>
      <c r="N143" s="8"/>
      <c r="O143" s="8">
        <v>0</v>
      </c>
      <c r="P143" s="8"/>
      <c r="Q143" s="8">
        <f>366646+1059463</f>
        <v>1426109</v>
      </c>
      <c r="R143" s="8"/>
      <c r="S143" s="7">
        <f t="shared" ref="S143" si="8">+U143-SUM(E143:Q143)</f>
        <v>388726</v>
      </c>
      <c r="T143" s="8"/>
      <c r="U143" s="8">
        <v>23948275</v>
      </c>
      <c r="V143" s="7"/>
      <c r="W143" s="8">
        <f>1551743+23400</f>
        <v>1575143</v>
      </c>
    </row>
    <row r="144" spans="1:24" ht="12.75" customHeight="1" x14ac:dyDescent="0.2">
      <c r="A144" s="7" t="s">
        <v>155</v>
      </c>
      <c r="C144" s="7" t="s">
        <v>31</v>
      </c>
      <c r="D144" s="6"/>
      <c r="E144" s="8">
        <v>365423</v>
      </c>
      <c r="F144" s="8"/>
      <c r="G144" s="8">
        <v>1123940</v>
      </c>
      <c r="H144" s="8"/>
      <c r="I144" s="8">
        <v>0</v>
      </c>
      <c r="J144" s="8"/>
      <c r="K144" s="8">
        <v>1255973</v>
      </c>
      <c r="L144" s="8"/>
      <c r="M144" s="8">
        <v>1506882</v>
      </c>
      <c r="N144" s="8"/>
      <c r="O144" s="8">
        <v>0</v>
      </c>
      <c r="P144" s="8"/>
      <c r="Q144" s="8">
        <f>77768+92983</f>
        <v>170751</v>
      </c>
      <c r="R144" s="8"/>
      <c r="S144" s="7">
        <f t="shared" ref="S144:S167" si="9">+U144-SUM(E144:Q144)</f>
        <v>98486</v>
      </c>
      <c r="T144" s="8"/>
      <c r="U144" s="8">
        <v>4521455</v>
      </c>
      <c r="V144" s="7"/>
      <c r="W144" s="8">
        <f>465148+435000+729435+12341+31360+167628</f>
        <v>1840912</v>
      </c>
    </row>
    <row r="145" spans="1:24" ht="12.75" customHeight="1" x14ac:dyDescent="0.2">
      <c r="A145" s="7" t="s">
        <v>156</v>
      </c>
      <c r="C145" s="7" t="s">
        <v>157</v>
      </c>
      <c r="D145" s="6"/>
      <c r="E145" s="8">
        <v>1588388</v>
      </c>
      <c r="F145" s="8"/>
      <c r="G145" s="8">
        <v>13156605</v>
      </c>
      <c r="H145" s="8"/>
      <c r="I145" s="8">
        <f>1169102+1486927</f>
        <v>2656029</v>
      </c>
      <c r="J145" s="8"/>
      <c r="K145" s="8">
        <v>1862124</v>
      </c>
      <c r="L145" s="8"/>
      <c r="M145" s="8">
        <v>1936554</v>
      </c>
      <c r="N145" s="8"/>
      <c r="O145" s="8">
        <v>21731</v>
      </c>
      <c r="P145" s="8"/>
      <c r="Q145" s="8">
        <f>139413+788317</f>
        <v>927730</v>
      </c>
      <c r="R145" s="8"/>
      <c r="S145" s="7">
        <f t="shared" si="9"/>
        <v>125370</v>
      </c>
      <c r="T145" s="8"/>
      <c r="U145" s="8">
        <v>22274531</v>
      </c>
      <c r="V145" s="7"/>
      <c r="W145" s="8">
        <f>1670+7817696</f>
        <v>7819366</v>
      </c>
      <c r="X145" s="58"/>
    </row>
    <row r="146" spans="1:24" s="57" customFormat="1" ht="12.75" customHeight="1" x14ac:dyDescent="0.2">
      <c r="A146" s="9" t="s">
        <v>158</v>
      </c>
      <c r="C146" s="9" t="s">
        <v>109</v>
      </c>
      <c r="D146" s="19"/>
      <c r="E146" s="8">
        <v>29277581</v>
      </c>
      <c r="F146" s="8"/>
      <c r="G146" s="8">
        <v>0</v>
      </c>
      <c r="H146" s="8"/>
      <c r="I146" s="8">
        <v>2351777</v>
      </c>
      <c r="J146" s="8"/>
      <c r="K146" s="8">
        <v>2076044</v>
      </c>
      <c r="L146" s="8"/>
      <c r="M146" s="8">
        <v>7793877</v>
      </c>
      <c r="N146" s="8"/>
      <c r="O146" s="8">
        <v>13364</v>
      </c>
      <c r="P146" s="8"/>
      <c r="Q146" s="8">
        <v>2238725</v>
      </c>
      <c r="R146" s="8"/>
      <c r="S146" s="7">
        <f t="shared" si="9"/>
        <v>1529888</v>
      </c>
      <c r="T146" s="8"/>
      <c r="U146" s="8">
        <v>45281256</v>
      </c>
      <c r="V146" s="7"/>
      <c r="W146" s="8">
        <f>450000+1828365</f>
        <v>2278365</v>
      </c>
    </row>
    <row r="147" spans="1:24" ht="12.75" customHeight="1" x14ac:dyDescent="0.2">
      <c r="A147" s="7" t="s">
        <v>159</v>
      </c>
      <c r="C147" s="7" t="s">
        <v>13</v>
      </c>
      <c r="D147" s="6"/>
      <c r="E147" s="8">
        <v>1579957</v>
      </c>
      <c r="F147" s="8"/>
      <c r="G147" s="8">
        <v>14624896</v>
      </c>
      <c r="H147" s="8"/>
      <c r="I147" s="8">
        <v>261146</v>
      </c>
      <c r="J147" s="8"/>
      <c r="K147" s="8">
        <v>3063374</v>
      </c>
      <c r="L147" s="8"/>
      <c r="M147" s="8">
        <v>5198651</v>
      </c>
      <c r="N147" s="8"/>
      <c r="O147" s="8">
        <v>381</v>
      </c>
      <c r="P147" s="8"/>
      <c r="Q147" s="8">
        <f>443300+1803256</f>
        <v>2246556</v>
      </c>
      <c r="R147" s="8"/>
      <c r="S147" s="7">
        <f t="shared" si="9"/>
        <v>1005908</v>
      </c>
      <c r="T147" s="8"/>
      <c r="U147" s="8">
        <v>27980869</v>
      </c>
      <c r="V147" s="7"/>
      <c r="W147" s="8">
        <f>8505000+1649337</f>
        <v>10154337</v>
      </c>
    </row>
    <row r="148" spans="1:24" ht="12.75" customHeight="1" x14ac:dyDescent="0.2">
      <c r="A148" s="7" t="s">
        <v>160</v>
      </c>
      <c r="C148" s="7" t="s">
        <v>161</v>
      </c>
      <c r="D148" s="6"/>
      <c r="E148" s="8">
        <v>3377138</v>
      </c>
      <c r="F148" s="8"/>
      <c r="G148" s="8">
        <v>15066453</v>
      </c>
      <c r="H148" s="8"/>
      <c r="I148" s="8">
        <v>0</v>
      </c>
      <c r="J148" s="8"/>
      <c r="K148" s="8">
        <v>1341075</v>
      </c>
      <c r="L148" s="8"/>
      <c r="M148" s="8">
        <v>3303025</v>
      </c>
      <c r="N148" s="8"/>
      <c r="O148" s="8">
        <v>371484</v>
      </c>
      <c r="P148" s="8"/>
      <c r="Q148" s="8">
        <f>306020+942764</f>
        <v>1248784</v>
      </c>
      <c r="R148" s="8"/>
      <c r="S148" s="7">
        <f t="shared" si="9"/>
        <v>782280</v>
      </c>
      <c r="T148" s="8"/>
      <c r="U148" s="8">
        <v>25490239</v>
      </c>
      <c r="V148" s="7"/>
      <c r="W148" s="8">
        <f>6731+3910000+8423944</f>
        <v>12340675</v>
      </c>
    </row>
    <row r="149" spans="1:24" ht="12.75" customHeight="1" x14ac:dyDescent="0.2">
      <c r="A149" s="7" t="s">
        <v>162</v>
      </c>
      <c r="C149" s="7" t="s">
        <v>25</v>
      </c>
      <c r="D149" s="6"/>
      <c r="E149" s="8">
        <v>4942445</v>
      </c>
      <c r="F149" s="8"/>
      <c r="G149" s="8">
        <v>13000364</v>
      </c>
      <c r="H149" s="8"/>
      <c r="I149" s="8">
        <v>275168</v>
      </c>
      <c r="J149" s="8"/>
      <c r="K149" s="8">
        <v>1337146</v>
      </c>
      <c r="L149" s="8"/>
      <c r="M149" s="8">
        <v>2403349</v>
      </c>
      <c r="N149" s="8"/>
      <c r="O149" s="8">
        <v>3701</v>
      </c>
      <c r="P149" s="8"/>
      <c r="Q149" s="8">
        <v>646959</v>
      </c>
      <c r="R149" s="8"/>
      <c r="S149" s="7">
        <f t="shared" si="9"/>
        <v>296329</v>
      </c>
      <c r="T149" s="8"/>
      <c r="U149" s="8">
        <v>22905461</v>
      </c>
      <c r="V149" s="7"/>
      <c r="W149" s="8">
        <f>17260+1875000+1096500</f>
        <v>2988760</v>
      </c>
    </row>
    <row r="150" spans="1:24" ht="12.75" customHeight="1" x14ac:dyDescent="0.2">
      <c r="A150" s="7" t="s">
        <v>51</v>
      </c>
      <c r="C150" s="7" t="s">
        <v>51</v>
      </c>
      <c r="D150" s="6"/>
      <c r="E150" s="8">
        <v>2578980</v>
      </c>
      <c r="F150" s="8"/>
      <c r="G150" s="8">
        <v>12943449</v>
      </c>
      <c r="H150" s="8"/>
      <c r="I150" s="8">
        <f>811+52798</f>
        <v>53609</v>
      </c>
      <c r="J150" s="8"/>
      <c r="K150" s="8">
        <v>1212235</v>
      </c>
      <c r="L150" s="8"/>
      <c r="M150" s="8">
        <v>5540906</v>
      </c>
      <c r="N150" s="8"/>
      <c r="O150" s="8">
        <v>261747</v>
      </c>
      <c r="P150" s="8"/>
      <c r="Q150" s="8">
        <f>542993+1599511</f>
        <v>2142504</v>
      </c>
      <c r="R150" s="8"/>
      <c r="S150" s="7">
        <f t="shared" si="9"/>
        <v>241532</v>
      </c>
      <c r="T150" s="8"/>
      <c r="U150" s="8">
        <v>24974962</v>
      </c>
      <c r="V150" s="7"/>
      <c r="W150" s="8">
        <f>1190000+24682+22114</f>
        <v>1236796</v>
      </c>
    </row>
    <row r="151" spans="1:24" ht="12.75" customHeight="1" x14ac:dyDescent="0.2">
      <c r="A151" s="7" t="s">
        <v>163</v>
      </c>
      <c r="C151" s="7" t="s">
        <v>90</v>
      </c>
      <c r="D151" s="6"/>
      <c r="E151" s="8">
        <v>5205509</v>
      </c>
      <c r="F151" s="8"/>
      <c r="G151" s="8">
        <v>36506741</v>
      </c>
      <c r="H151" s="8"/>
      <c r="I151" s="8">
        <f>514501+662591</f>
        <v>1177092</v>
      </c>
      <c r="J151" s="8"/>
      <c r="K151" s="8">
        <v>5994561</v>
      </c>
      <c r="L151" s="8"/>
      <c r="M151" s="8">
        <v>8529405</v>
      </c>
      <c r="N151" s="8"/>
      <c r="O151" s="8">
        <v>1969281</v>
      </c>
      <c r="P151" s="8"/>
      <c r="Q151" s="8">
        <f>1525995+1562892</f>
        <v>3088887</v>
      </c>
      <c r="R151" s="8"/>
      <c r="S151" s="7">
        <f t="shared" si="9"/>
        <v>1462727</v>
      </c>
      <c r="T151" s="8"/>
      <c r="U151" s="8">
        <v>63934203</v>
      </c>
      <c r="V151" s="7"/>
      <c r="W151" s="8">
        <f>50000+908428</f>
        <v>958428</v>
      </c>
    </row>
    <row r="152" spans="1:24" ht="12.75" customHeight="1" x14ac:dyDescent="0.2">
      <c r="A152" s="7" t="s">
        <v>164</v>
      </c>
      <c r="C152" s="7" t="s">
        <v>90</v>
      </c>
      <c r="D152" s="6"/>
      <c r="E152" s="8">
        <v>1542193</v>
      </c>
      <c r="F152" s="8"/>
      <c r="G152" s="8">
        <v>853816</v>
      </c>
      <c r="H152" s="8"/>
      <c r="I152" s="8">
        <v>0</v>
      </c>
      <c r="J152" s="8"/>
      <c r="K152" s="8">
        <v>680485</v>
      </c>
      <c r="L152" s="8"/>
      <c r="M152" s="8">
        <v>1008234</v>
      </c>
      <c r="N152" s="8"/>
      <c r="O152" s="8">
        <v>0</v>
      </c>
      <c r="P152" s="8"/>
      <c r="Q152" s="8">
        <f>80964+20222</f>
        <v>101186</v>
      </c>
      <c r="R152" s="8"/>
      <c r="S152" s="7">
        <f t="shared" si="9"/>
        <v>77904</v>
      </c>
      <c r="T152" s="8"/>
      <c r="U152" s="8">
        <v>4263818</v>
      </c>
      <c r="V152" s="7"/>
      <c r="W152" s="8">
        <f>12500+213400</f>
        <v>225900</v>
      </c>
    </row>
    <row r="153" spans="1:24" ht="12.75" customHeight="1" x14ac:dyDescent="0.2">
      <c r="A153" s="7" t="s">
        <v>165</v>
      </c>
      <c r="C153" s="7" t="s">
        <v>64</v>
      </c>
      <c r="D153" s="6"/>
      <c r="E153" s="8">
        <v>2548389</v>
      </c>
      <c r="F153" s="8"/>
      <c r="G153" s="8">
        <v>13612626</v>
      </c>
      <c r="H153" s="8"/>
      <c r="I153" s="8">
        <v>180612</v>
      </c>
      <c r="J153" s="8"/>
      <c r="K153" s="8">
        <v>2609750</v>
      </c>
      <c r="L153" s="8"/>
      <c r="M153" s="8">
        <v>4041526</v>
      </c>
      <c r="N153" s="8"/>
      <c r="O153" s="8">
        <v>143246</v>
      </c>
      <c r="P153" s="8"/>
      <c r="Q153" s="8">
        <v>1617854</v>
      </c>
      <c r="R153" s="8"/>
      <c r="S153" s="7">
        <f t="shared" si="9"/>
        <v>1343066</v>
      </c>
      <c r="T153" s="8"/>
      <c r="U153" s="8">
        <v>26097069</v>
      </c>
      <c r="V153" s="7"/>
      <c r="W153" s="8">
        <f>2305000+19383+1986649+1552285</f>
        <v>5863317</v>
      </c>
    </row>
    <row r="154" spans="1:24" ht="12.75" customHeight="1" x14ac:dyDescent="0.2">
      <c r="A154" s="7" t="s">
        <v>166</v>
      </c>
      <c r="C154" s="7" t="s">
        <v>25</v>
      </c>
      <c r="D154" s="6"/>
      <c r="E154" s="8">
        <v>2217751</v>
      </c>
      <c r="F154" s="8"/>
      <c r="G154" s="8">
        <v>17287724</v>
      </c>
      <c r="H154" s="8"/>
      <c r="I154" s="8">
        <v>588245</v>
      </c>
      <c r="J154" s="8"/>
      <c r="K154" s="8">
        <v>1938131</v>
      </c>
      <c r="L154" s="8"/>
      <c r="M154" s="8">
        <v>1799116</v>
      </c>
      <c r="N154" s="8"/>
      <c r="O154" s="8">
        <v>189768</v>
      </c>
      <c r="P154" s="8"/>
      <c r="Q154" s="8">
        <v>1255426</v>
      </c>
      <c r="R154" s="8"/>
      <c r="S154" s="7">
        <f t="shared" si="9"/>
        <v>578755</v>
      </c>
      <c r="T154" s="8"/>
      <c r="U154" s="8">
        <v>25854916</v>
      </c>
      <c r="V154" s="7"/>
      <c r="W154" s="8">
        <f>1000+925000</f>
        <v>926000</v>
      </c>
    </row>
    <row r="155" spans="1:24" ht="12.75" customHeight="1" x14ac:dyDescent="0.2">
      <c r="A155" s="7" t="s">
        <v>167</v>
      </c>
      <c r="C155" s="7" t="s">
        <v>101</v>
      </c>
      <c r="D155" s="6"/>
      <c r="E155" s="8">
        <v>3693531</v>
      </c>
      <c r="F155" s="8"/>
      <c r="G155" s="8">
        <v>19728138</v>
      </c>
      <c r="H155" s="8"/>
      <c r="I155" s="8">
        <v>1245443</v>
      </c>
      <c r="J155" s="8"/>
      <c r="K155" s="8">
        <v>4554939</v>
      </c>
      <c r="L155" s="8"/>
      <c r="M155" s="8">
        <v>19610584</v>
      </c>
      <c r="N155" s="8"/>
      <c r="O155" s="8">
        <v>672486</v>
      </c>
      <c r="P155" s="8"/>
      <c r="Q155" s="8">
        <f>296850+1935243</f>
        <v>2232093</v>
      </c>
      <c r="R155" s="8"/>
      <c r="S155" s="7">
        <f t="shared" si="9"/>
        <v>2384497</v>
      </c>
      <c r="T155" s="8"/>
      <c r="U155" s="8">
        <v>54121711</v>
      </c>
      <c r="V155" s="7"/>
      <c r="W155" s="8">
        <v>162528</v>
      </c>
    </row>
    <row r="156" spans="1:24" ht="12.75" customHeight="1" x14ac:dyDescent="0.2">
      <c r="A156" s="7" t="s">
        <v>168</v>
      </c>
      <c r="C156" s="7" t="s">
        <v>169</v>
      </c>
      <c r="D156" s="6"/>
      <c r="E156" s="8">
        <v>2122242</v>
      </c>
      <c r="F156" s="8"/>
      <c r="G156" s="8">
        <v>2691501</v>
      </c>
      <c r="H156" s="8"/>
      <c r="I156" s="8">
        <v>427544</v>
      </c>
      <c r="J156" s="8"/>
      <c r="K156" s="8">
        <v>245153</v>
      </c>
      <c r="L156" s="8"/>
      <c r="M156" s="8">
        <v>1453081</v>
      </c>
      <c r="N156" s="8"/>
      <c r="O156" s="8">
        <v>0</v>
      </c>
      <c r="P156" s="8"/>
      <c r="Q156" s="8">
        <f>37201+253351</f>
        <v>290552</v>
      </c>
      <c r="R156" s="8"/>
      <c r="S156" s="7">
        <f t="shared" si="9"/>
        <v>75688</v>
      </c>
      <c r="T156" s="8"/>
      <c r="U156" s="8">
        <v>7305761</v>
      </c>
      <c r="V156" s="7"/>
      <c r="W156" s="8">
        <v>322150</v>
      </c>
    </row>
    <row r="157" spans="1:24" ht="12.75" customHeight="1" x14ac:dyDescent="0.2">
      <c r="A157" s="7" t="s">
        <v>170</v>
      </c>
      <c r="C157" s="7" t="s">
        <v>101</v>
      </c>
      <c r="D157" s="6"/>
      <c r="E157" s="8">
        <v>2462243</v>
      </c>
      <c r="F157" s="8"/>
      <c r="G157" s="8">
        <v>6287100</v>
      </c>
      <c r="H157" s="8"/>
      <c r="I157" s="8">
        <v>2961845</v>
      </c>
      <c r="J157" s="8"/>
      <c r="K157" s="8">
        <v>1032001</v>
      </c>
      <c r="L157" s="8"/>
      <c r="M157" s="8">
        <v>1459844</v>
      </c>
      <c r="N157" s="8"/>
      <c r="O157" s="8">
        <v>930613</v>
      </c>
      <c r="P157" s="8"/>
      <c r="Q157" s="8">
        <f>453761+206413</f>
        <v>660174</v>
      </c>
      <c r="R157" s="8"/>
      <c r="S157" s="7">
        <f t="shared" si="9"/>
        <v>1276744</v>
      </c>
      <c r="T157" s="8"/>
      <c r="U157" s="8">
        <v>17070564</v>
      </c>
      <c r="V157" s="7"/>
      <c r="W157" s="8">
        <v>6505613</v>
      </c>
    </row>
    <row r="158" spans="1:24" ht="12.75" customHeight="1" x14ac:dyDescent="0.2">
      <c r="A158" s="7" t="s">
        <v>64</v>
      </c>
      <c r="C158" s="7" t="s">
        <v>43</v>
      </c>
      <c r="D158" s="6"/>
      <c r="E158" s="8">
        <v>13772405</v>
      </c>
      <c r="F158" s="8"/>
      <c r="G158" s="8">
        <v>0</v>
      </c>
      <c r="H158" s="8"/>
      <c r="I158" s="8">
        <v>0</v>
      </c>
      <c r="J158" s="8"/>
      <c r="K158" s="8">
        <v>645149</v>
      </c>
      <c r="L158" s="8"/>
      <c r="M158" s="8">
        <v>1910352</v>
      </c>
      <c r="N158" s="8"/>
      <c r="O158" s="8">
        <v>247118</v>
      </c>
      <c r="P158" s="8"/>
      <c r="Q158" s="8">
        <f>288456+208992</f>
        <v>497448</v>
      </c>
      <c r="R158" s="8"/>
      <c r="S158" s="7">
        <f t="shared" si="9"/>
        <v>538047</v>
      </c>
      <c r="T158" s="8"/>
      <c r="U158" s="8">
        <v>17610519</v>
      </c>
      <c r="V158" s="7"/>
      <c r="W158" s="8">
        <f>103529+2482510</f>
        <v>2586039</v>
      </c>
    </row>
    <row r="159" spans="1:24" ht="12.75" customHeight="1" x14ac:dyDescent="0.2">
      <c r="A159" s="7" t="s">
        <v>171</v>
      </c>
      <c r="C159" s="7" t="s">
        <v>64</v>
      </c>
      <c r="D159" s="6"/>
      <c r="E159" s="8">
        <v>478998</v>
      </c>
      <c r="F159" s="8"/>
      <c r="G159" s="8">
        <v>10028922</v>
      </c>
      <c r="H159" s="8"/>
      <c r="I159" s="8">
        <v>23822</v>
      </c>
      <c r="J159" s="8"/>
      <c r="K159" s="8">
        <v>535313</v>
      </c>
      <c r="L159" s="8"/>
      <c r="M159" s="8">
        <v>492420</v>
      </c>
      <c r="N159" s="8"/>
      <c r="O159" s="8">
        <v>0</v>
      </c>
      <c r="P159" s="8"/>
      <c r="Q159" s="8">
        <f>106120+265919</f>
        <v>372039</v>
      </c>
      <c r="R159" s="8"/>
      <c r="S159" s="7">
        <f t="shared" si="9"/>
        <v>986577</v>
      </c>
      <c r="T159" s="8"/>
      <c r="U159" s="8">
        <v>12918091</v>
      </c>
      <c r="V159" s="7"/>
      <c r="W159" s="8">
        <v>2000000</v>
      </c>
    </row>
    <row r="160" spans="1:24" ht="12.75" customHeight="1" x14ac:dyDescent="0.2">
      <c r="A160" s="7" t="s">
        <v>172</v>
      </c>
      <c r="C160" s="7" t="s">
        <v>43</v>
      </c>
      <c r="D160" s="6"/>
      <c r="E160" s="8">
        <v>768418</v>
      </c>
      <c r="F160" s="8"/>
      <c r="G160" s="8">
        <v>1401179</v>
      </c>
      <c r="H160" s="8"/>
      <c r="I160" s="8">
        <v>0</v>
      </c>
      <c r="J160" s="8"/>
      <c r="K160" s="8">
        <v>688712</v>
      </c>
      <c r="L160" s="8"/>
      <c r="M160" s="8">
        <v>887958</v>
      </c>
      <c r="N160" s="8"/>
      <c r="O160" s="8">
        <v>0</v>
      </c>
      <c r="P160" s="8"/>
      <c r="Q160" s="8">
        <f>86654+208193</f>
        <v>294847</v>
      </c>
      <c r="R160" s="8"/>
      <c r="S160" s="7">
        <f t="shared" si="9"/>
        <v>72451</v>
      </c>
      <c r="T160" s="8"/>
      <c r="U160" s="8">
        <v>4113565</v>
      </c>
      <c r="V160" s="7"/>
      <c r="W160" s="8">
        <v>230200</v>
      </c>
    </row>
    <row r="161" spans="1:23" ht="12.75" customHeight="1" x14ac:dyDescent="0.2">
      <c r="A161" s="7" t="s">
        <v>173</v>
      </c>
      <c r="C161" s="7" t="s">
        <v>174</v>
      </c>
      <c r="D161" s="6"/>
      <c r="E161" s="8">
        <v>12728720</v>
      </c>
      <c r="F161" s="8"/>
      <c r="G161" s="8">
        <v>0</v>
      </c>
      <c r="H161" s="8"/>
      <c r="I161" s="8">
        <v>0</v>
      </c>
      <c r="J161" s="8"/>
      <c r="K161" s="8">
        <v>1628400</v>
      </c>
      <c r="L161" s="8"/>
      <c r="M161" s="8">
        <v>2736097</v>
      </c>
      <c r="N161" s="8"/>
      <c r="O161" s="8">
        <v>0</v>
      </c>
      <c r="P161" s="8"/>
      <c r="Q161" s="8">
        <f>20135+785523</f>
        <v>805658</v>
      </c>
      <c r="R161" s="8"/>
      <c r="S161" s="7">
        <f t="shared" si="9"/>
        <v>1261992</v>
      </c>
      <c r="T161" s="8"/>
      <c r="U161" s="8">
        <v>19160867</v>
      </c>
      <c r="V161" s="7"/>
      <c r="W161" s="8">
        <f>11342+1654400+1775000+1275650</f>
        <v>4716392</v>
      </c>
    </row>
    <row r="162" spans="1:23" ht="12.75" customHeight="1" x14ac:dyDescent="0.2">
      <c r="A162" s="7" t="s">
        <v>175</v>
      </c>
      <c r="C162" s="7" t="s">
        <v>11</v>
      </c>
      <c r="D162" s="6"/>
      <c r="E162" s="8">
        <v>689757</v>
      </c>
      <c r="F162" s="8"/>
      <c r="G162" s="8">
        <v>1073999</v>
      </c>
      <c r="H162" s="8"/>
      <c r="I162" s="8">
        <v>0</v>
      </c>
      <c r="J162" s="8"/>
      <c r="K162" s="8">
        <v>134205</v>
      </c>
      <c r="L162" s="8"/>
      <c r="M162" s="8">
        <v>637113</v>
      </c>
      <c r="N162" s="8"/>
      <c r="O162" s="8">
        <v>18513</v>
      </c>
      <c r="P162" s="8"/>
      <c r="Q162" s="8">
        <v>151084</v>
      </c>
      <c r="R162" s="8"/>
      <c r="S162" s="7">
        <f t="shared" si="9"/>
        <v>132810</v>
      </c>
      <c r="T162" s="8"/>
      <c r="U162" s="8">
        <v>2837481</v>
      </c>
      <c r="V162" s="7"/>
      <c r="W162" s="8">
        <v>24944</v>
      </c>
    </row>
    <row r="163" spans="1:23" ht="12.75" customHeight="1" x14ac:dyDescent="0.2">
      <c r="A163" s="7" t="s">
        <v>176</v>
      </c>
      <c r="C163" s="7" t="s">
        <v>177</v>
      </c>
      <c r="D163" s="6"/>
      <c r="E163" s="8">
        <v>366850</v>
      </c>
      <c r="F163" s="8"/>
      <c r="G163" s="8">
        <v>3279167</v>
      </c>
      <c r="H163" s="8"/>
      <c r="I163" s="8">
        <v>524942</v>
      </c>
      <c r="J163" s="8"/>
      <c r="K163" s="8">
        <v>805926</v>
      </c>
      <c r="L163" s="8"/>
      <c r="M163" s="8">
        <v>1426432</v>
      </c>
      <c r="N163" s="8"/>
      <c r="O163" s="8">
        <v>84532</v>
      </c>
      <c r="P163" s="8"/>
      <c r="Q163" s="8">
        <f>76513+331022</f>
        <v>407535</v>
      </c>
      <c r="R163" s="8"/>
      <c r="S163" s="7">
        <f t="shared" si="9"/>
        <v>522601</v>
      </c>
      <c r="T163" s="8"/>
      <c r="U163" s="8">
        <v>7417985</v>
      </c>
      <c r="V163" s="7"/>
      <c r="W163" s="8">
        <f>19300+1935114+28818</f>
        <v>1983232</v>
      </c>
    </row>
    <row r="164" spans="1:23" ht="12.75" customHeight="1" x14ac:dyDescent="0.2">
      <c r="A164" s="7" t="s">
        <v>178</v>
      </c>
      <c r="C164" s="7" t="s">
        <v>18</v>
      </c>
      <c r="D164" s="6"/>
      <c r="E164" s="8">
        <v>405738</v>
      </c>
      <c r="F164" s="8"/>
      <c r="G164" s="8">
        <v>1789257</v>
      </c>
      <c r="H164" s="8"/>
      <c r="I164" s="8">
        <v>20383</v>
      </c>
      <c r="J164" s="8"/>
      <c r="K164" s="8">
        <v>100279</v>
      </c>
      <c r="L164" s="8"/>
      <c r="M164" s="8">
        <v>769682</v>
      </c>
      <c r="N164" s="8"/>
      <c r="O164" s="8">
        <v>0</v>
      </c>
      <c r="P164" s="8"/>
      <c r="Q164" s="8">
        <v>45242</v>
      </c>
      <c r="R164" s="8"/>
      <c r="S164" s="7">
        <f t="shared" si="9"/>
        <v>69581</v>
      </c>
      <c r="T164" s="8"/>
      <c r="U164" s="8">
        <v>3200162</v>
      </c>
      <c r="V164" s="7"/>
      <c r="W164" s="8">
        <f>22306+28441+15077</f>
        <v>65824</v>
      </c>
    </row>
    <row r="165" spans="1:23" ht="12.75" customHeight="1" x14ac:dyDescent="0.2">
      <c r="A165" s="7" t="s">
        <v>495</v>
      </c>
      <c r="B165" s="10"/>
      <c r="C165" s="7" t="s">
        <v>41</v>
      </c>
      <c r="D165" s="6"/>
      <c r="E165" s="8">
        <v>928082</v>
      </c>
      <c r="F165" s="8"/>
      <c r="G165" s="8">
        <v>19852224</v>
      </c>
      <c r="H165" s="8"/>
      <c r="I165" s="8">
        <v>3007172</v>
      </c>
      <c r="J165" s="8"/>
      <c r="K165" s="8">
        <v>776932</v>
      </c>
      <c r="L165" s="8"/>
      <c r="M165" s="8">
        <v>2505184</v>
      </c>
      <c r="N165" s="8"/>
      <c r="O165" s="8">
        <v>0</v>
      </c>
      <c r="P165" s="8"/>
      <c r="Q165" s="8">
        <f>114699+452441</f>
        <v>567140</v>
      </c>
      <c r="R165" s="8"/>
      <c r="S165" s="7">
        <f t="shared" si="9"/>
        <v>1964351</v>
      </c>
      <c r="T165" s="8"/>
      <c r="U165" s="8">
        <v>29601085</v>
      </c>
      <c r="V165" s="7"/>
      <c r="W165" s="8">
        <f>6013+10620000+1040611+413459+5082674</f>
        <v>17162757</v>
      </c>
    </row>
    <row r="166" spans="1:23" ht="12.75" customHeight="1" x14ac:dyDescent="0.2">
      <c r="A166" s="7" t="s">
        <v>180</v>
      </c>
      <c r="C166" s="7" t="s">
        <v>181</v>
      </c>
      <c r="D166" s="6"/>
      <c r="E166" s="8">
        <v>625135</v>
      </c>
      <c r="F166" s="8"/>
      <c r="G166" s="8">
        <v>925530</v>
      </c>
      <c r="H166" s="8"/>
      <c r="I166" s="8">
        <v>60001</v>
      </c>
      <c r="J166" s="8"/>
      <c r="K166" s="8">
        <v>608538</v>
      </c>
      <c r="L166" s="8"/>
      <c r="M166" s="8">
        <v>595073</v>
      </c>
      <c r="N166" s="8"/>
      <c r="O166" s="8">
        <v>109410</v>
      </c>
      <c r="P166" s="8"/>
      <c r="Q166" s="8">
        <f>25662+17337</f>
        <v>42999</v>
      </c>
      <c r="R166" s="8"/>
      <c r="S166" s="7">
        <f t="shared" si="9"/>
        <v>15765</v>
      </c>
      <c r="T166" s="8"/>
      <c r="U166" s="8">
        <v>2982451</v>
      </c>
      <c r="V166" s="7"/>
      <c r="W166" s="8">
        <f>230310+20000</f>
        <v>250310</v>
      </c>
    </row>
    <row r="167" spans="1:23" ht="12.75" customHeight="1" x14ac:dyDescent="0.2">
      <c r="A167" s="7" t="s">
        <v>481</v>
      </c>
      <c r="C167" s="7" t="s">
        <v>11</v>
      </c>
      <c r="D167" s="6"/>
      <c r="E167" s="8">
        <v>3799688</v>
      </c>
      <c r="F167" s="8"/>
      <c r="G167" s="8">
        <v>0</v>
      </c>
      <c r="H167" s="8"/>
      <c r="I167" s="8">
        <v>0</v>
      </c>
      <c r="J167" s="8"/>
      <c r="K167" s="8">
        <v>459914</v>
      </c>
      <c r="L167" s="8"/>
      <c r="M167" s="8">
        <v>1841831</v>
      </c>
      <c r="N167" s="8"/>
      <c r="O167" s="8">
        <v>0</v>
      </c>
      <c r="P167" s="8"/>
      <c r="Q167" s="8">
        <f>109141+54633</f>
        <v>163774</v>
      </c>
      <c r="R167" s="8"/>
      <c r="S167" s="7">
        <f t="shared" si="9"/>
        <v>125750</v>
      </c>
      <c r="T167" s="8"/>
      <c r="U167" s="8">
        <v>6390957</v>
      </c>
      <c r="V167" s="7"/>
      <c r="W167" s="8">
        <v>850000</v>
      </c>
    </row>
    <row r="168" spans="1:23" ht="12.75" customHeight="1" x14ac:dyDescent="0.2">
      <c r="A168" s="7" t="s">
        <v>467</v>
      </c>
      <c r="C168" s="7"/>
      <c r="D168" s="6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7"/>
      <c r="T168" s="8"/>
      <c r="U168" s="8"/>
      <c r="V168" s="7"/>
      <c r="W168" s="11" t="s">
        <v>478</v>
      </c>
    </row>
    <row r="169" spans="1:23" ht="12.75" customHeight="1" x14ac:dyDescent="0.2">
      <c r="A169" s="7" t="s">
        <v>182</v>
      </c>
      <c r="C169" s="7" t="s">
        <v>87</v>
      </c>
      <c r="D169" s="6"/>
      <c r="E169" s="40">
        <v>1059261</v>
      </c>
      <c r="F169" s="40"/>
      <c r="G169" s="40">
        <v>6507695</v>
      </c>
      <c r="H169" s="40"/>
      <c r="I169" s="40">
        <v>0</v>
      </c>
      <c r="J169" s="40"/>
      <c r="K169" s="40">
        <v>638875</v>
      </c>
      <c r="L169" s="40"/>
      <c r="M169" s="40">
        <v>4212287</v>
      </c>
      <c r="N169" s="40"/>
      <c r="O169" s="40">
        <v>4579</v>
      </c>
      <c r="P169" s="40"/>
      <c r="Q169" s="40">
        <f>430863+999404</f>
        <v>1430267</v>
      </c>
      <c r="R169" s="40"/>
      <c r="S169" s="9">
        <f t="shared" ref="S169:S185" si="10">+U169-SUM(E169:Q169)</f>
        <v>158626</v>
      </c>
      <c r="T169" s="40"/>
      <c r="U169" s="40">
        <v>14011590</v>
      </c>
      <c r="V169" s="9"/>
      <c r="W169" s="40">
        <f>36177+14769</f>
        <v>50946</v>
      </c>
    </row>
    <row r="170" spans="1:23" ht="12.75" customHeight="1" x14ac:dyDescent="0.2">
      <c r="A170" s="7" t="s">
        <v>179</v>
      </c>
      <c r="C170" s="7" t="s">
        <v>123</v>
      </c>
      <c r="D170" s="6"/>
      <c r="E170" s="8">
        <v>23598538</v>
      </c>
      <c r="F170" s="8"/>
      <c r="G170" s="8">
        <v>0</v>
      </c>
      <c r="H170" s="8"/>
      <c r="I170" s="8">
        <v>0</v>
      </c>
      <c r="J170" s="8"/>
      <c r="K170" s="8">
        <v>2102342</v>
      </c>
      <c r="L170" s="8"/>
      <c r="M170" s="8">
        <v>12475770</v>
      </c>
      <c r="N170" s="8"/>
      <c r="O170" s="8">
        <v>7703</v>
      </c>
      <c r="P170" s="8"/>
      <c r="Q170" s="8">
        <f>65196+2101869</f>
        <v>2167065</v>
      </c>
      <c r="R170" s="8"/>
      <c r="S170" s="7">
        <f t="shared" si="10"/>
        <v>579143</v>
      </c>
      <c r="T170" s="8"/>
      <c r="U170" s="8">
        <v>40930561</v>
      </c>
      <c r="V170" s="7"/>
      <c r="W170" s="8">
        <f>42975+350000+738339+2915010</f>
        <v>4046324</v>
      </c>
    </row>
    <row r="171" spans="1:23" ht="12.75" customHeight="1" x14ac:dyDescent="0.2">
      <c r="A171" s="7" t="s">
        <v>183</v>
      </c>
      <c r="C171" s="7" t="s">
        <v>78</v>
      </c>
      <c r="D171" s="6"/>
      <c r="E171" s="8">
        <v>843569</v>
      </c>
      <c r="F171" s="8"/>
      <c r="G171" s="8">
        <v>5702543</v>
      </c>
      <c r="H171" s="8"/>
      <c r="I171" s="8">
        <v>0</v>
      </c>
      <c r="J171" s="8"/>
      <c r="K171" s="8">
        <v>1315867</v>
      </c>
      <c r="L171" s="8"/>
      <c r="M171" s="8">
        <v>4983813</v>
      </c>
      <c r="N171" s="8"/>
      <c r="O171" s="8">
        <v>14563</v>
      </c>
      <c r="P171" s="8"/>
      <c r="Q171" s="8">
        <f>662322+545224</f>
        <v>1207546</v>
      </c>
      <c r="R171" s="8"/>
      <c r="S171" s="7">
        <f t="shared" si="10"/>
        <v>480866</v>
      </c>
      <c r="T171" s="8"/>
      <c r="U171" s="8">
        <v>14548767</v>
      </c>
      <c r="V171" s="7"/>
      <c r="W171" s="8">
        <v>5805918</v>
      </c>
    </row>
    <row r="172" spans="1:23" ht="12.75" customHeight="1" x14ac:dyDescent="0.2">
      <c r="A172" s="7" t="s">
        <v>184</v>
      </c>
      <c r="C172" s="7" t="s">
        <v>13</v>
      </c>
      <c r="D172" s="6"/>
      <c r="E172" s="8">
        <v>2163703</v>
      </c>
      <c r="F172" s="8"/>
      <c r="G172" s="8">
        <v>6221563</v>
      </c>
      <c r="H172" s="8"/>
      <c r="I172" s="8">
        <v>0</v>
      </c>
      <c r="J172" s="8"/>
      <c r="K172" s="8">
        <v>809929</v>
      </c>
      <c r="L172" s="8"/>
      <c r="M172" s="8">
        <v>5707775</v>
      </c>
      <c r="N172" s="8"/>
      <c r="O172" s="8">
        <v>0</v>
      </c>
      <c r="P172" s="8"/>
      <c r="Q172" s="8">
        <f>261986+262870</f>
        <v>524856</v>
      </c>
      <c r="R172" s="8"/>
      <c r="S172" s="7">
        <f t="shared" si="10"/>
        <v>378305</v>
      </c>
      <c r="T172" s="8"/>
      <c r="U172" s="8">
        <v>15806131</v>
      </c>
      <c r="V172" s="7"/>
      <c r="W172" s="8">
        <f>6000+2665122</f>
        <v>2671122</v>
      </c>
    </row>
    <row r="173" spans="1:23" s="58" customFormat="1" ht="12.75" customHeight="1" x14ac:dyDescent="0.2">
      <c r="A173" s="7" t="s">
        <v>185</v>
      </c>
      <c r="C173" s="7" t="s">
        <v>25</v>
      </c>
      <c r="D173" s="6"/>
      <c r="E173" s="8">
        <v>9799407</v>
      </c>
      <c r="F173" s="8"/>
      <c r="G173" s="8">
        <v>12655722</v>
      </c>
      <c r="H173" s="8"/>
      <c r="I173" s="8">
        <v>0</v>
      </c>
      <c r="J173" s="8"/>
      <c r="K173" s="8">
        <v>2552793</v>
      </c>
      <c r="L173" s="8"/>
      <c r="M173" s="8">
        <v>5770274</v>
      </c>
      <c r="N173" s="8"/>
      <c r="O173" s="8">
        <v>0</v>
      </c>
      <c r="P173" s="8"/>
      <c r="Q173" s="8">
        <v>1628181</v>
      </c>
      <c r="R173" s="8"/>
      <c r="S173" s="7">
        <f t="shared" si="10"/>
        <v>217200</v>
      </c>
      <c r="T173" s="8"/>
      <c r="U173" s="8">
        <v>32623577</v>
      </c>
      <c r="V173" s="7"/>
      <c r="W173" s="8">
        <f>2468700+12300+2382025</f>
        <v>4863025</v>
      </c>
    </row>
    <row r="174" spans="1:23" ht="12.75" customHeight="1" x14ac:dyDescent="0.2">
      <c r="A174" s="7" t="s">
        <v>187</v>
      </c>
      <c r="C174" s="7" t="s">
        <v>15</v>
      </c>
      <c r="D174" s="6"/>
      <c r="E174" s="8">
        <v>6217776</v>
      </c>
      <c r="F174" s="8"/>
      <c r="G174" s="8">
        <v>8413555</v>
      </c>
      <c r="H174" s="8"/>
      <c r="I174" s="8">
        <v>0</v>
      </c>
      <c r="J174" s="8"/>
      <c r="K174" s="8">
        <v>3681698</v>
      </c>
      <c r="L174" s="8"/>
      <c r="M174" s="8">
        <v>5153476</v>
      </c>
      <c r="N174" s="8"/>
      <c r="O174" s="8">
        <v>145424</v>
      </c>
      <c r="P174" s="8"/>
      <c r="Q174" s="8">
        <v>1301110</v>
      </c>
      <c r="R174" s="8"/>
      <c r="S174" s="7">
        <f t="shared" si="10"/>
        <v>889497</v>
      </c>
      <c r="T174" s="8"/>
      <c r="U174" s="8">
        <v>25802536</v>
      </c>
      <c r="V174" s="7"/>
      <c r="W174" s="8">
        <f>1125000+2515860</f>
        <v>3640860</v>
      </c>
    </row>
    <row r="175" spans="1:23" ht="12.75" customHeight="1" x14ac:dyDescent="0.2">
      <c r="A175" s="7" t="s">
        <v>186</v>
      </c>
      <c r="C175" s="7" t="s">
        <v>25</v>
      </c>
      <c r="D175" s="6"/>
      <c r="E175" s="8">
        <v>4466694</v>
      </c>
      <c r="F175" s="8"/>
      <c r="G175" s="8">
        <v>13211325</v>
      </c>
      <c r="H175" s="8"/>
      <c r="I175" s="8">
        <v>0</v>
      </c>
      <c r="J175" s="8"/>
      <c r="K175" s="8">
        <v>740127</v>
      </c>
      <c r="L175" s="8"/>
      <c r="M175" s="8">
        <v>2984843</v>
      </c>
      <c r="N175" s="8"/>
      <c r="O175" s="8">
        <v>152787</v>
      </c>
      <c r="P175" s="8"/>
      <c r="Q175" s="8">
        <f>842339+373894</f>
        <v>1216233</v>
      </c>
      <c r="R175" s="8"/>
      <c r="S175" s="7">
        <f t="shared" si="10"/>
        <v>483208</v>
      </c>
      <c r="T175" s="8"/>
      <c r="U175" s="8">
        <v>23255217</v>
      </c>
      <c r="V175" s="7"/>
      <c r="W175" s="8">
        <f>15184000+226438+4626084</f>
        <v>20036522</v>
      </c>
    </row>
    <row r="176" spans="1:23" ht="12.75" customHeight="1" x14ac:dyDescent="0.2">
      <c r="A176" s="7" t="s">
        <v>188</v>
      </c>
      <c r="C176" s="7" t="s">
        <v>45</v>
      </c>
      <c r="D176" s="6"/>
      <c r="E176" s="8">
        <v>419546</v>
      </c>
      <c r="F176" s="8"/>
      <c r="G176" s="8">
        <v>4715690</v>
      </c>
      <c r="H176" s="8"/>
      <c r="I176" s="8">
        <v>37077</v>
      </c>
      <c r="J176" s="8"/>
      <c r="K176" s="8">
        <v>338083</v>
      </c>
      <c r="L176" s="8"/>
      <c r="M176" s="8">
        <v>695338</v>
      </c>
      <c r="N176" s="8"/>
      <c r="O176" s="8">
        <v>96248</v>
      </c>
      <c r="P176" s="8"/>
      <c r="Q176" s="8">
        <f>129223+264656</f>
        <v>393879</v>
      </c>
      <c r="R176" s="8"/>
      <c r="S176" s="7">
        <f t="shared" si="10"/>
        <v>90004</v>
      </c>
      <c r="T176" s="8"/>
      <c r="U176" s="8">
        <v>6785865</v>
      </c>
      <c r="V176" s="7"/>
      <c r="W176" s="8">
        <f>19056+105000</f>
        <v>124056</v>
      </c>
    </row>
    <row r="177" spans="1:24" ht="12.75" customHeight="1" x14ac:dyDescent="0.2">
      <c r="A177" s="7" t="s">
        <v>189</v>
      </c>
      <c r="C177" s="7" t="s">
        <v>11</v>
      </c>
      <c r="D177" s="6"/>
      <c r="E177" s="8">
        <v>1686380</v>
      </c>
      <c r="F177" s="8"/>
      <c r="G177" s="8">
        <v>4837150</v>
      </c>
      <c r="H177" s="8"/>
      <c r="I177" s="8">
        <v>0</v>
      </c>
      <c r="J177" s="8"/>
      <c r="K177" s="8">
        <v>889126</v>
      </c>
      <c r="L177" s="8"/>
      <c r="M177" s="8">
        <v>1659832</v>
      </c>
      <c r="N177" s="8"/>
      <c r="O177" s="8">
        <v>189719</v>
      </c>
      <c r="P177" s="8"/>
      <c r="Q177" s="8">
        <f>47727+90768</f>
        <v>138495</v>
      </c>
      <c r="R177" s="8"/>
      <c r="S177" s="7">
        <f t="shared" si="10"/>
        <v>193280</v>
      </c>
      <c r="T177" s="8"/>
      <c r="U177" s="8">
        <v>9593982</v>
      </c>
      <c r="V177" s="7"/>
      <c r="W177" s="8">
        <f>1315000+657000+26900+2238000+122311+928519</f>
        <v>5287730</v>
      </c>
    </row>
    <row r="178" spans="1:24" ht="12.75" customHeight="1" x14ac:dyDescent="0.2">
      <c r="A178" s="7" t="s">
        <v>190</v>
      </c>
      <c r="C178" s="7" t="s">
        <v>36</v>
      </c>
      <c r="D178" s="6"/>
      <c r="E178" s="8">
        <v>1135348</v>
      </c>
      <c r="F178" s="8"/>
      <c r="G178" s="8">
        <v>5265980</v>
      </c>
      <c r="H178" s="8"/>
      <c r="I178" s="8">
        <v>7430</v>
      </c>
      <c r="J178" s="8"/>
      <c r="K178" s="8">
        <v>1077610</v>
      </c>
      <c r="L178" s="8"/>
      <c r="M178" s="8">
        <v>2136676</v>
      </c>
      <c r="N178" s="8"/>
      <c r="O178" s="8">
        <v>124526</v>
      </c>
      <c r="P178" s="8"/>
      <c r="Q178" s="8">
        <f>261796+860030</f>
        <v>1121826</v>
      </c>
      <c r="R178" s="8"/>
      <c r="S178" s="7">
        <f t="shared" si="10"/>
        <v>833239</v>
      </c>
      <c r="T178" s="8"/>
      <c r="U178" s="8">
        <v>11702635</v>
      </c>
      <c r="V178" s="7"/>
      <c r="W178" s="8">
        <f>643203+219337</f>
        <v>862540</v>
      </c>
    </row>
    <row r="179" spans="1:24" ht="12.75" customHeight="1" x14ac:dyDescent="0.2">
      <c r="A179" s="7" t="s">
        <v>191</v>
      </c>
      <c r="C179" s="7" t="s">
        <v>43</v>
      </c>
      <c r="D179" s="6"/>
      <c r="E179" s="8">
        <v>2603759</v>
      </c>
      <c r="F179" s="8"/>
      <c r="G179" s="8">
        <v>13306234</v>
      </c>
      <c r="H179" s="8"/>
      <c r="I179" s="8">
        <f>178678+1271253</f>
        <v>1449931</v>
      </c>
      <c r="J179" s="8"/>
      <c r="K179" s="8">
        <v>784526</v>
      </c>
      <c r="L179" s="8"/>
      <c r="M179" s="8">
        <v>3135845</v>
      </c>
      <c r="N179" s="8"/>
      <c r="O179" s="8">
        <v>266873</v>
      </c>
      <c r="P179" s="8"/>
      <c r="Q179" s="8">
        <v>1065237</v>
      </c>
      <c r="R179" s="8"/>
      <c r="S179" s="7">
        <f t="shared" si="10"/>
        <v>245314</v>
      </c>
      <c r="T179" s="8"/>
      <c r="U179" s="8">
        <v>22857719</v>
      </c>
      <c r="V179" s="7"/>
      <c r="W179" s="8">
        <v>877908</v>
      </c>
      <c r="X179" s="58"/>
    </row>
    <row r="180" spans="1:24" ht="12.75" customHeight="1" x14ac:dyDescent="0.2">
      <c r="A180" s="7" t="s">
        <v>192</v>
      </c>
      <c r="C180" s="7" t="s">
        <v>64</v>
      </c>
      <c r="D180" s="6"/>
      <c r="E180" s="8">
        <v>1471487</v>
      </c>
      <c r="F180" s="8"/>
      <c r="G180" s="8">
        <v>6279632</v>
      </c>
      <c r="H180" s="8"/>
      <c r="I180" s="8">
        <v>0</v>
      </c>
      <c r="J180" s="8"/>
      <c r="K180" s="8">
        <v>1304985</v>
      </c>
      <c r="L180" s="8"/>
      <c r="M180" s="8">
        <v>1129550</v>
      </c>
      <c r="N180" s="8"/>
      <c r="O180" s="8">
        <v>146472</v>
      </c>
      <c r="P180" s="8"/>
      <c r="Q180" s="8">
        <v>185181</v>
      </c>
      <c r="R180" s="8"/>
      <c r="S180" s="7">
        <f t="shared" si="10"/>
        <v>223922</v>
      </c>
      <c r="T180" s="8"/>
      <c r="U180" s="8">
        <v>10741229</v>
      </c>
      <c r="V180" s="7"/>
      <c r="W180" s="8">
        <v>1291153</v>
      </c>
    </row>
    <row r="181" spans="1:24" ht="12.75" customHeight="1" x14ac:dyDescent="0.2">
      <c r="A181" s="7" t="s">
        <v>193</v>
      </c>
      <c r="C181" s="7" t="s">
        <v>15</v>
      </c>
      <c r="D181" s="6"/>
      <c r="E181" s="8">
        <v>797749</v>
      </c>
      <c r="F181" s="8"/>
      <c r="G181" s="8">
        <v>5725697</v>
      </c>
      <c r="H181" s="8"/>
      <c r="I181" s="8">
        <v>0</v>
      </c>
      <c r="J181" s="8"/>
      <c r="K181" s="8">
        <v>130684</v>
      </c>
      <c r="L181" s="8"/>
      <c r="M181" s="8">
        <v>2229385</v>
      </c>
      <c r="N181" s="8"/>
      <c r="O181" s="8">
        <v>3081</v>
      </c>
      <c r="P181" s="8"/>
      <c r="Q181" s="8">
        <f>269373+995906</f>
        <v>1265279</v>
      </c>
      <c r="R181" s="8"/>
      <c r="S181" s="7">
        <f t="shared" si="10"/>
        <v>1444683</v>
      </c>
      <c r="T181" s="8"/>
      <c r="U181" s="8">
        <v>11596558</v>
      </c>
      <c r="V181" s="7"/>
      <c r="W181" s="8">
        <f>1283+1446156</f>
        <v>1447439</v>
      </c>
    </row>
    <row r="182" spans="1:24" ht="12.75" hidden="1" customHeight="1" x14ac:dyDescent="0.2">
      <c r="A182" s="4" t="s">
        <v>194</v>
      </c>
      <c r="B182" s="12"/>
      <c r="C182" s="4" t="s">
        <v>25</v>
      </c>
      <c r="D182" s="6"/>
      <c r="E182" s="8">
        <v>2016743</v>
      </c>
      <c r="F182" s="8"/>
      <c r="G182" s="8">
        <v>2964506</v>
      </c>
      <c r="H182" s="8"/>
      <c r="I182" s="8">
        <v>0</v>
      </c>
      <c r="J182" s="8"/>
      <c r="K182" s="8">
        <v>549134</v>
      </c>
      <c r="L182" s="8"/>
      <c r="M182" s="8">
        <v>1374350</v>
      </c>
      <c r="N182" s="8"/>
      <c r="O182" s="8">
        <v>449086</v>
      </c>
      <c r="P182" s="8"/>
      <c r="Q182" s="8">
        <f>199573+154561</f>
        <v>354134</v>
      </c>
      <c r="R182" s="8"/>
      <c r="S182" s="7">
        <f t="shared" si="10"/>
        <v>36279</v>
      </c>
      <c r="T182" s="8"/>
      <c r="U182" s="8">
        <v>7744232</v>
      </c>
      <c r="V182" s="7"/>
      <c r="W182" s="8">
        <v>2133429</v>
      </c>
    </row>
    <row r="183" spans="1:24" ht="12.75" customHeight="1" x14ac:dyDescent="0.2">
      <c r="A183" s="7" t="s">
        <v>400</v>
      </c>
      <c r="C183" s="7" t="s">
        <v>151</v>
      </c>
      <c r="D183" s="6"/>
      <c r="E183" s="8">
        <v>357309</v>
      </c>
      <c r="F183" s="8"/>
      <c r="G183" s="8">
        <v>4480667</v>
      </c>
      <c r="H183" s="8"/>
      <c r="I183" s="8">
        <v>196995</v>
      </c>
      <c r="J183" s="8"/>
      <c r="K183" s="8">
        <v>83800</v>
      </c>
      <c r="L183" s="8"/>
      <c r="M183" s="8">
        <v>884351</v>
      </c>
      <c r="N183" s="8"/>
      <c r="O183" s="8">
        <v>5364</v>
      </c>
      <c r="P183" s="8"/>
      <c r="Q183" s="8">
        <v>624573</v>
      </c>
      <c r="R183" s="8"/>
      <c r="S183" s="7">
        <f t="shared" si="10"/>
        <v>123527</v>
      </c>
      <c r="T183" s="8"/>
      <c r="U183" s="8">
        <v>6756586</v>
      </c>
      <c r="V183" s="7"/>
      <c r="W183" s="8">
        <f>419663+18000</f>
        <v>437663</v>
      </c>
    </row>
    <row r="184" spans="1:24" s="57" customFormat="1" ht="12.75" customHeight="1" x14ac:dyDescent="0.2">
      <c r="A184" s="7" t="s">
        <v>195</v>
      </c>
      <c r="B184" s="56"/>
      <c r="C184" s="7" t="s">
        <v>161</v>
      </c>
      <c r="D184" s="6"/>
      <c r="E184" s="8">
        <v>1368811</v>
      </c>
      <c r="F184" s="8"/>
      <c r="G184" s="8">
        <v>33320286</v>
      </c>
      <c r="H184" s="8"/>
      <c r="I184" s="8">
        <v>0</v>
      </c>
      <c r="J184" s="8"/>
      <c r="K184" s="8">
        <v>2318768</v>
      </c>
      <c r="L184" s="8"/>
      <c r="M184" s="8">
        <v>3650951</v>
      </c>
      <c r="N184" s="8"/>
      <c r="O184" s="8">
        <v>756454</v>
      </c>
      <c r="P184" s="8"/>
      <c r="Q184" s="8">
        <f>568327+171291</f>
        <v>739618</v>
      </c>
      <c r="R184" s="8"/>
      <c r="S184" s="7">
        <f t="shared" si="10"/>
        <v>1191892</v>
      </c>
      <c r="T184" s="8"/>
      <c r="U184" s="8">
        <v>43346780</v>
      </c>
      <c r="V184" s="7"/>
      <c r="W184" s="8">
        <f>16974+6980000+155582+57515+775132+149975+6239161</f>
        <v>14374339</v>
      </c>
    </row>
    <row r="185" spans="1:24" ht="12.75" customHeight="1" x14ac:dyDescent="0.2">
      <c r="A185" s="7" t="s">
        <v>196</v>
      </c>
      <c r="C185" s="7" t="s">
        <v>197</v>
      </c>
      <c r="D185" s="6"/>
      <c r="E185" s="8">
        <v>408163</v>
      </c>
      <c r="F185" s="8"/>
      <c r="G185" s="8">
        <v>5437544</v>
      </c>
      <c r="H185" s="8"/>
      <c r="I185" s="8">
        <v>383627</v>
      </c>
      <c r="J185" s="8"/>
      <c r="K185" s="8">
        <v>886410</v>
      </c>
      <c r="L185" s="8"/>
      <c r="M185" s="8">
        <v>1384685</v>
      </c>
      <c r="N185" s="8"/>
      <c r="O185" s="8">
        <v>11314</v>
      </c>
      <c r="P185" s="8"/>
      <c r="Q185" s="8">
        <v>41678</v>
      </c>
      <c r="R185" s="8"/>
      <c r="S185" s="7">
        <f t="shared" si="10"/>
        <v>1005221</v>
      </c>
      <c r="T185" s="8"/>
      <c r="U185" s="8">
        <v>9558642</v>
      </c>
      <c r="V185" s="7"/>
      <c r="W185" s="8">
        <v>420024</v>
      </c>
    </row>
    <row r="186" spans="1:24" s="57" customFormat="1" ht="12.75" customHeight="1" x14ac:dyDescent="0.2">
      <c r="A186" s="7" t="s">
        <v>198</v>
      </c>
      <c r="B186" s="56"/>
      <c r="C186" s="7" t="s">
        <v>101</v>
      </c>
      <c r="D186" s="6"/>
      <c r="E186" s="8">
        <v>1251301</v>
      </c>
      <c r="F186" s="8"/>
      <c r="G186" s="8">
        <v>7913562</v>
      </c>
      <c r="H186" s="8"/>
      <c r="I186" s="8">
        <v>0</v>
      </c>
      <c r="J186" s="8"/>
      <c r="K186" s="8">
        <v>1510073</v>
      </c>
      <c r="L186" s="8"/>
      <c r="M186" s="8">
        <v>2070746</v>
      </c>
      <c r="N186" s="8"/>
      <c r="O186" s="8">
        <v>23022</v>
      </c>
      <c r="P186" s="8"/>
      <c r="Q186" s="8">
        <f>385070+400611</f>
        <v>785681</v>
      </c>
      <c r="R186" s="8"/>
      <c r="S186" s="7">
        <f t="shared" ref="S186:S208" si="11">+U186-SUM(E186:Q186)</f>
        <v>379319</v>
      </c>
      <c r="T186" s="8"/>
      <c r="U186" s="16">
        <v>13933704</v>
      </c>
      <c r="V186" s="7"/>
      <c r="W186" s="7">
        <v>2163288</v>
      </c>
    </row>
    <row r="187" spans="1:24" ht="12.75" customHeight="1" x14ac:dyDescent="0.2">
      <c r="A187" s="7" t="s">
        <v>199</v>
      </c>
      <c r="C187" s="7" t="s">
        <v>90</v>
      </c>
      <c r="D187" s="6"/>
      <c r="E187" s="8">
        <v>1185195</v>
      </c>
      <c r="F187" s="8"/>
      <c r="G187" s="8">
        <v>7519822</v>
      </c>
      <c r="H187" s="8"/>
      <c r="I187" s="8">
        <v>0</v>
      </c>
      <c r="J187" s="8"/>
      <c r="K187" s="8">
        <v>777772</v>
      </c>
      <c r="L187" s="8"/>
      <c r="M187" s="8">
        <v>4200293</v>
      </c>
      <c r="N187" s="8"/>
      <c r="O187" s="8">
        <v>115843</v>
      </c>
      <c r="P187" s="8"/>
      <c r="Q187" s="8">
        <f>450655+1377753</f>
        <v>1828408</v>
      </c>
      <c r="R187" s="8"/>
      <c r="S187" s="7">
        <f t="shared" si="11"/>
        <v>685611</v>
      </c>
      <c r="T187" s="8"/>
      <c r="U187" s="8">
        <v>16312944</v>
      </c>
      <c r="V187" s="7"/>
      <c r="W187" s="8">
        <f>758+5485000+1190481+156564+1734524+607425</f>
        <v>9174752</v>
      </c>
    </row>
    <row r="188" spans="1:24" ht="12.75" customHeight="1" x14ac:dyDescent="0.2">
      <c r="A188" s="7" t="s">
        <v>200</v>
      </c>
      <c r="C188" s="7" t="s">
        <v>25</v>
      </c>
      <c r="D188" s="6"/>
      <c r="E188" s="8">
        <v>10851322</v>
      </c>
      <c r="F188" s="8"/>
      <c r="G188" s="8">
        <v>35007697</v>
      </c>
      <c r="H188" s="8"/>
      <c r="I188" s="8">
        <v>0</v>
      </c>
      <c r="J188" s="8"/>
      <c r="K188" s="8">
        <v>2892439</v>
      </c>
      <c r="L188" s="8"/>
      <c r="M188" s="8">
        <v>16693619</v>
      </c>
      <c r="N188" s="8"/>
      <c r="O188" s="8">
        <v>1358911</v>
      </c>
      <c r="P188" s="8"/>
      <c r="Q188" s="8">
        <f>2733474+4574943</f>
        <v>7308417</v>
      </c>
      <c r="R188" s="8"/>
      <c r="S188" s="7">
        <f t="shared" si="11"/>
        <v>637541</v>
      </c>
      <c r="T188" s="8"/>
      <c r="U188" s="8">
        <v>74749946</v>
      </c>
      <c r="V188" s="7"/>
      <c r="W188" s="8">
        <f>888309+1784+7824087</f>
        <v>8714180</v>
      </c>
    </row>
    <row r="189" spans="1:24" ht="12.75" customHeight="1" x14ac:dyDescent="0.2">
      <c r="A189" s="7" t="s">
        <v>201</v>
      </c>
      <c r="C189" s="7" t="s">
        <v>25</v>
      </c>
      <c r="D189" s="6"/>
      <c r="E189" s="8">
        <v>3789024</v>
      </c>
      <c r="F189" s="8"/>
      <c r="G189" s="8">
        <v>8288210</v>
      </c>
      <c r="H189" s="8"/>
      <c r="I189" s="8">
        <v>0</v>
      </c>
      <c r="J189" s="8"/>
      <c r="K189" s="8">
        <v>2328100</v>
      </c>
      <c r="L189" s="8"/>
      <c r="M189" s="8">
        <v>5496120</v>
      </c>
      <c r="N189" s="8"/>
      <c r="O189" s="8">
        <v>94035</v>
      </c>
      <c r="P189" s="8"/>
      <c r="Q189" s="8">
        <v>1077610</v>
      </c>
      <c r="R189" s="8"/>
      <c r="S189" s="7">
        <f t="shared" si="11"/>
        <v>692691</v>
      </c>
      <c r="T189" s="8"/>
      <c r="U189" s="8">
        <v>21765790</v>
      </c>
      <c r="V189" s="7"/>
      <c r="W189" s="8">
        <f>353198+800000+1730000+14246+208543</f>
        <v>3105987</v>
      </c>
    </row>
    <row r="190" spans="1:24" ht="12.75" customHeight="1" x14ac:dyDescent="0.2">
      <c r="A190" s="7" t="s">
        <v>202</v>
      </c>
      <c r="C190" s="7" t="s">
        <v>123</v>
      </c>
      <c r="D190" s="6"/>
      <c r="E190" s="8">
        <v>802525</v>
      </c>
      <c r="F190" s="8"/>
      <c r="G190" s="8">
        <v>3832475</v>
      </c>
      <c r="H190" s="8"/>
      <c r="I190" s="8">
        <v>0</v>
      </c>
      <c r="J190" s="8"/>
      <c r="K190" s="8">
        <v>15797</v>
      </c>
      <c r="L190" s="8"/>
      <c r="M190" s="8">
        <v>2026095</v>
      </c>
      <c r="N190" s="8"/>
      <c r="O190" s="8">
        <v>4369</v>
      </c>
      <c r="P190" s="8"/>
      <c r="Q190" s="8">
        <f>206922+216514</f>
        <v>423436</v>
      </c>
      <c r="R190" s="8"/>
      <c r="S190" s="7">
        <f t="shared" si="11"/>
        <v>339426</v>
      </c>
      <c r="T190" s="8"/>
      <c r="U190" s="8">
        <v>7444123</v>
      </c>
      <c r="V190" s="7"/>
      <c r="W190" s="8">
        <f>720000+200000</f>
        <v>920000</v>
      </c>
    </row>
    <row r="191" spans="1:24" ht="12.75" customHeight="1" x14ac:dyDescent="0.2">
      <c r="A191" s="9" t="s">
        <v>203</v>
      </c>
      <c r="B191" s="57"/>
      <c r="C191" s="9" t="s">
        <v>25</v>
      </c>
      <c r="D191" s="19"/>
      <c r="E191" s="8">
        <v>3280905</v>
      </c>
      <c r="F191" s="8"/>
      <c r="G191" s="8">
        <v>4580388</v>
      </c>
      <c r="H191" s="8"/>
      <c r="I191" s="8">
        <f>3538074+254697</f>
        <v>3792771</v>
      </c>
      <c r="J191" s="8"/>
      <c r="K191" s="8">
        <v>149362</v>
      </c>
      <c r="L191" s="8"/>
      <c r="M191" s="8">
        <v>897301</v>
      </c>
      <c r="N191" s="8"/>
      <c r="O191" s="8">
        <v>612988</v>
      </c>
      <c r="P191" s="8"/>
      <c r="Q191" s="8">
        <f>321123+37300</f>
        <v>358423</v>
      </c>
      <c r="R191" s="8"/>
      <c r="S191" s="7">
        <f t="shared" si="11"/>
        <v>397564</v>
      </c>
      <c r="T191" s="8"/>
      <c r="U191" s="8">
        <v>14069702</v>
      </c>
      <c r="V191" s="7"/>
      <c r="W191" s="8">
        <v>975000</v>
      </c>
    </row>
    <row r="192" spans="1:24" ht="12.75" customHeight="1" x14ac:dyDescent="0.2">
      <c r="A192" s="7" t="s">
        <v>204</v>
      </c>
      <c r="C192" s="7" t="s">
        <v>45</v>
      </c>
      <c r="D192" s="6"/>
      <c r="E192" s="8">
        <v>2774115</v>
      </c>
      <c r="F192" s="8"/>
      <c r="G192" s="8">
        <v>14593657</v>
      </c>
      <c r="H192" s="8"/>
      <c r="I192" s="8">
        <v>0</v>
      </c>
      <c r="J192" s="8"/>
      <c r="K192" s="8">
        <v>947239</v>
      </c>
      <c r="L192" s="8"/>
      <c r="M192" s="8">
        <v>2948322</v>
      </c>
      <c r="N192" s="8"/>
      <c r="O192" s="8">
        <v>294388</v>
      </c>
      <c r="P192" s="8"/>
      <c r="Q192" s="8">
        <f>997332+236722</f>
        <v>1234054</v>
      </c>
      <c r="R192" s="8"/>
      <c r="S192" s="7">
        <f t="shared" si="11"/>
        <v>1087325</v>
      </c>
      <c r="T192" s="8"/>
      <c r="U192" s="8">
        <v>23879100</v>
      </c>
      <c r="V192" s="7"/>
      <c r="W192" s="8">
        <v>1975583</v>
      </c>
    </row>
    <row r="193" spans="1:23" ht="12.75" customHeight="1" x14ac:dyDescent="0.2">
      <c r="A193" s="7" t="s">
        <v>205</v>
      </c>
      <c r="C193" s="7" t="s">
        <v>100</v>
      </c>
      <c r="D193" s="6"/>
      <c r="E193" s="8">
        <v>2323491</v>
      </c>
      <c r="F193" s="8"/>
      <c r="G193" s="8">
        <v>5058025</v>
      </c>
      <c r="H193" s="8"/>
      <c r="I193" s="8">
        <f>108149+205874+728745</f>
        <v>1042768</v>
      </c>
      <c r="J193" s="8"/>
      <c r="K193" s="8">
        <v>630293</v>
      </c>
      <c r="L193" s="8"/>
      <c r="M193" s="8">
        <v>1401522</v>
      </c>
      <c r="N193" s="8"/>
      <c r="O193" s="8">
        <v>0</v>
      </c>
      <c r="P193" s="8"/>
      <c r="Q193" s="8">
        <f>515134+553211</f>
        <v>1068345</v>
      </c>
      <c r="R193" s="8"/>
      <c r="S193" s="7">
        <f t="shared" si="11"/>
        <v>683989</v>
      </c>
      <c r="T193" s="8"/>
      <c r="U193" s="8">
        <v>12208433</v>
      </c>
      <c r="V193" s="7"/>
      <c r="W193" s="8">
        <f>23600+92959+1045000+38621+5660000+191089+2365000+5852225</f>
        <v>15268494</v>
      </c>
    </row>
    <row r="194" spans="1:23" ht="12.75" customHeight="1" x14ac:dyDescent="0.2">
      <c r="A194" s="7" t="s">
        <v>206</v>
      </c>
      <c r="C194" s="7" t="s">
        <v>207</v>
      </c>
      <c r="D194" s="6"/>
      <c r="E194" s="8">
        <v>1271907</v>
      </c>
      <c r="F194" s="8"/>
      <c r="G194" s="8">
        <v>7748219</v>
      </c>
      <c r="H194" s="8"/>
      <c r="I194" s="8">
        <f>2253099+1185433</f>
        <v>3438532</v>
      </c>
      <c r="J194" s="8"/>
      <c r="K194" s="8">
        <v>0</v>
      </c>
      <c r="L194" s="8"/>
      <c r="M194" s="8">
        <v>0</v>
      </c>
      <c r="N194" s="8"/>
      <c r="O194" s="8">
        <v>0</v>
      </c>
      <c r="P194" s="8"/>
      <c r="Q194" s="8">
        <v>1330355</v>
      </c>
      <c r="R194" s="8"/>
      <c r="S194" s="7">
        <f t="shared" si="11"/>
        <v>4347201</v>
      </c>
      <c r="T194" s="8"/>
      <c r="U194" s="8">
        <v>18136214</v>
      </c>
      <c r="V194" s="7"/>
      <c r="W194" s="8">
        <f>18808+277793</f>
        <v>296601</v>
      </c>
    </row>
    <row r="195" spans="1:23" s="57" customFormat="1" ht="12.75" customHeight="1" x14ac:dyDescent="0.2">
      <c r="A195" s="7" t="s">
        <v>208</v>
      </c>
      <c r="B195" s="56"/>
      <c r="C195" s="7" t="s">
        <v>209</v>
      </c>
      <c r="D195" s="6"/>
      <c r="E195" s="8">
        <v>774306</v>
      </c>
      <c r="F195" s="8"/>
      <c r="G195" s="8">
        <v>2296965</v>
      </c>
      <c r="H195" s="8"/>
      <c r="I195" s="8">
        <f>251738+20161</f>
        <v>271899</v>
      </c>
      <c r="J195" s="8"/>
      <c r="K195" s="8">
        <v>368431</v>
      </c>
      <c r="L195" s="8"/>
      <c r="M195" s="8">
        <v>1366927</v>
      </c>
      <c r="N195" s="8"/>
      <c r="O195" s="8">
        <v>24713</v>
      </c>
      <c r="P195" s="8"/>
      <c r="Q195" s="8">
        <f>3950+5221</f>
        <v>9171</v>
      </c>
      <c r="R195" s="8"/>
      <c r="S195" s="7">
        <f t="shared" si="11"/>
        <v>161278</v>
      </c>
      <c r="T195" s="8"/>
      <c r="U195" s="8">
        <v>5273690</v>
      </c>
      <c r="V195" s="7"/>
      <c r="W195" s="8">
        <f>88500+555000</f>
        <v>643500</v>
      </c>
    </row>
    <row r="196" spans="1:23" ht="12.75" customHeight="1" x14ac:dyDescent="0.2">
      <c r="A196" s="7" t="s">
        <v>210</v>
      </c>
      <c r="C196" s="7" t="s">
        <v>211</v>
      </c>
      <c r="D196" s="6"/>
      <c r="E196" s="8">
        <v>11758657</v>
      </c>
      <c r="F196" s="8"/>
      <c r="G196" s="8">
        <v>0</v>
      </c>
      <c r="H196" s="8"/>
      <c r="I196" s="8">
        <v>0</v>
      </c>
      <c r="J196" s="8"/>
      <c r="K196" s="8">
        <v>472811</v>
      </c>
      <c r="L196" s="8"/>
      <c r="M196" s="8">
        <v>5133950</v>
      </c>
      <c r="N196" s="8"/>
      <c r="O196" s="8">
        <v>0</v>
      </c>
      <c r="P196" s="8"/>
      <c r="Q196" s="8">
        <f>273045+115368</f>
        <v>388413</v>
      </c>
      <c r="R196" s="8"/>
      <c r="S196" s="7">
        <f t="shared" si="11"/>
        <v>1413608</v>
      </c>
      <c r="T196" s="8"/>
      <c r="U196" s="8">
        <v>19167439</v>
      </c>
      <c r="V196" s="7"/>
      <c r="W196" s="8">
        <f>27030+389116+40862</f>
        <v>457008</v>
      </c>
    </row>
    <row r="197" spans="1:23" s="58" customFormat="1" ht="12.75" customHeight="1" x14ac:dyDescent="0.2">
      <c r="A197" s="7" t="s">
        <v>212</v>
      </c>
      <c r="B197" s="56"/>
      <c r="C197" s="7" t="s">
        <v>84</v>
      </c>
      <c r="D197" s="6"/>
      <c r="E197" s="8">
        <v>1829709</v>
      </c>
      <c r="F197" s="8"/>
      <c r="G197" s="8">
        <v>4392127</v>
      </c>
      <c r="H197" s="8"/>
      <c r="I197" s="8">
        <v>0</v>
      </c>
      <c r="J197" s="8"/>
      <c r="K197" s="8">
        <v>196540</v>
      </c>
      <c r="L197" s="8"/>
      <c r="M197" s="8">
        <f>88848+208949+1642369</f>
        <v>1940166</v>
      </c>
      <c r="N197" s="8"/>
      <c r="O197" s="8">
        <v>0</v>
      </c>
      <c r="P197" s="8"/>
      <c r="Q197" s="8">
        <f>553672+9407</f>
        <v>563079</v>
      </c>
      <c r="R197" s="8"/>
      <c r="S197" s="7">
        <f t="shared" si="11"/>
        <v>1588691</v>
      </c>
      <c r="T197" s="8"/>
      <c r="U197" s="8">
        <v>10510312</v>
      </c>
      <c r="V197" s="7"/>
      <c r="W197" s="8">
        <f>216341+9915000+11276</f>
        <v>10142617</v>
      </c>
    </row>
    <row r="198" spans="1:23" ht="12.75" customHeight="1" x14ac:dyDescent="0.2">
      <c r="A198" s="7" t="s">
        <v>213</v>
      </c>
      <c r="C198" s="7" t="s">
        <v>20</v>
      </c>
      <c r="D198" s="6"/>
      <c r="E198" s="8">
        <v>588841</v>
      </c>
      <c r="F198" s="8"/>
      <c r="G198" s="8">
        <v>6390420</v>
      </c>
      <c r="H198" s="8"/>
      <c r="I198" s="8">
        <v>0</v>
      </c>
      <c r="J198" s="8"/>
      <c r="K198" s="8">
        <v>1048819</v>
      </c>
      <c r="L198" s="8"/>
      <c r="M198" s="8">
        <v>2692068</v>
      </c>
      <c r="N198" s="8"/>
      <c r="O198" s="8">
        <v>48478</v>
      </c>
      <c r="P198" s="8"/>
      <c r="Q198" s="8">
        <f>415861+57895</f>
        <v>473756</v>
      </c>
      <c r="R198" s="8"/>
      <c r="S198" s="7">
        <f t="shared" si="11"/>
        <v>349445</v>
      </c>
      <c r="T198" s="8"/>
      <c r="U198" s="8">
        <v>11591827</v>
      </c>
      <c r="V198" s="7"/>
      <c r="W198" s="8">
        <f>143831+2726460+42894+175256</f>
        <v>3088441</v>
      </c>
    </row>
    <row r="199" spans="1:23" ht="12.75" customHeight="1" x14ac:dyDescent="0.2">
      <c r="A199" s="7" t="s">
        <v>214</v>
      </c>
      <c r="C199" s="7" t="s">
        <v>43</v>
      </c>
      <c r="D199" s="6"/>
      <c r="E199" s="8">
        <v>6883867</v>
      </c>
      <c r="F199" s="8"/>
      <c r="G199" s="8">
        <v>0</v>
      </c>
      <c r="H199" s="8"/>
      <c r="I199" s="8">
        <v>0</v>
      </c>
      <c r="J199" s="8"/>
      <c r="K199" s="8">
        <v>1086820</v>
      </c>
      <c r="L199" s="8"/>
      <c r="M199" s="8">
        <v>1905118</v>
      </c>
      <c r="N199" s="8"/>
      <c r="O199" s="8">
        <v>0</v>
      </c>
      <c r="P199" s="8"/>
      <c r="Q199" s="8">
        <v>291839</v>
      </c>
      <c r="R199" s="8"/>
      <c r="S199" s="7">
        <f t="shared" si="11"/>
        <v>104993</v>
      </c>
      <c r="T199" s="8"/>
      <c r="U199" s="8">
        <v>10272637</v>
      </c>
      <c r="V199" s="7"/>
      <c r="W199" s="8">
        <f>2021+1267030+192630</f>
        <v>1461681</v>
      </c>
    </row>
    <row r="200" spans="1:23" ht="12.75" customHeight="1" x14ac:dyDescent="0.2">
      <c r="A200" s="7" t="s">
        <v>215</v>
      </c>
      <c r="C200" s="7" t="s">
        <v>41</v>
      </c>
      <c r="D200" s="6"/>
      <c r="E200" s="8">
        <v>15800045</v>
      </c>
      <c r="F200" s="8"/>
      <c r="G200" s="8">
        <v>0</v>
      </c>
      <c r="H200" s="8"/>
      <c r="I200" s="8">
        <v>0</v>
      </c>
      <c r="J200" s="8"/>
      <c r="K200" s="8">
        <v>257823</v>
      </c>
      <c r="L200" s="8"/>
      <c r="M200" s="8">
        <v>4106209</v>
      </c>
      <c r="N200" s="8"/>
      <c r="O200" s="8">
        <v>39737</v>
      </c>
      <c r="P200" s="8"/>
      <c r="Q200" s="8">
        <f>229833+584850</f>
        <v>814683</v>
      </c>
      <c r="R200" s="8"/>
      <c r="S200" s="7">
        <f t="shared" si="11"/>
        <v>579795</v>
      </c>
      <c r="T200" s="8"/>
      <c r="U200" s="8">
        <v>21598292</v>
      </c>
      <c r="V200" s="7"/>
      <c r="W200" s="8">
        <f>72803+7705000+150000</f>
        <v>7927803</v>
      </c>
    </row>
    <row r="201" spans="1:23" ht="12.75" customHeight="1" x14ac:dyDescent="0.2">
      <c r="A201" s="7" t="s">
        <v>216</v>
      </c>
      <c r="B201" s="58"/>
      <c r="C201" s="7" t="s">
        <v>25</v>
      </c>
      <c r="D201" s="6"/>
      <c r="E201" s="8">
        <v>3988342</v>
      </c>
      <c r="F201" s="8"/>
      <c r="G201" s="8">
        <v>4778695</v>
      </c>
      <c r="H201" s="8"/>
      <c r="I201" s="8">
        <v>69388</v>
      </c>
      <c r="J201" s="8"/>
      <c r="K201" s="8">
        <v>470069</v>
      </c>
      <c r="L201" s="8"/>
      <c r="M201" s="8">
        <v>1731146</v>
      </c>
      <c r="N201" s="8"/>
      <c r="O201" s="8">
        <v>676119</v>
      </c>
      <c r="P201" s="8"/>
      <c r="Q201" s="8">
        <f>580710+515</f>
        <v>581225</v>
      </c>
      <c r="R201" s="8"/>
      <c r="S201" s="7">
        <f t="shared" si="11"/>
        <v>365466</v>
      </c>
      <c r="T201" s="8"/>
      <c r="U201" s="8">
        <v>12660450</v>
      </c>
      <c r="V201" s="7"/>
      <c r="W201" s="8">
        <f>1190000+1856330</f>
        <v>3046330</v>
      </c>
    </row>
    <row r="202" spans="1:23" ht="12.75" customHeight="1" x14ac:dyDescent="0.2">
      <c r="A202" s="7" t="s">
        <v>217</v>
      </c>
      <c r="C202" s="7" t="s">
        <v>197</v>
      </c>
      <c r="D202" s="6"/>
      <c r="E202" s="8">
        <v>621142</v>
      </c>
      <c r="F202" s="8"/>
      <c r="G202" s="8">
        <v>1094589</v>
      </c>
      <c r="H202" s="8"/>
      <c r="I202" s="8">
        <v>0</v>
      </c>
      <c r="J202" s="8"/>
      <c r="K202" s="8">
        <v>988623</v>
      </c>
      <c r="L202" s="8"/>
      <c r="M202" s="8">
        <v>1090815</v>
      </c>
      <c r="N202" s="8"/>
      <c r="O202" s="8">
        <v>14390</v>
      </c>
      <c r="P202" s="8"/>
      <c r="Q202" s="8">
        <v>36537</v>
      </c>
      <c r="R202" s="8"/>
      <c r="S202" s="7">
        <f t="shared" si="11"/>
        <v>58402</v>
      </c>
      <c r="T202" s="8"/>
      <c r="U202" s="8">
        <v>3904498</v>
      </c>
      <c r="V202" s="7"/>
      <c r="W202" s="8">
        <f>2000+135000</f>
        <v>137000</v>
      </c>
    </row>
    <row r="203" spans="1:23" ht="12.75" customHeight="1" x14ac:dyDescent="0.2">
      <c r="A203" s="7" t="s">
        <v>218</v>
      </c>
      <c r="C203" s="7" t="s">
        <v>64</v>
      </c>
      <c r="D203" s="6"/>
      <c r="E203" s="8">
        <v>2075178</v>
      </c>
      <c r="F203" s="8"/>
      <c r="G203" s="8">
        <v>4270279</v>
      </c>
      <c r="H203" s="8"/>
      <c r="I203" s="8">
        <f>354376+40778</f>
        <v>395154</v>
      </c>
      <c r="J203" s="8"/>
      <c r="K203" s="8">
        <v>1795228</v>
      </c>
      <c r="L203" s="8"/>
      <c r="M203" s="8">
        <v>2560200</v>
      </c>
      <c r="N203" s="8"/>
      <c r="O203" s="8">
        <v>184404</v>
      </c>
      <c r="P203" s="8"/>
      <c r="Q203" s="8">
        <f>35080+36510</f>
        <v>71590</v>
      </c>
      <c r="R203" s="8"/>
      <c r="S203" s="7">
        <f t="shared" si="11"/>
        <v>136686</v>
      </c>
      <c r="T203" s="8"/>
      <c r="U203" s="8">
        <v>11488719</v>
      </c>
      <c r="V203" s="7"/>
      <c r="W203" s="8">
        <v>4632510</v>
      </c>
    </row>
    <row r="204" spans="1:23" ht="12.75" customHeight="1" x14ac:dyDescent="0.2">
      <c r="A204" s="7" t="s">
        <v>219</v>
      </c>
      <c r="C204" s="7" t="s">
        <v>25</v>
      </c>
      <c r="D204" s="6"/>
      <c r="E204" s="8">
        <v>6479941</v>
      </c>
      <c r="F204" s="8"/>
      <c r="G204" s="8">
        <v>8697295</v>
      </c>
      <c r="H204" s="8"/>
      <c r="I204" s="8">
        <v>194790</v>
      </c>
      <c r="J204" s="8"/>
      <c r="K204" s="8">
        <v>3829615</v>
      </c>
      <c r="L204" s="8"/>
      <c r="M204" s="8">
        <v>5356419</v>
      </c>
      <c r="N204" s="8"/>
      <c r="O204" s="8">
        <v>58421</v>
      </c>
      <c r="P204" s="8"/>
      <c r="Q204" s="8">
        <v>3652640</v>
      </c>
      <c r="R204" s="8"/>
      <c r="S204" s="7">
        <f t="shared" si="11"/>
        <v>934747</v>
      </c>
      <c r="T204" s="8"/>
      <c r="U204" s="8">
        <v>29203868</v>
      </c>
      <c r="V204" s="7"/>
      <c r="W204" s="8">
        <f>14615+1964235+3994000</f>
        <v>5972850</v>
      </c>
    </row>
    <row r="205" spans="1:23" ht="12.75" customHeight="1" x14ac:dyDescent="0.2">
      <c r="A205" s="7" t="s">
        <v>220</v>
      </c>
      <c r="C205" s="7" t="s">
        <v>45</v>
      </c>
      <c r="D205" s="6"/>
      <c r="E205" s="8">
        <v>1355174</v>
      </c>
      <c r="F205" s="8"/>
      <c r="G205" s="8">
        <v>3353573</v>
      </c>
      <c r="H205" s="8"/>
      <c r="I205" s="8">
        <v>924330</v>
      </c>
      <c r="J205" s="8"/>
      <c r="K205" s="8">
        <v>258924</v>
      </c>
      <c r="L205" s="8"/>
      <c r="M205" s="8">
        <v>1114608</v>
      </c>
      <c r="N205" s="8"/>
      <c r="O205" s="8">
        <v>481268</v>
      </c>
      <c r="P205" s="8"/>
      <c r="Q205" s="8">
        <v>66150</v>
      </c>
      <c r="R205" s="8"/>
      <c r="S205" s="7">
        <f t="shared" si="11"/>
        <v>337117</v>
      </c>
      <c r="T205" s="8"/>
      <c r="U205" s="8">
        <v>7891144</v>
      </c>
      <c r="V205" s="7"/>
      <c r="W205" s="8">
        <f>3550000+68797+797623</f>
        <v>4416420</v>
      </c>
    </row>
    <row r="206" spans="1:23" ht="12.75" customHeight="1" x14ac:dyDescent="0.2">
      <c r="A206" s="7" t="s">
        <v>221</v>
      </c>
      <c r="C206" s="7" t="s">
        <v>92</v>
      </c>
      <c r="D206" s="6"/>
      <c r="E206" s="8">
        <v>941405</v>
      </c>
      <c r="F206" s="8"/>
      <c r="G206" s="8">
        <v>4368717</v>
      </c>
      <c r="H206" s="8"/>
      <c r="I206" s="8">
        <v>100411</v>
      </c>
      <c r="J206" s="8"/>
      <c r="K206" s="8">
        <v>422068</v>
      </c>
      <c r="L206" s="8"/>
      <c r="M206" s="8">
        <v>1805201</v>
      </c>
      <c r="N206" s="8"/>
      <c r="O206" s="8">
        <v>7545</v>
      </c>
      <c r="P206" s="8"/>
      <c r="Q206" s="8">
        <f>205048+13951</f>
        <v>218999</v>
      </c>
      <c r="R206" s="8"/>
      <c r="S206" s="7">
        <f t="shared" si="11"/>
        <v>516013</v>
      </c>
      <c r="T206" s="8"/>
      <c r="U206" s="8">
        <v>8380359</v>
      </c>
      <c r="V206" s="7"/>
      <c r="W206" s="8">
        <f>5503+723532</f>
        <v>729035</v>
      </c>
    </row>
    <row r="207" spans="1:23" ht="12.75" customHeight="1" x14ac:dyDescent="0.2">
      <c r="A207" s="7" t="s">
        <v>74</v>
      </c>
      <c r="C207" s="7" t="s">
        <v>130</v>
      </c>
      <c r="D207" s="6"/>
      <c r="E207" s="8">
        <v>2266548</v>
      </c>
      <c r="F207" s="8"/>
      <c r="G207" s="8">
        <v>7679283</v>
      </c>
      <c r="H207" s="8"/>
      <c r="I207" s="8">
        <f>541236+4176906</f>
        <v>4718142</v>
      </c>
      <c r="J207" s="8"/>
      <c r="K207" s="8">
        <v>1751080</v>
      </c>
      <c r="L207" s="8"/>
      <c r="M207" s="8">
        <v>5802086</v>
      </c>
      <c r="N207" s="8"/>
      <c r="O207" s="8">
        <v>263281</v>
      </c>
      <c r="P207" s="8"/>
      <c r="Q207" s="8">
        <f>977026+1129197</f>
        <v>2106223</v>
      </c>
      <c r="R207" s="8"/>
      <c r="S207" s="7">
        <f t="shared" si="11"/>
        <v>1128461</v>
      </c>
      <c r="T207" s="8"/>
      <c r="U207" s="8">
        <v>25715104</v>
      </c>
      <c r="V207" s="7"/>
      <c r="W207" s="8">
        <f>1161+3257469</f>
        <v>3258630</v>
      </c>
    </row>
    <row r="208" spans="1:23" ht="12.75" customHeight="1" x14ac:dyDescent="0.2">
      <c r="A208" s="7" t="s">
        <v>222</v>
      </c>
      <c r="C208" s="7" t="s">
        <v>25</v>
      </c>
      <c r="D208" s="6"/>
      <c r="E208" s="8">
        <v>7658929</v>
      </c>
      <c r="F208" s="8"/>
      <c r="G208" s="8">
        <v>0</v>
      </c>
      <c r="H208" s="8"/>
      <c r="I208" s="8">
        <v>0</v>
      </c>
      <c r="J208" s="8"/>
      <c r="K208" s="8">
        <v>1280815</v>
      </c>
      <c r="L208" s="8"/>
      <c r="M208" s="8">
        <v>2555607</v>
      </c>
      <c r="N208" s="8"/>
      <c r="O208" s="8">
        <v>201877</v>
      </c>
      <c r="P208" s="8"/>
      <c r="Q208" s="8">
        <v>589127</v>
      </c>
      <c r="R208" s="8"/>
      <c r="S208" s="7">
        <f t="shared" si="11"/>
        <v>217360</v>
      </c>
      <c r="T208" s="8"/>
      <c r="U208" s="8">
        <v>12503715</v>
      </c>
      <c r="V208" s="7"/>
      <c r="W208" s="8">
        <f>3769+563772+1963546</f>
        <v>2531087</v>
      </c>
    </row>
    <row r="209" spans="1:24" ht="12.75" customHeight="1" x14ac:dyDescent="0.2">
      <c r="A209" s="7" t="s">
        <v>223</v>
      </c>
      <c r="C209" s="7" t="s">
        <v>25</v>
      </c>
      <c r="D209" s="6"/>
      <c r="E209" s="8">
        <v>6754730</v>
      </c>
      <c r="F209" s="8"/>
      <c r="G209" s="8">
        <v>22230968</v>
      </c>
      <c r="H209" s="8"/>
      <c r="I209" s="8">
        <v>48432</v>
      </c>
      <c r="J209" s="8"/>
      <c r="K209" s="8">
        <v>7106179</v>
      </c>
      <c r="L209" s="8"/>
      <c r="M209" s="8">
        <v>11348788</v>
      </c>
      <c r="N209" s="8"/>
      <c r="O209" s="8">
        <v>1476080</v>
      </c>
      <c r="P209" s="8"/>
      <c r="Q209" s="8">
        <f>684178+914175</f>
        <v>1598353</v>
      </c>
      <c r="R209" s="8"/>
      <c r="S209" s="7">
        <f t="shared" ref="S209" si="12">+U209-SUM(E209:Q209)</f>
        <v>348631</v>
      </c>
      <c r="T209" s="8"/>
      <c r="U209" s="16">
        <v>50912161</v>
      </c>
      <c r="V209" s="7"/>
      <c r="W209" s="7">
        <f>4671495+15370000+464383+51569</f>
        <v>20557447</v>
      </c>
    </row>
    <row r="210" spans="1:24" ht="12.75" customHeight="1" x14ac:dyDescent="0.2">
      <c r="A210" s="7" t="s">
        <v>224</v>
      </c>
      <c r="C210" s="7" t="s">
        <v>43</v>
      </c>
      <c r="D210" s="19"/>
      <c r="E210" s="8">
        <v>20788346</v>
      </c>
      <c r="F210" s="8"/>
      <c r="G210" s="8">
        <v>0</v>
      </c>
      <c r="H210" s="8"/>
      <c r="I210" s="8">
        <v>284666</v>
      </c>
      <c r="J210" s="8"/>
      <c r="K210" s="8">
        <v>841214</v>
      </c>
      <c r="L210" s="8"/>
      <c r="M210" s="8">
        <v>3459320</v>
      </c>
      <c r="N210" s="8"/>
      <c r="O210" s="8">
        <v>298704</v>
      </c>
      <c r="P210" s="8"/>
      <c r="Q210" s="8">
        <f>533099+446816</f>
        <v>979915</v>
      </c>
      <c r="R210" s="8"/>
      <c r="S210" s="7">
        <f t="shared" ref="S210:S226" si="13">+U210-SUM(E210:Q210)</f>
        <v>328792</v>
      </c>
      <c r="T210" s="8"/>
      <c r="U210" s="8">
        <v>26980957</v>
      </c>
      <c r="V210" s="7"/>
      <c r="W210" s="8">
        <f>21791+3935000+291312+108000+5104206</f>
        <v>9460309</v>
      </c>
    </row>
    <row r="211" spans="1:24" s="57" customFormat="1" ht="12.75" customHeight="1" x14ac:dyDescent="0.2">
      <c r="A211" s="9" t="s">
        <v>225</v>
      </c>
      <c r="C211" s="9" t="s">
        <v>15</v>
      </c>
      <c r="D211" s="19"/>
      <c r="E211" s="8">
        <v>1238159</v>
      </c>
      <c r="F211" s="8"/>
      <c r="G211" s="8">
        <v>2108984</v>
      </c>
      <c r="H211" s="8"/>
      <c r="I211" s="8">
        <v>0</v>
      </c>
      <c r="J211" s="8"/>
      <c r="K211" s="8">
        <v>1018784</v>
      </c>
      <c r="L211" s="8"/>
      <c r="M211" s="8">
        <v>1527781</v>
      </c>
      <c r="N211" s="8"/>
      <c r="O211" s="8">
        <v>0</v>
      </c>
      <c r="P211" s="8"/>
      <c r="Q211" s="8">
        <v>187083</v>
      </c>
      <c r="R211" s="8"/>
      <c r="S211" s="7">
        <f t="shared" si="13"/>
        <v>469336</v>
      </c>
      <c r="T211" s="8"/>
      <c r="U211" s="8">
        <v>6550127</v>
      </c>
      <c r="V211" s="7"/>
      <c r="W211" s="8">
        <f>54705+295000</f>
        <v>349705</v>
      </c>
    </row>
    <row r="212" spans="1:24" ht="12.75" customHeight="1" x14ac:dyDescent="0.2">
      <c r="A212" s="7" t="s">
        <v>226</v>
      </c>
      <c r="C212" s="7" t="s">
        <v>151</v>
      </c>
      <c r="D212" s="6"/>
      <c r="E212" s="8">
        <v>4128019</v>
      </c>
      <c r="F212" s="8"/>
      <c r="G212" s="8">
        <v>0</v>
      </c>
      <c r="H212" s="8"/>
      <c r="I212" s="8">
        <v>0</v>
      </c>
      <c r="J212" s="8"/>
      <c r="K212" s="8">
        <v>572674</v>
      </c>
      <c r="L212" s="8"/>
      <c r="M212" s="8">
        <v>1795904</v>
      </c>
      <c r="N212" s="8"/>
      <c r="O212" s="8">
        <v>25486</v>
      </c>
      <c r="P212" s="8"/>
      <c r="Q212" s="8">
        <v>352399</v>
      </c>
      <c r="R212" s="8"/>
      <c r="S212" s="7">
        <f t="shared" si="13"/>
        <v>193045</v>
      </c>
      <c r="T212" s="8"/>
      <c r="U212" s="8">
        <v>7067527</v>
      </c>
      <c r="V212" s="7"/>
      <c r="W212" s="8">
        <v>305000</v>
      </c>
    </row>
    <row r="213" spans="1:24" ht="12.75" customHeight="1" x14ac:dyDescent="0.2">
      <c r="A213" s="7" t="s">
        <v>227</v>
      </c>
      <c r="C213" s="7" t="s">
        <v>226</v>
      </c>
      <c r="D213" s="6"/>
      <c r="E213" s="8">
        <v>14439662</v>
      </c>
      <c r="F213" s="8"/>
      <c r="G213" s="8">
        <v>0</v>
      </c>
      <c r="H213" s="8"/>
      <c r="I213" s="8">
        <v>0</v>
      </c>
      <c r="J213" s="8"/>
      <c r="K213" s="8">
        <v>1687672</v>
      </c>
      <c r="L213" s="8"/>
      <c r="M213" s="8">
        <v>3052245</v>
      </c>
      <c r="N213" s="8"/>
      <c r="O213" s="8">
        <v>263184</v>
      </c>
      <c r="P213" s="8"/>
      <c r="Q213" s="8">
        <v>200370</v>
      </c>
      <c r="R213" s="8"/>
      <c r="S213" s="7">
        <f t="shared" si="13"/>
        <v>824130</v>
      </c>
      <c r="T213" s="8"/>
      <c r="U213" s="8">
        <v>20467263</v>
      </c>
      <c r="V213" s="7"/>
      <c r="W213" s="8">
        <f>225000+29635+95000</f>
        <v>349635</v>
      </c>
    </row>
    <row r="214" spans="1:24" ht="12.75" hidden="1" customHeight="1" x14ac:dyDescent="0.2">
      <c r="A214" s="9" t="s">
        <v>228</v>
      </c>
      <c r="B214" s="57"/>
      <c r="C214" s="9" t="s">
        <v>43</v>
      </c>
      <c r="D214" s="6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7">
        <f t="shared" si="13"/>
        <v>0</v>
      </c>
      <c r="T214" s="8"/>
      <c r="U214" s="8"/>
      <c r="V214" s="7"/>
      <c r="W214" s="8"/>
      <c r="X214" s="7"/>
    </row>
    <row r="215" spans="1:24" ht="12.75" customHeight="1" x14ac:dyDescent="0.2">
      <c r="A215" s="7" t="s">
        <v>229</v>
      </c>
      <c r="C215" s="7" t="s">
        <v>25</v>
      </c>
      <c r="D215" s="6"/>
      <c r="E215" s="8">
        <v>4084821</v>
      </c>
      <c r="F215" s="8"/>
      <c r="G215" s="8">
        <v>40209345</v>
      </c>
      <c r="H215" s="8"/>
      <c r="I215" s="8">
        <v>0</v>
      </c>
      <c r="J215" s="8"/>
      <c r="K215" s="8">
        <v>3848537</v>
      </c>
      <c r="L215" s="8"/>
      <c r="M215" s="8">
        <v>4734703</v>
      </c>
      <c r="N215" s="8"/>
      <c r="O215" s="8">
        <v>708400</v>
      </c>
      <c r="P215" s="8"/>
      <c r="Q215" s="8">
        <f>1079485+372559</f>
        <v>1452044</v>
      </c>
      <c r="R215" s="8"/>
      <c r="S215" s="7">
        <f t="shared" si="13"/>
        <v>1198219</v>
      </c>
      <c r="T215" s="8"/>
      <c r="U215" s="8">
        <v>56236069</v>
      </c>
      <c r="V215" s="7"/>
      <c r="W215" s="8">
        <f>78100+5300000</f>
        <v>5378100</v>
      </c>
    </row>
    <row r="216" spans="1:24" ht="12.75" customHeight="1" x14ac:dyDescent="0.2">
      <c r="A216" s="7" t="s">
        <v>230</v>
      </c>
      <c r="C216" s="7" t="s">
        <v>25</v>
      </c>
      <c r="D216" s="6"/>
      <c r="E216" s="8">
        <v>4799487</v>
      </c>
      <c r="F216" s="8"/>
      <c r="G216" s="8">
        <v>8662240</v>
      </c>
      <c r="H216" s="8"/>
      <c r="I216" s="8">
        <v>0</v>
      </c>
      <c r="J216" s="8"/>
      <c r="K216" s="8">
        <v>685149</v>
      </c>
      <c r="L216" s="8"/>
      <c r="M216" s="8">
        <v>3572188</v>
      </c>
      <c r="N216" s="8"/>
      <c r="O216" s="8">
        <v>2991230</v>
      </c>
      <c r="P216" s="8"/>
      <c r="Q216" s="8">
        <f>726128+683651</f>
        <v>1409779</v>
      </c>
      <c r="R216" s="8"/>
      <c r="S216" s="7">
        <f t="shared" si="13"/>
        <v>644613</v>
      </c>
      <c r="T216" s="8"/>
      <c r="U216" s="8">
        <v>22764686</v>
      </c>
      <c r="V216" s="7"/>
      <c r="W216" s="8">
        <f>90140+14130000+1449127+737800+374441+799651</f>
        <v>17581159</v>
      </c>
    </row>
    <row r="217" spans="1:24" ht="12.75" customHeight="1" x14ac:dyDescent="0.2">
      <c r="A217" s="7" t="s">
        <v>231</v>
      </c>
      <c r="C217" s="7" t="s">
        <v>109</v>
      </c>
      <c r="D217" s="6"/>
      <c r="E217" s="8">
        <v>686985</v>
      </c>
      <c r="F217" s="8"/>
      <c r="G217" s="8">
        <v>11029649</v>
      </c>
      <c r="H217" s="8"/>
      <c r="I217" s="8">
        <v>111074</v>
      </c>
      <c r="J217" s="8"/>
      <c r="K217" s="8">
        <v>0</v>
      </c>
      <c r="L217" s="8"/>
      <c r="M217" s="8">
        <v>2031769</v>
      </c>
      <c r="N217" s="8"/>
      <c r="O217" s="8">
        <v>407512</v>
      </c>
      <c r="P217" s="8"/>
      <c r="Q217" s="8">
        <v>540093</v>
      </c>
      <c r="R217" s="8"/>
      <c r="S217" s="7">
        <f t="shared" si="13"/>
        <v>845013</v>
      </c>
      <c r="T217" s="8"/>
      <c r="U217" s="8">
        <v>15652095</v>
      </c>
      <c r="V217" s="7"/>
      <c r="W217" s="8">
        <f>65954+8258341</f>
        <v>8324295</v>
      </c>
    </row>
    <row r="218" spans="1:24" ht="12.75" customHeight="1" x14ac:dyDescent="0.2">
      <c r="A218" s="7" t="s">
        <v>232</v>
      </c>
      <c r="C218" s="7" t="s">
        <v>43</v>
      </c>
      <c r="D218" s="6"/>
      <c r="E218" s="8">
        <v>1291654</v>
      </c>
      <c r="F218" s="8"/>
      <c r="G218" s="8">
        <v>12671825</v>
      </c>
      <c r="H218" s="8"/>
      <c r="I218" s="8">
        <v>575096</v>
      </c>
      <c r="J218" s="8"/>
      <c r="K218" s="8">
        <v>545153</v>
      </c>
      <c r="L218" s="8"/>
      <c r="M218" s="8">
        <v>3044584</v>
      </c>
      <c r="N218" s="8"/>
      <c r="O218" s="8">
        <v>159692</v>
      </c>
      <c r="P218" s="8"/>
      <c r="Q218" s="8">
        <v>368762</v>
      </c>
      <c r="R218" s="8"/>
      <c r="S218" s="7">
        <f t="shared" si="13"/>
        <v>637251</v>
      </c>
      <c r="T218" s="8"/>
      <c r="U218" s="8">
        <v>19294017</v>
      </c>
      <c r="V218" s="7"/>
      <c r="W218" s="8">
        <f>200000+1900000+1037500</f>
        <v>3137500</v>
      </c>
    </row>
    <row r="219" spans="1:24" ht="12.75" customHeight="1" x14ac:dyDescent="0.2">
      <c r="A219" s="7" t="s">
        <v>233</v>
      </c>
      <c r="C219" s="7" t="s">
        <v>181</v>
      </c>
      <c r="D219" s="6"/>
      <c r="E219" s="8">
        <v>2556706</v>
      </c>
      <c r="F219" s="8"/>
      <c r="G219" s="8">
        <v>28374266</v>
      </c>
      <c r="H219" s="8"/>
      <c r="I219" s="8">
        <f>1123433+5413292</f>
        <v>6536725</v>
      </c>
      <c r="J219" s="8"/>
      <c r="K219" s="8">
        <v>4481478</v>
      </c>
      <c r="L219" s="8"/>
      <c r="M219" s="8">
        <v>11860171</v>
      </c>
      <c r="N219" s="8"/>
      <c r="O219" s="8">
        <v>110788</v>
      </c>
      <c r="P219" s="8"/>
      <c r="Q219" s="8">
        <f>619725+2673175</f>
        <v>3292900</v>
      </c>
      <c r="R219" s="8"/>
      <c r="S219" s="7">
        <f t="shared" si="13"/>
        <v>3140750</v>
      </c>
      <c r="T219" s="8"/>
      <c r="U219" s="8">
        <v>60353784</v>
      </c>
      <c r="V219" s="7"/>
      <c r="W219" s="8">
        <f>2425000+63380+268237+3925569</f>
        <v>6682186</v>
      </c>
    </row>
    <row r="220" spans="1:24" ht="12.75" hidden="1" customHeight="1" x14ac:dyDescent="0.2">
      <c r="A220" s="7" t="s">
        <v>234</v>
      </c>
      <c r="B220" s="58"/>
      <c r="C220" s="7" t="s">
        <v>43</v>
      </c>
      <c r="D220" s="6"/>
      <c r="E220" s="8">
        <v>11647927</v>
      </c>
      <c r="F220" s="8"/>
      <c r="G220" s="8">
        <v>0</v>
      </c>
      <c r="H220" s="8"/>
      <c r="I220" s="8">
        <v>0</v>
      </c>
      <c r="J220" s="8"/>
      <c r="K220" s="8">
        <v>349131</v>
      </c>
      <c r="L220" s="8"/>
      <c r="M220" s="8">
        <v>2216012</v>
      </c>
      <c r="N220" s="8"/>
      <c r="O220" s="8">
        <v>0</v>
      </c>
      <c r="P220" s="8"/>
      <c r="Q220" s="8">
        <f>67312+49072</f>
        <v>116384</v>
      </c>
      <c r="R220" s="8"/>
      <c r="S220" s="7">
        <f t="shared" si="13"/>
        <v>382163</v>
      </c>
      <c r="T220" s="8"/>
      <c r="U220" s="8">
        <v>14711617</v>
      </c>
      <c r="V220" s="7"/>
      <c r="W220" s="8">
        <f>549174+2800000+2696376</f>
        <v>6045550</v>
      </c>
    </row>
    <row r="221" spans="1:24" ht="12.75" hidden="1" customHeight="1" x14ac:dyDescent="0.2">
      <c r="A221" s="7" t="s">
        <v>235</v>
      </c>
      <c r="C221" s="7" t="s">
        <v>31</v>
      </c>
      <c r="D221" s="6"/>
      <c r="E221" s="8">
        <v>975190</v>
      </c>
      <c r="F221" s="8"/>
      <c r="G221" s="8">
        <v>497338</v>
      </c>
      <c r="H221" s="8"/>
      <c r="I221" s="8">
        <v>0</v>
      </c>
      <c r="J221" s="8"/>
      <c r="K221" s="8">
        <v>141923</v>
      </c>
      <c r="L221" s="8"/>
      <c r="M221" s="8">
        <v>1040989</v>
      </c>
      <c r="N221" s="8"/>
      <c r="O221" s="8">
        <v>0</v>
      </c>
      <c r="P221" s="8"/>
      <c r="Q221" s="8">
        <f>119146+12553</f>
        <v>131699</v>
      </c>
      <c r="R221" s="8"/>
      <c r="S221" s="7">
        <f t="shared" si="13"/>
        <v>136683</v>
      </c>
      <c r="T221" s="8"/>
      <c r="U221" s="8">
        <v>2923822</v>
      </c>
      <c r="V221" s="7"/>
      <c r="W221" s="8">
        <f>844420+76320+29056</f>
        <v>949796</v>
      </c>
    </row>
    <row r="222" spans="1:24" ht="12.75" customHeight="1" x14ac:dyDescent="0.2">
      <c r="A222" s="7" t="s">
        <v>236</v>
      </c>
      <c r="C222" s="7" t="s">
        <v>237</v>
      </c>
      <c r="D222" s="6"/>
      <c r="E222" s="8">
        <v>1289597</v>
      </c>
      <c r="F222" s="8"/>
      <c r="G222" s="8">
        <v>3963004</v>
      </c>
      <c r="H222" s="8"/>
      <c r="I222" s="8">
        <v>0</v>
      </c>
      <c r="J222" s="8"/>
      <c r="K222" s="8">
        <v>582438</v>
      </c>
      <c r="L222" s="8"/>
      <c r="M222" s="8">
        <v>963778</v>
      </c>
      <c r="N222" s="8"/>
      <c r="O222" s="8">
        <v>119920</v>
      </c>
      <c r="P222" s="8"/>
      <c r="Q222" s="8">
        <f>107067+14597</f>
        <v>121664</v>
      </c>
      <c r="R222" s="8"/>
      <c r="S222" s="7">
        <f t="shared" si="13"/>
        <v>197912</v>
      </c>
      <c r="T222" s="8"/>
      <c r="U222" s="8">
        <v>7238313</v>
      </c>
      <c r="V222" s="7"/>
      <c r="W222" s="8">
        <f>30000+330834</f>
        <v>360834</v>
      </c>
    </row>
    <row r="223" spans="1:24" ht="12.75" customHeight="1" x14ac:dyDescent="0.2">
      <c r="A223" s="7" t="s">
        <v>480</v>
      </c>
      <c r="C223" s="7" t="s">
        <v>247</v>
      </c>
      <c r="D223" s="6"/>
      <c r="E223" s="8">
        <v>1479222</v>
      </c>
      <c r="F223" s="8"/>
      <c r="G223" s="8">
        <v>9177512</v>
      </c>
      <c r="H223" s="8"/>
      <c r="I223" s="8">
        <v>0</v>
      </c>
      <c r="J223" s="8"/>
      <c r="K223" s="8">
        <v>80558</v>
      </c>
      <c r="L223" s="8"/>
      <c r="M223" s="8">
        <v>5282808</v>
      </c>
      <c r="N223" s="8"/>
      <c r="O223" s="8">
        <v>4961</v>
      </c>
      <c r="P223" s="8"/>
      <c r="Q223" s="8">
        <f>853116+371436</f>
        <v>1224552</v>
      </c>
      <c r="R223" s="8"/>
      <c r="S223" s="7">
        <f t="shared" si="13"/>
        <v>243966</v>
      </c>
      <c r="T223" s="8"/>
      <c r="U223" s="8">
        <v>17493579</v>
      </c>
      <c r="V223" s="7"/>
      <c r="W223" s="8">
        <f>1363+24995+28952</f>
        <v>55310</v>
      </c>
    </row>
    <row r="224" spans="1:24" ht="12.75" customHeight="1" x14ac:dyDescent="0.2">
      <c r="A224" s="7" t="s">
        <v>238</v>
      </c>
      <c r="C224" s="7" t="s">
        <v>11</v>
      </c>
      <c r="D224" s="6"/>
      <c r="E224" s="8">
        <v>6812959</v>
      </c>
      <c r="F224" s="8"/>
      <c r="G224" s="8">
        <v>13268271</v>
      </c>
      <c r="H224" s="8"/>
      <c r="I224" s="8">
        <v>0</v>
      </c>
      <c r="J224" s="8"/>
      <c r="K224" s="8">
        <v>1105199</v>
      </c>
      <c r="L224" s="8"/>
      <c r="M224" s="8">
        <v>7415284</v>
      </c>
      <c r="N224" s="8"/>
      <c r="O224" s="8">
        <v>79414</v>
      </c>
      <c r="P224" s="8"/>
      <c r="Q224" s="8">
        <f>832976+3278358</f>
        <v>4111334</v>
      </c>
      <c r="R224" s="8"/>
      <c r="S224" s="7">
        <f t="shared" si="13"/>
        <v>842029</v>
      </c>
      <c r="T224" s="8"/>
      <c r="U224" s="8">
        <v>33634490</v>
      </c>
      <c r="V224" s="7"/>
      <c r="W224" s="8">
        <f>5575000+72077+3048524</f>
        <v>8695601</v>
      </c>
    </row>
    <row r="225" spans="1:24" ht="12.75" customHeight="1" x14ac:dyDescent="0.2">
      <c r="A225" s="7" t="s">
        <v>239</v>
      </c>
      <c r="C225" s="7" t="s">
        <v>20</v>
      </c>
      <c r="D225" s="6"/>
      <c r="E225" s="8">
        <v>1787712</v>
      </c>
      <c r="F225" s="8"/>
      <c r="G225" s="8">
        <v>10750371</v>
      </c>
      <c r="H225" s="8"/>
      <c r="I225" s="8">
        <v>106488</v>
      </c>
      <c r="J225" s="8"/>
      <c r="K225" s="8">
        <v>542360</v>
      </c>
      <c r="L225" s="8"/>
      <c r="M225" s="8">
        <v>1853203</v>
      </c>
      <c r="N225" s="8"/>
      <c r="O225" s="8">
        <v>20033</v>
      </c>
      <c r="P225" s="8"/>
      <c r="Q225" s="8">
        <f>684125+128012</f>
        <v>812137</v>
      </c>
      <c r="R225" s="8"/>
      <c r="S225" s="7">
        <f t="shared" si="13"/>
        <v>597857</v>
      </c>
      <c r="T225" s="8"/>
      <c r="U225" s="8">
        <v>16470161</v>
      </c>
      <c r="V225" s="7"/>
      <c r="W225" s="8">
        <f>29928+4000000+750000+2598</f>
        <v>4782526</v>
      </c>
    </row>
    <row r="226" spans="1:24" ht="12.75" customHeight="1" x14ac:dyDescent="0.2">
      <c r="A226" s="7" t="s">
        <v>240</v>
      </c>
      <c r="C226" s="7" t="s">
        <v>25</v>
      </c>
      <c r="D226" s="6"/>
      <c r="E226" s="8">
        <v>9114409</v>
      </c>
      <c r="F226" s="8"/>
      <c r="G226" s="8">
        <v>29472936</v>
      </c>
      <c r="H226" s="8"/>
      <c r="I226" s="8">
        <f>181064+324002+646363+866597</f>
        <v>2018026</v>
      </c>
      <c r="J226" s="8"/>
      <c r="K226" s="8">
        <v>4412698</v>
      </c>
      <c r="L226" s="8"/>
      <c r="M226" s="8">
        <v>5818163</v>
      </c>
      <c r="N226" s="8"/>
      <c r="O226" s="8">
        <v>196199</v>
      </c>
      <c r="P226" s="8"/>
      <c r="Q226" s="8">
        <f>810323+687176</f>
        <v>1497499</v>
      </c>
      <c r="R226" s="8"/>
      <c r="S226" s="7">
        <f t="shared" si="13"/>
        <v>407128</v>
      </c>
      <c r="T226" s="8"/>
      <c r="U226" s="8">
        <v>52937058</v>
      </c>
      <c r="V226" s="7"/>
      <c r="W226" s="8">
        <f>120827+10461099</f>
        <v>10581926</v>
      </c>
    </row>
    <row r="227" spans="1:24" ht="12.75" customHeight="1" x14ac:dyDescent="0.2">
      <c r="A227" s="7" t="s">
        <v>510</v>
      </c>
      <c r="C227" s="7" t="s">
        <v>59</v>
      </c>
      <c r="D227" s="6"/>
      <c r="E227" s="8">
        <v>3109970</v>
      </c>
      <c r="F227" s="8"/>
      <c r="G227" s="8">
        <v>0</v>
      </c>
      <c r="H227" s="8"/>
      <c r="I227" s="8">
        <v>0</v>
      </c>
      <c r="J227" s="8"/>
      <c r="K227" s="8">
        <v>67178</v>
      </c>
      <c r="L227" s="8"/>
      <c r="M227" s="8">
        <v>1027387</v>
      </c>
      <c r="N227" s="8"/>
      <c r="O227" s="8">
        <v>0</v>
      </c>
      <c r="P227" s="8"/>
      <c r="Q227" s="8">
        <v>444350</v>
      </c>
      <c r="R227" s="8"/>
      <c r="S227" s="7">
        <f t="shared" ref="S227" si="14">+U227-SUM(E227:Q227)</f>
        <v>201785</v>
      </c>
      <c r="T227" s="8"/>
      <c r="U227" s="8">
        <v>4850670</v>
      </c>
      <c r="V227" s="7"/>
      <c r="W227" s="8">
        <f>3700+25000+256000</f>
        <v>284700</v>
      </c>
    </row>
    <row r="228" spans="1:24" ht="12.75" customHeight="1" x14ac:dyDescent="0.2">
      <c r="A228" s="7" t="s">
        <v>241</v>
      </c>
      <c r="C228" s="7" t="s">
        <v>161</v>
      </c>
      <c r="D228" s="6"/>
      <c r="E228" s="8">
        <v>1903401</v>
      </c>
      <c r="F228" s="8"/>
      <c r="G228" s="8">
        <v>8779301</v>
      </c>
      <c r="H228" s="8"/>
      <c r="I228" s="8">
        <v>0</v>
      </c>
      <c r="J228" s="8"/>
      <c r="K228" s="8">
        <v>509189</v>
      </c>
      <c r="L228" s="8"/>
      <c r="M228" s="8">
        <v>3367510</v>
      </c>
      <c r="N228" s="8"/>
      <c r="O228" s="8">
        <v>898795</v>
      </c>
      <c r="P228" s="8"/>
      <c r="Q228" s="8">
        <f>338589+1028998</f>
        <v>1367587</v>
      </c>
      <c r="R228" s="8"/>
      <c r="S228" s="7">
        <f t="shared" ref="S228:S241" si="15">+U228-SUM(E228:Q228)</f>
        <v>696980</v>
      </c>
      <c r="T228" s="8"/>
      <c r="U228" s="8">
        <v>17522763</v>
      </c>
      <c r="V228" s="7"/>
      <c r="W228" s="8">
        <f>89051+3650000+11064696</f>
        <v>14803747</v>
      </c>
    </row>
    <row r="229" spans="1:24" ht="12.75" customHeight="1" x14ac:dyDescent="0.2">
      <c r="A229" s="7" t="s">
        <v>242</v>
      </c>
      <c r="C229" s="7" t="s">
        <v>11</v>
      </c>
      <c r="D229" s="6"/>
      <c r="E229" s="8">
        <v>2023704</v>
      </c>
      <c r="F229" s="8"/>
      <c r="G229" s="8">
        <v>8359821</v>
      </c>
      <c r="H229" s="8"/>
      <c r="I229" s="8">
        <v>0</v>
      </c>
      <c r="J229" s="8"/>
      <c r="K229" s="8">
        <v>2185009</v>
      </c>
      <c r="L229" s="8"/>
      <c r="M229" s="8">
        <v>3537553</v>
      </c>
      <c r="N229" s="8"/>
      <c r="O229" s="8">
        <v>108045</v>
      </c>
      <c r="P229" s="8"/>
      <c r="Q229" s="8">
        <v>413255</v>
      </c>
      <c r="R229" s="8"/>
      <c r="S229" s="7">
        <f t="shared" si="15"/>
        <v>236316</v>
      </c>
      <c r="T229" s="8"/>
      <c r="U229" s="8">
        <v>16863703</v>
      </c>
      <c r="V229" s="7"/>
      <c r="W229" s="8">
        <f>162907+4335205</f>
        <v>4498112</v>
      </c>
    </row>
    <row r="230" spans="1:24" ht="12.75" customHeight="1" x14ac:dyDescent="0.2">
      <c r="A230" s="7" t="s">
        <v>243</v>
      </c>
      <c r="C230" s="7" t="s">
        <v>108</v>
      </c>
      <c r="D230" s="6"/>
      <c r="E230" s="8">
        <v>880959</v>
      </c>
      <c r="F230" s="8"/>
      <c r="G230" s="8">
        <v>7277841</v>
      </c>
      <c r="H230" s="8"/>
      <c r="I230" s="8">
        <v>58613</v>
      </c>
      <c r="J230" s="8"/>
      <c r="K230" s="8">
        <v>619960</v>
      </c>
      <c r="L230" s="8"/>
      <c r="M230" s="8">
        <v>2809600</v>
      </c>
      <c r="N230" s="8"/>
      <c r="O230" s="8">
        <v>90018</v>
      </c>
      <c r="P230" s="8"/>
      <c r="Q230" s="8">
        <f>511437+41151</f>
        <v>552588</v>
      </c>
      <c r="R230" s="8"/>
      <c r="S230" s="7">
        <f t="shared" si="15"/>
        <v>377043</v>
      </c>
      <c r="T230" s="8"/>
      <c r="U230" s="8">
        <v>12666622</v>
      </c>
      <c r="V230" s="7"/>
      <c r="W230" s="8">
        <f>14285+1380813</f>
        <v>1395098</v>
      </c>
    </row>
    <row r="231" spans="1:24" ht="12.75" customHeight="1" x14ac:dyDescent="0.2">
      <c r="A231" s="7" t="s">
        <v>244</v>
      </c>
      <c r="C231" s="7" t="s">
        <v>207</v>
      </c>
      <c r="D231" s="6"/>
      <c r="E231" s="8">
        <v>5250226</v>
      </c>
      <c r="F231" s="8"/>
      <c r="G231" s="8">
        <v>0</v>
      </c>
      <c r="H231" s="8"/>
      <c r="I231" s="8">
        <v>0</v>
      </c>
      <c r="J231" s="8"/>
      <c r="K231" s="8">
        <v>1842891</v>
      </c>
      <c r="L231" s="8"/>
      <c r="M231" s="8">
        <v>2093184</v>
      </c>
      <c r="N231" s="8"/>
      <c r="O231" s="8">
        <v>113237</v>
      </c>
      <c r="P231" s="8"/>
      <c r="Q231" s="8">
        <f>63444+15002</f>
        <v>78446</v>
      </c>
      <c r="R231" s="8"/>
      <c r="S231" s="7">
        <f t="shared" si="15"/>
        <v>438783</v>
      </c>
      <c r="T231" s="8"/>
      <c r="U231" s="8">
        <v>9816767</v>
      </c>
      <c r="V231" s="7"/>
      <c r="W231" s="8">
        <v>1040152</v>
      </c>
    </row>
    <row r="232" spans="1:24" ht="12.75" hidden="1" customHeight="1" x14ac:dyDescent="0.2">
      <c r="A232" s="7" t="s">
        <v>245</v>
      </c>
      <c r="C232" s="7" t="s">
        <v>161</v>
      </c>
      <c r="D232" s="6"/>
      <c r="E232" s="8">
        <v>11381000</v>
      </c>
      <c r="F232" s="8"/>
      <c r="G232" s="8">
        <v>158523000</v>
      </c>
      <c r="H232" s="8"/>
      <c r="I232" s="8">
        <v>0</v>
      </c>
      <c r="J232" s="8"/>
      <c r="K232" s="8">
        <v>27249000</v>
      </c>
      <c r="L232" s="8"/>
      <c r="M232" s="8">
        <v>37589000</v>
      </c>
      <c r="N232" s="8"/>
      <c r="O232" s="8">
        <v>23925000</v>
      </c>
      <c r="P232" s="8"/>
      <c r="Q232" s="8">
        <f>2283000+7952000</f>
        <v>10235000</v>
      </c>
      <c r="R232" s="8"/>
      <c r="S232" s="7">
        <f t="shared" si="15"/>
        <v>54928000</v>
      </c>
      <c r="T232" s="8"/>
      <c r="U232" s="8">
        <v>323830000</v>
      </c>
      <c r="V232" s="7"/>
      <c r="W232" s="8">
        <f>73235000+3001000+38705000+1498000+25000</f>
        <v>116464000</v>
      </c>
      <c r="X232" s="10"/>
    </row>
    <row r="233" spans="1:24" ht="12.75" customHeight="1" x14ac:dyDescent="0.2">
      <c r="A233" s="7" t="s">
        <v>246</v>
      </c>
      <c r="C233" s="7" t="s">
        <v>247</v>
      </c>
      <c r="D233" s="6"/>
      <c r="E233" s="8">
        <v>151405</v>
      </c>
      <c r="F233" s="8"/>
      <c r="G233" s="8">
        <v>2526998</v>
      </c>
      <c r="H233" s="8"/>
      <c r="I233" s="8">
        <v>51149</v>
      </c>
      <c r="J233" s="8"/>
      <c r="K233" s="8">
        <v>66864</v>
      </c>
      <c r="L233" s="8"/>
      <c r="M233" s="8">
        <v>735333</v>
      </c>
      <c r="N233" s="8"/>
      <c r="O233" s="8">
        <v>0</v>
      </c>
      <c r="P233" s="8"/>
      <c r="Q233" s="8">
        <f>36492+59170</f>
        <v>95662</v>
      </c>
      <c r="R233" s="8"/>
      <c r="S233" s="7">
        <f t="shared" si="15"/>
        <v>22904</v>
      </c>
      <c r="T233" s="8"/>
      <c r="U233" s="8">
        <v>3650315</v>
      </c>
      <c r="V233" s="7"/>
      <c r="W233" s="8">
        <v>577600</v>
      </c>
    </row>
    <row r="234" spans="1:24" ht="12.75" customHeight="1" x14ac:dyDescent="0.2">
      <c r="A234" s="7" t="s">
        <v>248</v>
      </c>
      <c r="C234" s="7" t="s">
        <v>101</v>
      </c>
      <c r="D234" s="6"/>
      <c r="E234" s="8">
        <v>479927</v>
      </c>
      <c r="F234" s="8"/>
      <c r="G234" s="8">
        <v>1499191</v>
      </c>
      <c r="H234" s="8"/>
      <c r="I234" s="8">
        <v>134124</v>
      </c>
      <c r="J234" s="8"/>
      <c r="K234" s="8">
        <v>369781</v>
      </c>
      <c r="L234" s="8"/>
      <c r="M234" s="8">
        <v>1290785</v>
      </c>
      <c r="N234" s="8"/>
      <c r="O234" s="8">
        <v>82755</v>
      </c>
      <c r="P234" s="8"/>
      <c r="Q234" s="8">
        <f>110963+158752</f>
        <v>269715</v>
      </c>
      <c r="R234" s="8"/>
      <c r="S234" s="7">
        <f t="shared" si="15"/>
        <v>223628</v>
      </c>
      <c r="T234" s="8"/>
      <c r="U234" s="8">
        <v>4349906</v>
      </c>
      <c r="V234" s="7"/>
      <c r="W234" s="8">
        <v>357000</v>
      </c>
    </row>
    <row r="235" spans="1:24" ht="12.75" customHeight="1" x14ac:dyDescent="0.2">
      <c r="A235" s="7" t="s">
        <v>249</v>
      </c>
      <c r="C235" s="7" t="s">
        <v>64</v>
      </c>
      <c r="D235" s="6"/>
      <c r="E235" s="8">
        <v>9221597</v>
      </c>
      <c r="F235" s="8"/>
      <c r="G235" s="8">
        <v>0</v>
      </c>
      <c r="H235" s="8"/>
      <c r="I235" s="8">
        <v>314945</v>
      </c>
      <c r="J235" s="8"/>
      <c r="K235" s="8">
        <v>1448384</v>
      </c>
      <c r="L235" s="8"/>
      <c r="M235" s="8">
        <v>4044863</v>
      </c>
      <c r="N235" s="8"/>
      <c r="O235" s="8">
        <v>75378</v>
      </c>
      <c r="P235" s="8"/>
      <c r="Q235" s="8">
        <v>992612</v>
      </c>
      <c r="R235" s="8"/>
      <c r="S235" s="7">
        <f t="shared" si="15"/>
        <v>434181</v>
      </c>
      <c r="T235" s="8"/>
      <c r="U235" s="8">
        <v>16531960</v>
      </c>
      <c r="V235" s="7"/>
      <c r="W235" s="8">
        <f>232257+1831724+744800</f>
        <v>2808781</v>
      </c>
    </row>
    <row r="236" spans="1:24" ht="12.75" customHeight="1" x14ac:dyDescent="0.2">
      <c r="A236" s="7" t="s">
        <v>250</v>
      </c>
      <c r="C236" s="7" t="s">
        <v>207</v>
      </c>
      <c r="D236" s="6"/>
      <c r="E236" s="8">
        <v>17807971</v>
      </c>
      <c r="F236" s="8"/>
      <c r="G236" s="8">
        <v>0</v>
      </c>
      <c r="H236" s="8"/>
      <c r="I236" s="8">
        <v>224299</v>
      </c>
      <c r="J236" s="8"/>
      <c r="K236" s="8">
        <v>3769716</v>
      </c>
      <c r="L236" s="8"/>
      <c r="M236" s="8">
        <v>2511480</v>
      </c>
      <c r="N236" s="8"/>
      <c r="O236" s="8">
        <v>41495</v>
      </c>
      <c r="P236" s="8"/>
      <c r="Q236" s="8">
        <v>89644</v>
      </c>
      <c r="R236" s="8"/>
      <c r="S236" s="7">
        <f t="shared" si="15"/>
        <v>1129318</v>
      </c>
      <c r="T236" s="8"/>
      <c r="U236" s="8">
        <v>25573923</v>
      </c>
      <c r="V236" s="7"/>
      <c r="W236" s="8">
        <f>64803+5031625+71287+2626819</f>
        <v>7794534</v>
      </c>
    </row>
    <row r="237" spans="1:24" s="57" customFormat="1" ht="12.75" hidden="1" customHeight="1" x14ac:dyDescent="0.2">
      <c r="A237" s="7" t="s">
        <v>251</v>
      </c>
      <c r="B237" s="56"/>
      <c r="C237" s="7" t="s">
        <v>11</v>
      </c>
      <c r="D237" s="6"/>
      <c r="E237" s="8">
        <v>1316496</v>
      </c>
      <c r="F237" s="8"/>
      <c r="G237" s="8">
        <v>20254599</v>
      </c>
      <c r="H237" s="8"/>
      <c r="I237" s="8">
        <v>119445</v>
      </c>
      <c r="J237" s="8"/>
      <c r="K237" s="8">
        <v>1557010</v>
      </c>
      <c r="L237" s="8"/>
      <c r="M237" s="8">
        <v>2479117</v>
      </c>
      <c r="N237" s="8"/>
      <c r="O237" s="8">
        <v>0</v>
      </c>
      <c r="P237" s="8"/>
      <c r="Q237" s="8">
        <f>483159+108670</f>
        <v>591829</v>
      </c>
      <c r="R237" s="8"/>
      <c r="S237" s="7">
        <f t="shared" si="15"/>
        <v>780873</v>
      </c>
      <c r="T237" s="8"/>
      <c r="U237" s="8">
        <v>27099369</v>
      </c>
      <c r="V237" s="7"/>
      <c r="W237" s="8">
        <f>1436234+10660447+477662</f>
        <v>12574343</v>
      </c>
    </row>
    <row r="238" spans="1:24" ht="12.75" customHeight="1" x14ac:dyDescent="0.2">
      <c r="A238" s="7" t="s">
        <v>252</v>
      </c>
      <c r="B238" s="58"/>
      <c r="C238" s="7" t="s">
        <v>87</v>
      </c>
      <c r="D238" s="6"/>
      <c r="E238" s="8">
        <v>547273</v>
      </c>
      <c r="F238" s="8"/>
      <c r="G238" s="8">
        <v>1243616</v>
      </c>
      <c r="H238" s="8"/>
      <c r="I238" s="8">
        <v>0</v>
      </c>
      <c r="J238" s="8"/>
      <c r="K238" s="8">
        <v>40524</v>
      </c>
      <c r="L238" s="8"/>
      <c r="M238" s="8">
        <v>800185</v>
      </c>
      <c r="N238" s="8"/>
      <c r="O238" s="8">
        <v>138393</v>
      </c>
      <c r="P238" s="8"/>
      <c r="Q238" s="8">
        <f>64598+20748</f>
        <v>85346</v>
      </c>
      <c r="R238" s="8"/>
      <c r="S238" s="7">
        <f t="shared" si="15"/>
        <v>56258</v>
      </c>
      <c r="T238" s="8"/>
      <c r="U238" s="8">
        <v>2911595</v>
      </c>
      <c r="V238" s="7"/>
      <c r="W238" s="8">
        <f>8607+38382+30000</f>
        <v>76989</v>
      </c>
    </row>
    <row r="239" spans="1:24" ht="12.75" customHeight="1" x14ac:dyDescent="0.2">
      <c r="A239" s="7" t="s">
        <v>157</v>
      </c>
      <c r="C239" s="7" t="s">
        <v>64</v>
      </c>
      <c r="D239" s="6"/>
      <c r="E239" s="8">
        <v>1461920</v>
      </c>
      <c r="F239" s="8"/>
      <c r="G239" s="8">
        <v>473308</v>
      </c>
      <c r="H239" s="8"/>
      <c r="I239" s="8">
        <v>0</v>
      </c>
      <c r="J239" s="8"/>
      <c r="K239" s="8">
        <v>803320</v>
      </c>
      <c r="L239" s="8"/>
      <c r="M239" s="8">
        <v>833123</v>
      </c>
      <c r="N239" s="8"/>
      <c r="O239" s="8">
        <v>385506</v>
      </c>
      <c r="P239" s="8"/>
      <c r="Q239" s="8">
        <v>26063</v>
      </c>
      <c r="R239" s="8"/>
      <c r="S239" s="7">
        <f t="shared" si="15"/>
        <v>82318</v>
      </c>
      <c r="T239" s="8"/>
      <c r="U239" s="8">
        <v>4065558</v>
      </c>
      <c r="V239" s="7"/>
      <c r="W239" s="8">
        <f>5942+91800</f>
        <v>97742</v>
      </c>
    </row>
    <row r="240" spans="1:24" ht="12.75" customHeight="1" x14ac:dyDescent="0.2">
      <c r="A240" s="7" t="s">
        <v>253</v>
      </c>
      <c r="C240" s="7" t="s">
        <v>25</v>
      </c>
      <c r="D240" s="6"/>
      <c r="E240" s="8">
        <v>2757014</v>
      </c>
      <c r="F240" s="8"/>
      <c r="G240" s="8">
        <v>8532988</v>
      </c>
      <c r="H240" s="8"/>
      <c r="I240" s="8">
        <f>1505490+145968</f>
        <v>1651458</v>
      </c>
      <c r="J240" s="8"/>
      <c r="K240" s="8">
        <v>526393</v>
      </c>
      <c r="L240" s="8"/>
      <c r="M240" s="8">
        <v>2357006</v>
      </c>
      <c r="N240" s="8"/>
      <c r="O240" s="8">
        <v>2976658</v>
      </c>
      <c r="P240" s="8"/>
      <c r="Q240" s="8">
        <v>613778</v>
      </c>
      <c r="R240" s="8"/>
      <c r="S240" s="7">
        <f t="shared" si="15"/>
        <v>68251</v>
      </c>
      <c r="T240" s="8"/>
      <c r="U240" s="8">
        <v>19483546</v>
      </c>
      <c r="V240" s="7"/>
      <c r="W240" s="8">
        <f>61662+2880000+2309281</f>
        <v>5250943</v>
      </c>
    </row>
    <row r="241" spans="1:23" s="57" customFormat="1" ht="12.75" customHeight="1" x14ac:dyDescent="0.2">
      <c r="A241" s="7" t="s">
        <v>254</v>
      </c>
      <c r="B241" s="56"/>
      <c r="C241" s="7" t="s">
        <v>41</v>
      </c>
      <c r="D241" s="6"/>
      <c r="E241" s="8">
        <v>8919203</v>
      </c>
      <c r="F241" s="8"/>
      <c r="G241" s="8">
        <v>15317626</v>
      </c>
      <c r="H241" s="8"/>
      <c r="I241" s="8">
        <f>8511996+1141413</f>
        <v>9653409</v>
      </c>
      <c r="J241" s="8"/>
      <c r="K241" s="8">
        <v>2013877</v>
      </c>
      <c r="L241" s="8"/>
      <c r="M241" s="8">
        <v>5450373</v>
      </c>
      <c r="N241" s="8"/>
      <c r="O241" s="8">
        <v>0</v>
      </c>
      <c r="P241" s="8"/>
      <c r="Q241" s="8">
        <f>876732+362038</f>
        <v>1238770</v>
      </c>
      <c r="R241" s="8"/>
      <c r="S241" s="7">
        <f t="shared" si="15"/>
        <v>2363142</v>
      </c>
      <c r="T241" s="8"/>
      <c r="U241" s="16">
        <v>44956400</v>
      </c>
      <c r="V241" s="7"/>
      <c r="W241" s="7">
        <f>7285160+10000000+247300+332654</f>
        <v>17865114</v>
      </c>
    </row>
    <row r="242" spans="1:23" ht="12.75" customHeight="1" x14ac:dyDescent="0.2">
      <c r="A242" s="7" t="s">
        <v>467</v>
      </c>
      <c r="C242" s="7"/>
      <c r="D242" s="6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7"/>
      <c r="T242" s="8"/>
      <c r="U242" s="8"/>
      <c r="V242" s="7"/>
      <c r="W242" s="11" t="s">
        <v>478</v>
      </c>
    </row>
    <row r="243" spans="1:23" ht="12.75" customHeight="1" x14ac:dyDescent="0.2">
      <c r="A243" s="7" t="s">
        <v>255</v>
      </c>
      <c r="C243" s="7" t="s">
        <v>256</v>
      </c>
      <c r="D243" s="12"/>
      <c r="E243" s="40">
        <v>2593798</v>
      </c>
      <c r="F243" s="40"/>
      <c r="G243" s="40">
        <v>275872</v>
      </c>
      <c r="H243" s="40"/>
      <c r="I243" s="40">
        <v>0</v>
      </c>
      <c r="J243" s="40"/>
      <c r="K243" s="40">
        <v>84681</v>
      </c>
      <c r="L243" s="40"/>
      <c r="M243" s="40">
        <v>1520405</v>
      </c>
      <c r="N243" s="40"/>
      <c r="O243" s="40">
        <v>0</v>
      </c>
      <c r="P243" s="40"/>
      <c r="Q243" s="40">
        <f>67481+912770</f>
        <v>980251</v>
      </c>
      <c r="R243" s="40"/>
      <c r="S243" s="9">
        <f t="shared" ref="S243:S250" si="16">+U243-SUM(E243:Q243)</f>
        <v>70915</v>
      </c>
      <c r="T243" s="40"/>
      <c r="U243" s="40">
        <v>5525922</v>
      </c>
      <c r="V243" s="9"/>
      <c r="W243" s="40">
        <f>19031+64829+938431</f>
        <v>1022291</v>
      </c>
    </row>
    <row r="244" spans="1:23" ht="12.75" customHeight="1" x14ac:dyDescent="0.2">
      <c r="A244" s="7" t="s">
        <v>257</v>
      </c>
      <c r="C244" s="7" t="s">
        <v>258</v>
      </c>
      <c r="D244" s="6"/>
      <c r="E244" s="8">
        <v>571621</v>
      </c>
      <c r="F244" s="8"/>
      <c r="G244" s="8">
        <v>5784508</v>
      </c>
      <c r="H244" s="8"/>
      <c r="I244" s="8">
        <v>0</v>
      </c>
      <c r="J244" s="8"/>
      <c r="K244" s="8">
        <v>1202402</v>
      </c>
      <c r="L244" s="8"/>
      <c r="M244" s="8">
        <v>3801928</v>
      </c>
      <c r="N244" s="8"/>
      <c r="O244" s="8">
        <v>0</v>
      </c>
      <c r="P244" s="8"/>
      <c r="Q244" s="8">
        <v>946714</v>
      </c>
      <c r="R244" s="8"/>
      <c r="S244" s="7">
        <f t="shared" si="16"/>
        <v>485027</v>
      </c>
      <c r="T244" s="8"/>
      <c r="U244" s="8">
        <v>12792200</v>
      </c>
      <c r="V244" s="7"/>
      <c r="W244" s="8">
        <f>258623+235000</f>
        <v>493623</v>
      </c>
    </row>
    <row r="245" spans="1:23" ht="12.75" customHeight="1" x14ac:dyDescent="0.2">
      <c r="A245" s="7" t="s">
        <v>259</v>
      </c>
      <c r="C245" s="7" t="s">
        <v>64</v>
      </c>
      <c r="D245" s="6"/>
      <c r="E245" s="8">
        <v>1577735</v>
      </c>
      <c r="F245" s="8"/>
      <c r="G245" s="8">
        <v>12554400</v>
      </c>
      <c r="H245" s="8"/>
      <c r="I245" s="8">
        <v>0</v>
      </c>
      <c r="J245" s="8"/>
      <c r="K245" s="8">
        <v>3485052</v>
      </c>
      <c r="L245" s="8"/>
      <c r="M245" s="8">
        <v>3544825</v>
      </c>
      <c r="N245" s="8"/>
      <c r="O245" s="8">
        <v>10231</v>
      </c>
      <c r="P245" s="8"/>
      <c r="Q245" s="8">
        <f>136018+1503859</f>
        <v>1639877</v>
      </c>
      <c r="R245" s="8"/>
      <c r="S245" s="7">
        <f t="shared" si="16"/>
        <v>312692</v>
      </c>
      <c r="T245" s="8"/>
      <c r="U245" s="8">
        <v>23124812</v>
      </c>
      <c r="V245" s="7"/>
      <c r="W245" s="8">
        <f>140427+3855648</f>
        <v>3996075</v>
      </c>
    </row>
    <row r="246" spans="1:23" ht="12.75" customHeight="1" x14ac:dyDescent="0.2">
      <c r="A246" s="7" t="s">
        <v>260</v>
      </c>
      <c r="C246" s="7" t="s">
        <v>130</v>
      </c>
      <c r="D246" s="6"/>
      <c r="E246" s="8">
        <v>2677157</v>
      </c>
      <c r="F246" s="8"/>
      <c r="G246" s="8">
        <v>1455330</v>
      </c>
      <c r="H246" s="8"/>
      <c r="I246" s="8">
        <v>2452</v>
      </c>
      <c r="J246" s="8"/>
      <c r="K246" s="8">
        <v>1560563</v>
      </c>
      <c r="L246" s="8"/>
      <c r="M246" s="8">
        <v>2040182</v>
      </c>
      <c r="N246" s="8"/>
      <c r="O246" s="8">
        <v>36302</v>
      </c>
      <c r="P246" s="8"/>
      <c r="Q246" s="8">
        <f>311955+450798</f>
        <v>762753</v>
      </c>
      <c r="R246" s="8"/>
      <c r="S246" s="7">
        <f t="shared" si="16"/>
        <v>767120</v>
      </c>
      <c r="T246" s="8"/>
      <c r="U246" s="8">
        <v>9301859</v>
      </c>
      <c r="V246" s="7"/>
      <c r="W246" s="8">
        <f>695000+530000+2323000+4650+17037+457485</f>
        <v>4027172</v>
      </c>
    </row>
    <row r="247" spans="1:23" ht="12.75" customHeight="1" x14ac:dyDescent="0.2">
      <c r="A247" s="7" t="s">
        <v>497</v>
      </c>
      <c r="B247" s="10"/>
      <c r="C247" s="7" t="s">
        <v>43</v>
      </c>
      <c r="D247" s="6"/>
      <c r="E247" s="8">
        <v>709502</v>
      </c>
      <c r="F247" s="8"/>
      <c r="G247" s="8">
        <v>6153772</v>
      </c>
      <c r="H247" s="8"/>
      <c r="I247" s="8">
        <v>0</v>
      </c>
      <c r="J247" s="8"/>
      <c r="K247" s="8">
        <v>469355</v>
      </c>
      <c r="L247" s="8"/>
      <c r="M247" s="8">
        <v>2354417</v>
      </c>
      <c r="N247" s="8"/>
      <c r="O247" s="8">
        <v>0</v>
      </c>
      <c r="P247" s="8"/>
      <c r="Q247" s="8">
        <f>3300+25563</f>
        <v>28863</v>
      </c>
      <c r="R247" s="8"/>
      <c r="S247" s="7">
        <f t="shared" si="16"/>
        <v>544904</v>
      </c>
      <c r="T247" s="8"/>
      <c r="U247" s="8">
        <v>10260813</v>
      </c>
      <c r="V247" s="7"/>
      <c r="W247" s="8">
        <v>2624638</v>
      </c>
    </row>
    <row r="248" spans="1:23" ht="12.75" customHeight="1" x14ac:dyDescent="0.2">
      <c r="A248" s="7" t="s">
        <v>261</v>
      </c>
      <c r="C248" s="7" t="s">
        <v>51</v>
      </c>
      <c r="D248" s="6"/>
      <c r="E248" s="8">
        <v>3034146</v>
      </c>
      <c r="F248" s="8"/>
      <c r="G248" s="8">
        <v>7611247</v>
      </c>
      <c r="H248" s="8"/>
      <c r="I248" s="8">
        <v>115400</v>
      </c>
      <c r="J248" s="8"/>
      <c r="K248" s="8">
        <v>1367216</v>
      </c>
      <c r="L248" s="8"/>
      <c r="M248" s="8">
        <v>4576149</v>
      </c>
      <c r="N248" s="8"/>
      <c r="O248" s="8">
        <v>128722</v>
      </c>
      <c r="P248" s="8"/>
      <c r="Q248" s="8">
        <f>478151+692486</f>
        <v>1170637</v>
      </c>
      <c r="R248" s="8"/>
      <c r="S248" s="7">
        <f t="shared" si="16"/>
        <v>206771</v>
      </c>
      <c r="T248" s="8"/>
      <c r="U248" s="8">
        <v>18210288</v>
      </c>
      <c r="V248" s="7"/>
      <c r="W248" s="8">
        <f>2601944+35217</f>
        <v>2637161</v>
      </c>
    </row>
    <row r="249" spans="1:23" ht="12.75" customHeight="1" x14ac:dyDescent="0.2">
      <c r="A249" s="7" t="s">
        <v>262</v>
      </c>
      <c r="C249" s="7" t="s">
        <v>237</v>
      </c>
      <c r="D249" s="6"/>
      <c r="E249" s="8">
        <v>459863</v>
      </c>
      <c r="F249" s="8"/>
      <c r="G249" s="8">
        <v>2262379</v>
      </c>
      <c r="H249" s="8"/>
      <c r="I249" s="8">
        <v>705308</v>
      </c>
      <c r="J249" s="8"/>
      <c r="K249" s="8">
        <v>774341</v>
      </c>
      <c r="L249" s="8"/>
      <c r="M249" s="8">
        <v>1272298</v>
      </c>
      <c r="N249" s="8"/>
      <c r="O249" s="8">
        <v>57956</v>
      </c>
      <c r="P249" s="8"/>
      <c r="Q249" s="8">
        <f>87538+13412</f>
        <v>100950</v>
      </c>
      <c r="R249" s="8"/>
      <c r="S249" s="7">
        <f t="shared" si="16"/>
        <v>153504</v>
      </c>
      <c r="T249" s="8"/>
      <c r="U249" s="8">
        <v>5786599</v>
      </c>
      <c r="V249" s="7"/>
      <c r="W249" s="8">
        <v>1044156</v>
      </c>
    </row>
    <row r="250" spans="1:23" ht="12.75" customHeight="1" x14ac:dyDescent="0.2">
      <c r="A250" s="7" t="s">
        <v>109</v>
      </c>
      <c r="C250" s="7" t="s">
        <v>78</v>
      </c>
      <c r="D250" s="19"/>
      <c r="E250" s="8">
        <v>1356637</v>
      </c>
      <c r="F250" s="8"/>
      <c r="G250" s="8">
        <v>17080705</v>
      </c>
      <c r="H250" s="8"/>
      <c r="I250" s="8">
        <v>0</v>
      </c>
      <c r="J250" s="8"/>
      <c r="K250" s="8">
        <v>2068967</v>
      </c>
      <c r="L250" s="8"/>
      <c r="M250" s="8">
        <v>10388955</v>
      </c>
      <c r="N250" s="8"/>
      <c r="O250" s="8">
        <v>35896</v>
      </c>
      <c r="P250" s="8"/>
      <c r="Q250" s="8">
        <f>2281768+1751023</f>
        <v>4032791</v>
      </c>
      <c r="R250" s="8"/>
      <c r="S250" s="7">
        <f t="shared" si="16"/>
        <v>911843</v>
      </c>
      <c r="T250" s="8"/>
      <c r="U250" s="8">
        <v>35875794</v>
      </c>
      <c r="V250" s="7"/>
      <c r="W250" s="8">
        <f>1960000+13529+960193+62088</f>
        <v>2995810</v>
      </c>
    </row>
    <row r="251" spans="1:23" ht="12.75" hidden="1" customHeight="1" x14ac:dyDescent="0.2">
      <c r="A251" s="7" t="s">
        <v>263</v>
      </c>
      <c r="C251" s="7" t="s">
        <v>25</v>
      </c>
      <c r="D251" s="6"/>
      <c r="E251" s="8">
        <v>1560346</v>
      </c>
      <c r="F251" s="8"/>
      <c r="G251" s="8">
        <v>13326443</v>
      </c>
      <c r="H251" s="8"/>
      <c r="I251" s="8">
        <v>263982</v>
      </c>
      <c r="J251" s="8"/>
      <c r="K251" s="8">
        <v>433371</v>
      </c>
      <c r="L251" s="8"/>
      <c r="M251" s="8">
        <v>2252454</v>
      </c>
      <c r="N251" s="8"/>
      <c r="O251" s="8">
        <v>222362</v>
      </c>
      <c r="P251" s="8"/>
      <c r="Q251" s="8">
        <f>385966+597017</f>
        <v>982983</v>
      </c>
      <c r="R251" s="8"/>
      <c r="S251" s="7">
        <f t="shared" ref="S251:S272" si="17">+U251-SUM(E251:Q251)</f>
        <v>217355</v>
      </c>
      <c r="T251" s="8"/>
      <c r="U251" s="8">
        <v>19259296</v>
      </c>
      <c r="V251" s="7"/>
      <c r="W251" s="8">
        <f>705826+11200000+8680060+94976+1617682</f>
        <v>22298544</v>
      </c>
    </row>
    <row r="252" spans="1:23" s="57" customFormat="1" ht="12.75" customHeight="1" x14ac:dyDescent="0.2">
      <c r="A252" s="7" t="s">
        <v>498</v>
      </c>
      <c r="B252" s="56"/>
      <c r="C252" s="10" t="s">
        <v>448</v>
      </c>
      <c r="D252" s="6"/>
      <c r="E252" s="8">
        <v>1342450</v>
      </c>
      <c r="F252" s="8"/>
      <c r="G252" s="8">
        <v>5132583</v>
      </c>
      <c r="H252" s="8"/>
      <c r="I252" s="8">
        <v>838109</v>
      </c>
      <c r="J252" s="8"/>
      <c r="K252" s="8">
        <v>1044898</v>
      </c>
      <c r="L252" s="8"/>
      <c r="M252" s="8">
        <v>2648709</v>
      </c>
      <c r="N252" s="8"/>
      <c r="O252" s="8">
        <v>0</v>
      </c>
      <c r="P252" s="8"/>
      <c r="Q252" s="8">
        <v>807519</v>
      </c>
      <c r="R252" s="8"/>
      <c r="S252" s="7">
        <f t="shared" si="17"/>
        <v>391376</v>
      </c>
      <c r="T252" s="8"/>
      <c r="U252" s="8">
        <v>12205644</v>
      </c>
      <c r="V252" s="7"/>
      <c r="W252" s="8">
        <v>20000</v>
      </c>
    </row>
    <row r="253" spans="1:23" s="57" customFormat="1" ht="12.75" customHeight="1" x14ac:dyDescent="0.2">
      <c r="A253" s="7" t="s">
        <v>499</v>
      </c>
      <c r="B253" s="10"/>
      <c r="C253" s="7" t="s">
        <v>161</v>
      </c>
      <c r="D253" s="6"/>
      <c r="E253" s="8">
        <v>389593</v>
      </c>
      <c r="F253" s="8"/>
      <c r="G253" s="8">
        <v>2496868</v>
      </c>
      <c r="H253" s="8"/>
      <c r="I253" s="8">
        <f>28542+65912</f>
        <v>94454</v>
      </c>
      <c r="J253" s="8"/>
      <c r="K253" s="8">
        <v>314494</v>
      </c>
      <c r="L253" s="8"/>
      <c r="M253" s="8">
        <v>881900</v>
      </c>
      <c r="N253" s="8"/>
      <c r="O253" s="8">
        <v>8812</v>
      </c>
      <c r="P253" s="8"/>
      <c r="Q253" s="8">
        <f>123660+14037</f>
        <v>137697</v>
      </c>
      <c r="R253" s="8"/>
      <c r="S253" s="7">
        <f t="shared" ref="S253" si="18">+U253-SUM(E253:Q253)</f>
        <v>667257</v>
      </c>
      <c r="T253" s="8"/>
      <c r="U253" s="8">
        <v>4991075</v>
      </c>
      <c r="V253" s="7"/>
      <c r="W253" s="8">
        <f>6402+2545000+1044739+574908</f>
        <v>4171049</v>
      </c>
    </row>
    <row r="254" spans="1:23" ht="12.75" customHeight="1" x14ac:dyDescent="0.2">
      <c r="A254" s="7" t="s">
        <v>264</v>
      </c>
      <c r="C254" s="7" t="s">
        <v>265</v>
      </c>
      <c r="D254" s="6"/>
      <c r="E254" s="8">
        <v>3625881</v>
      </c>
      <c r="F254" s="8"/>
      <c r="G254" s="8">
        <v>0</v>
      </c>
      <c r="H254" s="8"/>
      <c r="I254" s="8">
        <v>0</v>
      </c>
      <c r="J254" s="8"/>
      <c r="K254" s="8">
        <v>535356</v>
      </c>
      <c r="L254" s="8"/>
      <c r="M254" s="8">
        <v>1107206</v>
      </c>
      <c r="N254" s="8"/>
      <c r="O254" s="8">
        <v>0</v>
      </c>
      <c r="P254" s="8"/>
      <c r="Q254" s="8">
        <f>7479+41573</f>
        <v>49052</v>
      </c>
      <c r="R254" s="8"/>
      <c r="S254" s="7">
        <f t="shared" si="17"/>
        <v>157223</v>
      </c>
      <c r="T254" s="8"/>
      <c r="U254" s="8">
        <v>5474718</v>
      </c>
      <c r="V254" s="7"/>
      <c r="W254" s="8">
        <f>58836+225625</f>
        <v>284461</v>
      </c>
    </row>
    <row r="255" spans="1:23" s="58" customFormat="1" ht="12.75" hidden="1" customHeight="1" x14ac:dyDescent="0.2">
      <c r="A255" s="7" t="s">
        <v>266</v>
      </c>
      <c r="B255" s="56"/>
      <c r="C255" s="7" t="s">
        <v>267</v>
      </c>
      <c r="D255" s="6"/>
      <c r="E255" s="8">
        <v>1868206</v>
      </c>
      <c r="F255" s="8"/>
      <c r="G255" s="8">
        <v>0</v>
      </c>
      <c r="H255" s="8"/>
      <c r="I255" s="8">
        <v>0</v>
      </c>
      <c r="J255" s="8"/>
      <c r="K255" s="8">
        <v>30610</v>
      </c>
      <c r="L255" s="8"/>
      <c r="M255" s="8">
        <v>704382</v>
      </c>
      <c r="N255" s="8"/>
      <c r="O255" s="8">
        <v>0</v>
      </c>
      <c r="P255" s="8"/>
      <c r="Q255" s="8">
        <f>10941+104712</f>
        <v>115653</v>
      </c>
      <c r="R255" s="8"/>
      <c r="S255" s="7">
        <f t="shared" si="17"/>
        <v>114149</v>
      </c>
      <c r="T255" s="8"/>
      <c r="U255" s="8">
        <v>2833000</v>
      </c>
      <c r="V255" s="7"/>
      <c r="W255" s="8">
        <f>740600+1725+1009556</f>
        <v>1751881</v>
      </c>
    </row>
    <row r="256" spans="1:23" ht="12.75" customHeight="1" x14ac:dyDescent="0.2">
      <c r="A256" s="7" t="s">
        <v>268</v>
      </c>
      <c r="C256" s="7" t="s">
        <v>134</v>
      </c>
      <c r="D256" s="6"/>
      <c r="E256" s="8">
        <v>391460</v>
      </c>
      <c r="F256" s="8"/>
      <c r="G256" s="8">
        <v>1093600</v>
      </c>
      <c r="H256" s="8"/>
      <c r="I256" s="8">
        <v>73188</v>
      </c>
      <c r="J256" s="8"/>
      <c r="K256" s="8">
        <v>52235</v>
      </c>
      <c r="L256" s="8"/>
      <c r="M256" s="8">
        <v>1657484</v>
      </c>
      <c r="N256" s="8"/>
      <c r="O256" s="8">
        <v>0</v>
      </c>
      <c r="P256" s="8"/>
      <c r="Q256" s="8">
        <f>33219+4000</f>
        <v>37219</v>
      </c>
      <c r="R256" s="8"/>
      <c r="S256" s="7">
        <f t="shared" si="17"/>
        <v>235638</v>
      </c>
      <c r="T256" s="8"/>
      <c r="U256" s="8">
        <v>3540824</v>
      </c>
      <c r="V256" s="7"/>
      <c r="W256" s="8">
        <v>179356</v>
      </c>
    </row>
    <row r="257" spans="1:23" s="58" customFormat="1" ht="12.75" customHeight="1" x14ac:dyDescent="0.2">
      <c r="A257" s="7" t="s">
        <v>269</v>
      </c>
      <c r="B257" s="56"/>
      <c r="C257" s="7" t="s">
        <v>64</v>
      </c>
      <c r="D257" s="6"/>
      <c r="E257" s="8">
        <v>0</v>
      </c>
      <c r="F257" s="8"/>
      <c r="G257" s="8">
        <v>6353979</v>
      </c>
      <c r="H257" s="8"/>
      <c r="I257" s="8">
        <v>0</v>
      </c>
      <c r="J257" s="8"/>
      <c r="K257" s="8">
        <v>350162</v>
      </c>
      <c r="L257" s="8"/>
      <c r="M257" s="8">
        <v>1396716</v>
      </c>
      <c r="N257" s="8"/>
      <c r="O257" s="8">
        <v>329067</v>
      </c>
      <c r="P257" s="8"/>
      <c r="Q257" s="8">
        <f>296704+58426</f>
        <v>355130</v>
      </c>
      <c r="R257" s="8"/>
      <c r="S257" s="7">
        <f t="shared" si="17"/>
        <v>313495</v>
      </c>
      <c r="T257" s="8"/>
      <c r="U257" s="8">
        <v>9098549</v>
      </c>
      <c r="V257" s="7"/>
      <c r="W257" s="8">
        <f>488337+1859541</f>
        <v>2347878</v>
      </c>
    </row>
    <row r="258" spans="1:23" ht="12.75" customHeight="1" x14ac:dyDescent="0.2">
      <c r="A258" s="7" t="s">
        <v>270</v>
      </c>
      <c r="C258" s="7" t="s">
        <v>41</v>
      </c>
      <c r="D258" s="6"/>
      <c r="E258" s="8">
        <v>12306405</v>
      </c>
      <c r="F258" s="8"/>
      <c r="G258" s="8">
        <v>38890894</v>
      </c>
      <c r="H258" s="8"/>
      <c r="I258" s="8">
        <f>544091+3625460</f>
        <v>4169551</v>
      </c>
      <c r="J258" s="8"/>
      <c r="K258" s="8">
        <v>5145483</v>
      </c>
      <c r="L258" s="8"/>
      <c r="M258" s="8">
        <v>10136614</v>
      </c>
      <c r="N258" s="8"/>
      <c r="O258" s="8">
        <v>0</v>
      </c>
      <c r="P258" s="8"/>
      <c r="Q258" s="8">
        <f>854926+699720</f>
        <v>1554646</v>
      </c>
      <c r="R258" s="8"/>
      <c r="S258" s="7">
        <f t="shared" si="17"/>
        <v>1358822</v>
      </c>
      <c r="T258" s="8"/>
      <c r="U258" s="8">
        <v>73562415</v>
      </c>
      <c r="V258" s="7"/>
      <c r="W258" s="8">
        <f>6225000+783460+505475+24167+13896402</f>
        <v>21434504</v>
      </c>
    </row>
    <row r="259" spans="1:23" ht="12.75" customHeight="1" x14ac:dyDescent="0.2">
      <c r="A259" s="7" t="s">
        <v>271</v>
      </c>
      <c r="C259" s="7" t="s">
        <v>25</v>
      </c>
      <c r="D259" s="6"/>
      <c r="E259" s="8">
        <v>11409771</v>
      </c>
      <c r="F259" s="8"/>
      <c r="G259" s="8">
        <v>21744517</v>
      </c>
      <c r="H259" s="8"/>
      <c r="I259" s="8">
        <f>184553+483446+226807+573198</f>
        <v>1468004</v>
      </c>
      <c r="J259" s="8"/>
      <c r="K259" s="8">
        <v>3350948</v>
      </c>
      <c r="L259" s="8"/>
      <c r="M259" s="8">
        <v>6104036</v>
      </c>
      <c r="N259" s="8"/>
      <c r="O259" s="8">
        <v>290000</v>
      </c>
      <c r="P259" s="8"/>
      <c r="Q259" s="8">
        <f>655053+332873</f>
        <v>987926</v>
      </c>
      <c r="R259" s="8"/>
      <c r="S259" s="7">
        <f t="shared" si="17"/>
        <v>1050503</v>
      </c>
      <c r="T259" s="8"/>
      <c r="U259" s="8">
        <v>46405705</v>
      </c>
      <c r="V259" s="7"/>
      <c r="W259" s="8">
        <f>34191+1742430</f>
        <v>1776621</v>
      </c>
    </row>
    <row r="260" spans="1:23" ht="12.75" customHeight="1" x14ac:dyDescent="0.2">
      <c r="A260" s="7" t="s">
        <v>272</v>
      </c>
      <c r="C260" s="7" t="s">
        <v>41</v>
      </c>
      <c r="D260" s="6"/>
      <c r="E260" s="8">
        <v>436292</v>
      </c>
      <c r="F260" s="8"/>
      <c r="G260" s="8">
        <v>21297923</v>
      </c>
      <c r="H260" s="8"/>
      <c r="I260" s="8">
        <v>525600</v>
      </c>
      <c r="J260" s="8"/>
      <c r="K260" s="8">
        <v>715322</v>
      </c>
      <c r="L260" s="8"/>
      <c r="M260" s="8">
        <v>2877452</v>
      </c>
      <c r="N260" s="8"/>
      <c r="O260" s="8">
        <v>146237</v>
      </c>
      <c r="P260" s="8"/>
      <c r="Q260" s="8">
        <f>629475+268357</f>
        <v>897832</v>
      </c>
      <c r="R260" s="8"/>
      <c r="S260" s="7">
        <f t="shared" si="17"/>
        <v>902073</v>
      </c>
      <c r="T260" s="8"/>
      <c r="U260" s="8">
        <v>27798731</v>
      </c>
      <c r="V260" s="7"/>
      <c r="W260" s="8">
        <f>3717+2831434+167829</f>
        <v>3002980</v>
      </c>
    </row>
    <row r="261" spans="1:23" ht="12.75" customHeight="1" x14ac:dyDescent="0.2">
      <c r="A261" s="7" t="s">
        <v>273</v>
      </c>
      <c r="C261" s="7" t="s">
        <v>90</v>
      </c>
      <c r="D261" s="6"/>
      <c r="E261" s="8">
        <v>2409021</v>
      </c>
      <c r="F261" s="8"/>
      <c r="G261" s="8">
        <v>9690448</v>
      </c>
      <c r="H261" s="8"/>
      <c r="I261" s="8">
        <f>228893+1971081</f>
        <v>2199974</v>
      </c>
      <c r="J261" s="8"/>
      <c r="K261" s="8">
        <v>648292</v>
      </c>
      <c r="L261" s="8"/>
      <c r="M261" s="8">
        <v>1148873</v>
      </c>
      <c r="N261" s="8"/>
      <c r="O261" s="8">
        <v>350949</v>
      </c>
      <c r="P261" s="8"/>
      <c r="Q261" s="8">
        <f>132391+443250</f>
        <v>575641</v>
      </c>
      <c r="R261" s="8"/>
      <c r="S261" s="7">
        <f t="shared" si="17"/>
        <v>1142812</v>
      </c>
      <c r="T261" s="8"/>
      <c r="U261" s="8">
        <v>18166010</v>
      </c>
      <c r="V261" s="7"/>
      <c r="W261" s="8">
        <f>208143+150000+213753</f>
        <v>571896</v>
      </c>
    </row>
    <row r="262" spans="1:23" ht="12.75" customHeight="1" x14ac:dyDescent="0.2">
      <c r="A262" s="7" t="s">
        <v>274</v>
      </c>
      <c r="C262" s="7" t="s">
        <v>36</v>
      </c>
      <c r="D262" s="6"/>
      <c r="E262" s="8">
        <v>307057</v>
      </c>
      <c r="F262" s="8"/>
      <c r="G262" s="8">
        <v>2875021</v>
      </c>
      <c r="H262" s="8"/>
      <c r="I262" s="8">
        <v>68719</v>
      </c>
      <c r="J262" s="8"/>
      <c r="K262" s="8">
        <v>736095</v>
      </c>
      <c r="L262" s="8"/>
      <c r="M262" s="8">
        <v>699446</v>
      </c>
      <c r="N262" s="8"/>
      <c r="O262" s="8">
        <v>0</v>
      </c>
      <c r="P262" s="8"/>
      <c r="Q262" s="8">
        <f>48269+30847</f>
        <v>79116</v>
      </c>
      <c r="R262" s="8"/>
      <c r="S262" s="7">
        <f t="shared" si="17"/>
        <v>161368</v>
      </c>
      <c r="T262" s="8"/>
      <c r="U262" s="8">
        <v>4926822</v>
      </c>
      <c r="V262" s="7"/>
      <c r="W262" s="8">
        <f>5375+268000</f>
        <v>273375</v>
      </c>
    </row>
    <row r="263" spans="1:23" ht="12.75" customHeight="1" x14ac:dyDescent="0.2">
      <c r="A263" s="7" t="s">
        <v>275</v>
      </c>
      <c r="C263" s="7" t="s">
        <v>90</v>
      </c>
      <c r="D263" s="6"/>
      <c r="E263" s="8">
        <v>4483935</v>
      </c>
      <c r="F263" s="8"/>
      <c r="G263" s="8">
        <v>16115830</v>
      </c>
      <c r="H263" s="8"/>
      <c r="I263" s="8">
        <v>0</v>
      </c>
      <c r="J263" s="8"/>
      <c r="K263" s="8">
        <v>1685770</v>
      </c>
      <c r="L263" s="8"/>
      <c r="M263" s="8">
        <v>3911392</v>
      </c>
      <c r="N263" s="8"/>
      <c r="O263" s="8">
        <v>651217</v>
      </c>
      <c r="P263" s="8"/>
      <c r="Q263" s="8">
        <f>2461843+249476</f>
        <v>2711319</v>
      </c>
      <c r="R263" s="8"/>
      <c r="S263" s="7">
        <f t="shared" si="17"/>
        <v>147323</v>
      </c>
      <c r="T263" s="8"/>
      <c r="U263" s="8">
        <v>29706786</v>
      </c>
      <c r="V263" s="7"/>
      <c r="W263" s="8">
        <f>3005923+9510000+354353+60000+36260</f>
        <v>12966536</v>
      </c>
    </row>
    <row r="264" spans="1:23" ht="12.75" customHeight="1" x14ac:dyDescent="0.2">
      <c r="A264" s="7" t="s">
        <v>276</v>
      </c>
      <c r="C264" s="7" t="s">
        <v>90</v>
      </c>
      <c r="D264" s="6"/>
      <c r="E264" s="8">
        <v>1837556</v>
      </c>
      <c r="F264" s="8"/>
      <c r="G264" s="8">
        <v>4479763</v>
      </c>
      <c r="H264" s="8"/>
      <c r="I264" s="8">
        <f>54019+115286+102039</f>
        <v>271344</v>
      </c>
      <c r="J264" s="8"/>
      <c r="K264" s="8">
        <v>396715</v>
      </c>
      <c r="L264" s="8"/>
      <c r="M264" s="8">
        <v>1984121</v>
      </c>
      <c r="N264" s="8"/>
      <c r="O264" s="8">
        <v>325737</v>
      </c>
      <c r="P264" s="8"/>
      <c r="Q264" s="8">
        <f>235690+2429561</f>
        <v>2665251</v>
      </c>
      <c r="R264" s="8"/>
      <c r="S264" s="7">
        <f t="shared" si="17"/>
        <v>694935</v>
      </c>
      <c r="T264" s="8"/>
      <c r="U264" s="8">
        <v>12655422</v>
      </c>
      <c r="V264" s="7"/>
      <c r="W264" s="8">
        <f>11510+41998+68192+400000+800000+4852509</f>
        <v>6174209</v>
      </c>
    </row>
    <row r="265" spans="1:23" ht="12.75" customHeight="1" x14ac:dyDescent="0.2">
      <c r="A265" s="7" t="s">
        <v>277</v>
      </c>
      <c r="C265" s="7" t="s">
        <v>90</v>
      </c>
      <c r="D265" s="6"/>
      <c r="E265" s="8">
        <v>3968274</v>
      </c>
      <c r="F265" s="8"/>
      <c r="G265" s="8">
        <v>2440181</v>
      </c>
      <c r="H265" s="8"/>
      <c r="I265" s="8">
        <v>223840</v>
      </c>
      <c r="J265" s="8"/>
      <c r="K265" s="8">
        <v>692403</v>
      </c>
      <c r="L265" s="8"/>
      <c r="M265" s="8">
        <v>3245757</v>
      </c>
      <c r="N265" s="8"/>
      <c r="O265" s="8">
        <v>0</v>
      </c>
      <c r="P265" s="8"/>
      <c r="Q265" s="8">
        <f>353510+70183</f>
        <v>423693</v>
      </c>
      <c r="R265" s="8"/>
      <c r="S265" s="7">
        <f t="shared" si="17"/>
        <v>91234</v>
      </c>
      <c r="T265" s="8"/>
      <c r="U265" s="8">
        <v>11085382</v>
      </c>
      <c r="V265" s="7"/>
      <c r="W265" s="8">
        <f>3853+2305561+310000</f>
        <v>2619414</v>
      </c>
    </row>
    <row r="266" spans="1:23" ht="12.75" customHeight="1" x14ac:dyDescent="0.2">
      <c r="A266" s="7" t="s">
        <v>278</v>
      </c>
      <c r="C266" s="7" t="s">
        <v>279</v>
      </c>
      <c r="D266" s="6"/>
      <c r="E266" s="8">
        <v>1616271</v>
      </c>
      <c r="F266" s="8"/>
      <c r="G266" s="8">
        <v>4048488</v>
      </c>
      <c r="H266" s="8"/>
      <c r="I266" s="8">
        <v>0</v>
      </c>
      <c r="J266" s="8"/>
      <c r="K266" s="8">
        <v>1965514</v>
      </c>
      <c r="L266" s="8"/>
      <c r="M266" s="8">
        <v>4055573</v>
      </c>
      <c r="N266" s="8"/>
      <c r="O266" s="8">
        <v>312881</v>
      </c>
      <c r="P266" s="8"/>
      <c r="Q266" s="8">
        <f>39271+873195</f>
        <v>912466</v>
      </c>
      <c r="R266" s="8"/>
      <c r="S266" s="7">
        <f t="shared" si="17"/>
        <v>360729</v>
      </c>
      <c r="T266" s="8"/>
      <c r="U266" s="8">
        <v>13271922</v>
      </c>
      <c r="V266" s="7"/>
      <c r="W266" s="8">
        <f>4459117+14495</f>
        <v>4473612</v>
      </c>
    </row>
    <row r="267" spans="1:23" ht="12.75" customHeight="1" x14ac:dyDescent="0.2">
      <c r="A267" s="7" t="s">
        <v>280</v>
      </c>
      <c r="C267" s="7" t="s">
        <v>197</v>
      </c>
      <c r="D267" s="6"/>
      <c r="E267" s="8">
        <v>13994519</v>
      </c>
      <c r="F267" s="8"/>
      <c r="G267" s="8">
        <v>0</v>
      </c>
      <c r="H267" s="8"/>
      <c r="I267" s="8">
        <v>0</v>
      </c>
      <c r="J267" s="8"/>
      <c r="K267" s="8">
        <v>1416665</v>
      </c>
      <c r="L267" s="8"/>
      <c r="M267" s="8">
        <v>4143999</v>
      </c>
      <c r="N267" s="8"/>
      <c r="O267" s="8">
        <v>203991</v>
      </c>
      <c r="P267" s="8"/>
      <c r="Q267" s="8">
        <v>548225</v>
      </c>
      <c r="R267" s="8"/>
      <c r="S267" s="7">
        <f t="shared" si="17"/>
        <v>1736106</v>
      </c>
      <c r="T267" s="8"/>
      <c r="U267" s="8">
        <v>22043505</v>
      </c>
      <c r="V267" s="7"/>
      <c r="W267" s="8">
        <v>1361000</v>
      </c>
    </row>
    <row r="268" spans="1:23" ht="12.75" customHeight="1" x14ac:dyDescent="0.2">
      <c r="A268" s="7" t="s">
        <v>281</v>
      </c>
      <c r="C268" s="7" t="s">
        <v>41</v>
      </c>
      <c r="D268" s="6"/>
      <c r="E268" s="8">
        <v>2497508</v>
      </c>
      <c r="F268" s="8"/>
      <c r="G268" s="8">
        <v>21223685</v>
      </c>
      <c r="H268" s="8"/>
      <c r="I268" s="8">
        <v>185760</v>
      </c>
      <c r="J268" s="8"/>
      <c r="K268" s="8">
        <v>3298062</v>
      </c>
      <c r="L268" s="8"/>
      <c r="M268" s="8">
        <v>3203346</v>
      </c>
      <c r="N268" s="8"/>
      <c r="O268" s="8">
        <v>58307</v>
      </c>
      <c r="P268" s="8"/>
      <c r="Q268" s="8">
        <f>437632+198393</f>
        <v>636025</v>
      </c>
      <c r="R268" s="8"/>
      <c r="S268" s="7">
        <f t="shared" si="17"/>
        <v>256273</v>
      </c>
      <c r="T268" s="8"/>
      <c r="U268" s="8">
        <v>31358966</v>
      </c>
      <c r="V268" s="7"/>
      <c r="W268" s="8">
        <f>1860000+1646083</f>
        <v>3506083</v>
      </c>
    </row>
    <row r="269" spans="1:23" ht="12.75" customHeight="1" x14ac:dyDescent="0.2">
      <c r="A269" s="7" t="s">
        <v>282</v>
      </c>
      <c r="C269" s="7" t="s">
        <v>43</v>
      </c>
      <c r="D269" s="6"/>
      <c r="E269" s="8">
        <v>6650808</v>
      </c>
      <c r="F269" s="8"/>
      <c r="G269" s="8">
        <v>0</v>
      </c>
      <c r="H269" s="8"/>
      <c r="I269" s="8">
        <v>0</v>
      </c>
      <c r="J269" s="8"/>
      <c r="K269" s="8">
        <v>1026697</v>
      </c>
      <c r="L269" s="8"/>
      <c r="M269" s="8">
        <v>3468717</v>
      </c>
      <c r="N269" s="8"/>
      <c r="O269" s="8">
        <v>0</v>
      </c>
      <c r="P269" s="8"/>
      <c r="Q269" s="8">
        <v>93950</v>
      </c>
      <c r="R269" s="8"/>
      <c r="S269" s="7">
        <f t="shared" si="17"/>
        <v>193044</v>
      </c>
      <c r="T269" s="8"/>
      <c r="U269" s="8">
        <v>11433216</v>
      </c>
      <c r="V269" s="7"/>
      <c r="W269" s="8">
        <f>10025+435633+2330725+158162+1686333</f>
        <v>4620878</v>
      </c>
    </row>
    <row r="270" spans="1:23" ht="12.75" customHeight="1" x14ac:dyDescent="0.2">
      <c r="A270" s="7" t="s">
        <v>283</v>
      </c>
      <c r="C270" s="7" t="s">
        <v>28</v>
      </c>
      <c r="D270" s="6"/>
      <c r="E270" s="8">
        <v>0</v>
      </c>
      <c r="F270" s="8"/>
      <c r="G270" s="8">
        <v>11599673</v>
      </c>
      <c r="H270" s="8"/>
      <c r="I270" s="8">
        <v>1845088</v>
      </c>
      <c r="J270" s="8"/>
      <c r="K270" s="8">
        <v>1635508</v>
      </c>
      <c r="L270" s="8"/>
      <c r="M270" s="8">
        <f>2707651+1142233</f>
        <v>3849884</v>
      </c>
      <c r="N270" s="8"/>
      <c r="O270" s="8">
        <v>0</v>
      </c>
      <c r="P270" s="8"/>
      <c r="Q270" s="8">
        <v>1435372</v>
      </c>
      <c r="R270" s="8"/>
      <c r="S270" s="7">
        <f t="shared" si="17"/>
        <v>808439</v>
      </c>
      <c r="T270" s="8"/>
      <c r="U270" s="8">
        <v>21173964</v>
      </c>
      <c r="V270" s="7"/>
      <c r="W270" s="8">
        <v>4546000</v>
      </c>
    </row>
    <row r="271" spans="1:23" ht="12.75" customHeight="1" x14ac:dyDescent="0.2">
      <c r="A271" s="7" t="s">
        <v>284</v>
      </c>
      <c r="C271" s="7" t="s">
        <v>59</v>
      </c>
      <c r="D271" s="19"/>
      <c r="E271" s="8">
        <v>1908375</v>
      </c>
      <c r="F271" s="8"/>
      <c r="G271" s="8">
        <v>45410390</v>
      </c>
      <c r="H271" s="8"/>
      <c r="I271" s="8">
        <f>604675+578450</f>
        <v>1183125</v>
      </c>
      <c r="J271" s="8"/>
      <c r="K271" s="8">
        <v>7352027</v>
      </c>
      <c r="L271" s="8"/>
      <c r="M271" s="8">
        <v>18816017</v>
      </c>
      <c r="N271" s="8"/>
      <c r="O271" s="8">
        <v>0</v>
      </c>
      <c r="P271" s="8"/>
      <c r="Q271" s="8">
        <f>584926+992547</f>
        <v>1577473</v>
      </c>
      <c r="R271" s="8"/>
      <c r="S271" s="7">
        <f t="shared" si="17"/>
        <v>6717211</v>
      </c>
      <c r="T271" s="8"/>
      <c r="U271" s="8">
        <v>82964618</v>
      </c>
      <c r="V271" s="7"/>
      <c r="W271" s="8">
        <f>42125+25048629</f>
        <v>25090754</v>
      </c>
    </row>
    <row r="272" spans="1:23" ht="12.75" customHeight="1" x14ac:dyDescent="0.2">
      <c r="A272" s="7" t="s">
        <v>285</v>
      </c>
      <c r="C272" s="7" t="s">
        <v>286</v>
      </c>
      <c r="D272" s="6"/>
      <c r="E272" s="8">
        <v>1155341</v>
      </c>
      <c r="F272" s="8"/>
      <c r="G272" s="8">
        <v>15035958</v>
      </c>
      <c r="H272" s="8"/>
      <c r="I272" s="8">
        <f>111663+575323</f>
        <v>686986</v>
      </c>
      <c r="J272" s="8"/>
      <c r="K272" s="8">
        <v>1024239</v>
      </c>
      <c r="L272" s="8"/>
      <c r="M272" s="8">
        <v>6558622</v>
      </c>
      <c r="N272" s="8"/>
      <c r="O272" s="8">
        <v>0</v>
      </c>
      <c r="P272" s="8"/>
      <c r="Q272" s="8">
        <v>544651</v>
      </c>
      <c r="R272" s="8"/>
      <c r="S272" s="7">
        <f t="shared" si="17"/>
        <v>1035916</v>
      </c>
      <c r="T272" s="8"/>
      <c r="U272" s="8">
        <v>26041713</v>
      </c>
      <c r="V272" s="7"/>
      <c r="W272" s="8">
        <f>6794315+86423+20105</f>
        <v>6900843</v>
      </c>
    </row>
    <row r="273" spans="1:22" s="12" customFormat="1" ht="12.75" customHeight="1" x14ac:dyDescent="0.2">
      <c r="A273" s="7" t="s">
        <v>467</v>
      </c>
      <c r="B273" s="56"/>
      <c r="C273" s="10"/>
      <c r="D273" s="10"/>
      <c r="F273" s="7"/>
      <c r="H273" s="7"/>
      <c r="J273" s="7"/>
      <c r="L273" s="7"/>
      <c r="N273" s="7"/>
      <c r="P273" s="7"/>
      <c r="R273" s="7"/>
      <c r="S273" s="7"/>
      <c r="T273" s="7"/>
    </row>
    <row r="274" spans="1:22" ht="12.75" customHeight="1" x14ac:dyDescent="0.2">
      <c r="A274" s="12"/>
      <c r="B274" s="12"/>
      <c r="C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7"/>
      <c r="T274" s="12"/>
      <c r="U274" s="11"/>
      <c r="V274" s="10"/>
    </row>
    <row r="275" spans="1:22" ht="12.75" customHeight="1" x14ac:dyDescent="0.2">
      <c r="A275" s="12"/>
      <c r="C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7"/>
      <c r="T275" s="12"/>
      <c r="U275" s="11"/>
      <c r="V275" s="10"/>
    </row>
    <row r="276" spans="1:22" ht="12.75" customHeight="1" x14ac:dyDescent="0.2">
      <c r="A276" s="12"/>
      <c r="C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7"/>
      <c r="T276" s="12"/>
      <c r="U276" s="11"/>
      <c r="V276" s="10"/>
    </row>
    <row r="277" spans="1:22" ht="12.75" customHeight="1" x14ac:dyDescent="0.2">
      <c r="A277" s="12"/>
      <c r="C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7"/>
      <c r="T277" s="12"/>
      <c r="U277" s="11"/>
      <c r="V277" s="10"/>
    </row>
    <row r="278" spans="1:22" ht="12.75" customHeight="1" x14ac:dyDescent="0.2">
      <c r="A278" s="12"/>
      <c r="C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7"/>
      <c r="T278" s="12"/>
      <c r="U278" s="11"/>
      <c r="V278" s="10"/>
    </row>
    <row r="279" spans="1:22" ht="12.75" customHeight="1" x14ac:dyDescent="0.2">
      <c r="A279" s="12"/>
      <c r="C279" s="12"/>
    </row>
  </sheetData>
  <phoneticPr fontId="4" type="noConversion"/>
  <pageMargins left="0.75" right="0.75" top="0.5" bottom="0.5" header="0" footer="0.25"/>
  <pageSetup scale="72" firstPageNumber="60" pageOrder="overThenDown" orientation="portrait" useFirstPageNumber="1" r:id="rId1"/>
  <headerFooter alignWithMargins="0">
    <oddFooter>&amp;C&amp;"Times New Roman,Regular"&amp;11&amp;P</oddFooter>
  </headerFooter>
  <rowBreaks count="3" manualBreakCount="3">
    <brk id="87" max="22" man="1"/>
    <brk id="168" max="22" man="1"/>
    <brk id="242" max="22" man="1"/>
  </rowBreaks>
  <colBreaks count="1" manualBreakCount="1">
    <brk id="13" max="27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20"/>
  <sheetViews>
    <sheetView view="pageBreakPreview" zoomScale="80" zoomScaleNormal="100" zoomScaleSheetLayoutView="80" workbookViewId="0">
      <pane xSplit="3" ySplit="8" topLeftCell="D216" activePane="bottomRight" state="frozen"/>
      <selection pane="topRight" activeCell="D1" sqref="D1"/>
      <selection pane="bottomLeft" activeCell="A9" sqref="A9"/>
      <selection pane="bottomRight" activeCell="I253" sqref="I253"/>
    </sheetView>
  </sheetViews>
  <sheetFormatPr defaultColWidth="0" defaultRowHeight="12.75" customHeight="1" x14ac:dyDescent="0.2"/>
  <cols>
    <col min="1" max="1" width="21.5703125" style="12" customWidth="1"/>
    <col min="2" max="2" width="1.7109375" style="14" customWidth="1"/>
    <col min="3" max="3" width="12.140625" style="12" customWidth="1"/>
    <col min="4" max="4" width="1.7109375" style="10" customWidth="1"/>
    <col min="5" max="5" width="12.42578125" style="12" bestFit="1" customWidth="1"/>
    <col min="6" max="6" width="1.7109375" style="12" customWidth="1"/>
    <col min="7" max="7" width="12.85546875" style="12" bestFit="1" customWidth="1"/>
    <col min="8" max="8" width="1.7109375" style="12" customWidth="1"/>
    <col min="9" max="9" width="12.42578125" style="12" bestFit="1" customWidth="1"/>
    <col min="10" max="10" width="1.7109375" style="12" customWidth="1"/>
    <col min="11" max="11" width="11.42578125" style="12" bestFit="1" customWidth="1"/>
    <col min="12" max="12" width="1.7109375" style="12" customWidth="1"/>
    <col min="13" max="13" width="13.140625" style="12" bestFit="1" customWidth="1"/>
    <col min="14" max="14" width="1.7109375" style="12" customWidth="1"/>
    <col min="15" max="15" width="12.140625" style="12" bestFit="1" customWidth="1"/>
    <col min="16" max="16" width="1.7109375" style="12" customWidth="1"/>
    <col min="17" max="17" width="12.28515625" style="12" bestFit="1" customWidth="1"/>
    <col min="18" max="18" width="1.7109375" style="12" customWidth="1"/>
    <col min="19" max="19" width="12.140625" style="12" bestFit="1" customWidth="1"/>
    <col min="20" max="20" width="1.7109375" style="12" customWidth="1"/>
    <col min="21" max="21" width="10.7109375" style="12" customWidth="1"/>
    <col min="22" max="22" width="11.7109375" style="12" hidden="1" customWidth="1"/>
    <col min="23" max="23" width="1.7109375" style="12" hidden="1" customWidth="1"/>
    <col min="24" max="24" width="13.42578125" style="12" hidden="1" customWidth="1"/>
    <col min="25" max="25" width="1.7109375" style="10" hidden="1" customWidth="1"/>
    <col min="26" max="26" width="9.85546875" style="12" hidden="1" customWidth="1"/>
    <col min="27" max="27" width="1.7109375" style="12" customWidth="1"/>
    <col min="28" max="28" width="12.42578125" style="12" bestFit="1" customWidth="1"/>
    <col min="29" max="29" width="1.7109375" style="14" customWidth="1"/>
    <col min="30" max="30" width="13.42578125" style="12" bestFit="1" customWidth="1"/>
    <col min="31" max="31" width="1.7109375" style="14" customWidth="1"/>
    <col min="32" max="32" width="11.7109375" style="14" customWidth="1"/>
    <col min="33" max="33" width="1.7109375" style="14" customWidth="1"/>
    <col min="34" max="34" width="13.7109375" style="12" bestFit="1" customWidth="1"/>
    <col min="35" max="35" width="1.7109375" style="12" customWidth="1"/>
    <col min="36" max="36" width="10.7109375" style="12" hidden="1" customWidth="1"/>
    <col min="37" max="37" width="1.7109375" style="12" hidden="1" customWidth="1"/>
    <col min="38" max="38" width="14.5703125" style="12" bestFit="1" customWidth="1"/>
    <col min="39" max="39" width="1.7109375" style="12" customWidth="1"/>
    <col min="40" max="40" width="12.7109375" style="12" customWidth="1"/>
    <col min="41" max="41" width="1.7109375" style="12" customWidth="1"/>
    <col min="42" max="42" width="12.7109375" style="12" customWidth="1"/>
    <col min="43" max="43" width="1.7109375" style="12" customWidth="1"/>
    <col min="44" max="44" width="12.28515625" style="12" bestFit="1" customWidth="1"/>
    <col min="45" max="45" width="10.7109375" style="12" customWidth="1"/>
    <col min="46" max="46" width="10.7109375" style="14" bestFit="1" customWidth="1"/>
    <col min="47" max="16384" width="0" style="10" hidden="1"/>
  </cols>
  <sheetData>
    <row r="1" spans="1:45" s="74" customFormat="1" ht="12.75" customHeight="1" x14ac:dyDescent="0.2">
      <c r="A1" s="38" t="s">
        <v>387</v>
      </c>
      <c r="C1" s="75"/>
      <c r="D1" s="10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38"/>
      <c r="R1" s="75"/>
      <c r="S1" s="75"/>
      <c r="T1" s="75"/>
      <c r="U1" s="75"/>
      <c r="V1" s="75"/>
      <c r="W1" s="75"/>
      <c r="X1" s="38" t="s">
        <v>387</v>
      </c>
      <c r="AA1" s="75"/>
      <c r="AB1" s="75"/>
      <c r="AD1" s="38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</row>
    <row r="2" spans="1:45" s="74" customFormat="1" ht="12.75" customHeight="1" x14ac:dyDescent="0.2">
      <c r="A2" s="38" t="s">
        <v>505</v>
      </c>
      <c r="C2" s="75"/>
      <c r="D2" s="10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38"/>
      <c r="R2" s="75"/>
      <c r="S2" s="75"/>
      <c r="T2" s="75"/>
      <c r="U2" s="75"/>
      <c r="V2" s="75"/>
      <c r="W2" s="75"/>
      <c r="X2" s="38" t="s">
        <v>314</v>
      </c>
      <c r="AA2" s="75"/>
      <c r="AB2" s="75"/>
      <c r="AD2" s="38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</row>
    <row r="3" spans="1:45" ht="12.75" customHeight="1" x14ac:dyDescent="0.2">
      <c r="A3" s="75" t="s">
        <v>287</v>
      </c>
      <c r="C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75"/>
      <c r="R3" s="13"/>
      <c r="S3" s="13"/>
      <c r="T3" s="13"/>
      <c r="U3" s="13"/>
      <c r="V3" s="13"/>
      <c r="W3" s="13"/>
      <c r="X3" s="75" t="s">
        <v>287</v>
      </c>
      <c r="AA3" s="13"/>
      <c r="AB3" s="13"/>
      <c r="AD3" s="75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</row>
    <row r="4" spans="1:45" ht="12.75" customHeight="1" x14ac:dyDescent="0.2">
      <c r="A4" s="24"/>
      <c r="C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75"/>
      <c r="R4" s="13"/>
      <c r="S4" s="13"/>
      <c r="T4" s="13"/>
      <c r="U4" s="13"/>
      <c r="V4" s="13"/>
      <c r="W4" s="13"/>
      <c r="X4" s="75"/>
      <c r="AA4" s="13"/>
      <c r="AB4" s="13"/>
      <c r="AD4" s="75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</row>
    <row r="6" spans="1:45" s="43" customFormat="1" ht="12.75" customHeight="1" x14ac:dyDescent="0.2">
      <c r="A6" s="3"/>
      <c r="C6" s="3"/>
      <c r="E6" s="3"/>
      <c r="F6" s="3"/>
      <c r="G6" s="3" t="s">
        <v>394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Z6" s="3"/>
      <c r="AA6" s="3"/>
      <c r="AB6" s="3"/>
      <c r="AD6" s="3"/>
      <c r="AL6" s="3"/>
      <c r="AM6" s="3"/>
      <c r="AN6" s="3" t="s">
        <v>323</v>
      </c>
      <c r="AO6" s="3"/>
      <c r="AP6" s="43" t="s">
        <v>453</v>
      </c>
      <c r="AQ6" s="3"/>
      <c r="AR6" s="3"/>
    </row>
    <row r="7" spans="1:45" s="43" customFormat="1" ht="12.75" customHeight="1" x14ac:dyDescent="0.2">
      <c r="A7" s="3"/>
      <c r="C7" s="3"/>
      <c r="D7" s="3"/>
      <c r="E7" s="3" t="s">
        <v>294</v>
      </c>
      <c r="F7" s="3"/>
      <c r="G7" s="44" t="s">
        <v>420</v>
      </c>
      <c r="H7" s="3"/>
      <c r="I7" s="3" t="s">
        <v>331</v>
      </c>
      <c r="J7" s="3"/>
      <c r="K7" s="3"/>
      <c r="L7" s="3"/>
      <c r="M7" s="3"/>
      <c r="N7" s="3"/>
      <c r="O7" s="3" t="s">
        <v>304</v>
      </c>
      <c r="P7" s="3"/>
      <c r="Q7" s="3" t="s">
        <v>332</v>
      </c>
      <c r="R7" s="3"/>
      <c r="S7" s="3" t="s">
        <v>3</v>
      </c>
      <c r="T7" s="3"/>
      <c r="U7" s="3" t="s">
        <v>325</v>
      </c>
      <c r="V7" s="3"/>
      <c r="W7" s="3"/>
      <c r="X7" s="3"/>
      <c r="Z7" s="3"/>
      <c r="AA7" s="3"/>
      <c r="AB7" s="3"/>
      <c r="AD7" s="3" t="s">
        <v>342</v>
      </c>
      <c r="AF7" s="43" t="s">
        <v>292</v>
      </c>
      <c r="AH7" s="3" t="s">
        <v>5</v>
      </c>
      <c r="AI7" s="3"/>
      <c r="AJ7" s="3" t="s">
        <v>444</v>
      </c>
      <c r="AK7" s="3"/>
      <c r="AL7" s="3" t="s">
        <v>429</v>
      </c>
      <c r="AM7" s="3"/>
      <c r="AN7" s="3" t="s">
        <v>449</v>
      </c>
      <c r="AO7" s="3"/>
      <c r="AP7" s="3" t="s">
        <v>454</v>
      </c>
      <c r="AQ7" s="3"/>
      <c r="AR7" s="3" t="s">
        <v>425</v>
      </c>
      <c r="AS7" s="3"/>
    </row>
    <row r="8" spans="1:45" s="43" customFormat="1" ht="12.75" customHeight="1" x14ac:dyDescent="0.2">
      <c r="A8" s="45" t="s">
        <v>6</v>
      </c>
      <c r="C8" s="45" t="s">
        <v>7</v>
      </c>
      <c r="D8" s="3"/>
      <c r="E8" s="46" t="s">
        <v>312</v>
      </c>
      <c r="F8" s="3"/>
      <c r="G8" s="46" t="s">
        <v>291</v>
      </c>
      <c r="H8" s="3"/>
      <c r="I8" s="46" t="s">
        <v>333</v>
      </c>
      <c r="J8" s="3"/>
      <c r="K8" s="46" t="s">
        <v>307</v>
      </c>
      <c r="L8" s="3"/>
      <c r="M8" s="46" t="s">
        <v>310</v>
      </c>
      <c r="N8" s="3"/>
      <c r="O8" s="46" t="s">
        <v>334</v>
      </c>
      <c r="P8" s="3"/>
      <c r="Q8" s="46" t="s">
        <v>335</v>
      </c>
      <c r="R8" s="3"/>
      <c r="S8" s="46" t="s">
        <v>336</v>
      </c>
      <c r="T8" s="3"/>
      <c r="U8" s="46" t="s">
        <v>329</v>
      </c>
      <c r="V8" s="3"/>
      <c r="W8" s="3"/>
      <c r="X8" s="45" t="s">
        <v>6</v>
      </c>
      <c r="Z8" s="45" t="s">
        <v>7</v>
      </c>
      <c r="AA8" s="3"/>
      <c r="AB8" s="46" t="s">
        <v>337</v>
      </c>
      <c r="AD8" s="46" t="s">
        <v>338</v>
      </c>
      <c r="AF8" s="1" t="s">
        <v>335</v>
      </c>
      <c r="AH8" s="1" t="s">
        <v>335</v>
      </c>
      <c r="AI8" s="2"/>
      <c r="AJ8" s="1" t="s">
        <v>440</v>
      </c>
      <c r="AK8" s="2"/>
      <c r="AL8" s="45" t="s">
        <v>430</v>
      </c>
      <c r="AM8" s="3"/>
      <c r="AN8" s="45" t="s">
        <v>450</v>
      </c>
      <c r="AO8" s="3"/>
      <c r="AP8" s="45" t="s">
        <v>455</v>
      </c>
      <c r="AQ8" s="3"/>
      <c r="AR8" s="47" t="s">
        <v>426</v>
      </c>
      <c r="AS8" s="2"/>
    </row>
    <row r="9" spans="1:45" s="43" customFormat="1" ht="12.75" customHeight="1" x14ac:dyDescent="0.2">
      <c r="A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Z9" s="3"/>
      <c r="AA9" s="3"/>
      <c r="AB9" s="3"/>
      <c r="AD9" s="3"/>
      <c r="AH9" s="2"/>
      <c r="AI9" s="2"/>
      <c r="AJ9" s="2"/>
      <c r="AK9" s="2"/>
      <c r="AL9" s="68"/>
      <c r="AM9" s="68"/>
      <c r="AN9" s="68"/>
      <c r="AO9" s="68"/>
      <c r="AP9" s="68"/>
      <c r="AQ9" s="68"/>
      <c r="AR9" s="68"/>
      <c r="AS9" s="2"/>
    </row>
    <row r="10" spans="1:45" s="9" customFormat="1" ht="12.75" hidden="1" customHeight="1" x14ac:dyDescent="0.2">
      <c r="A10" s="19" t="s">
        <v>10</v>
      </c>
      <c r="C10" s="19" t="s">
        <v>11</v>
      </c>
      <c r="E10" s="22">
        <v>42710925</v>
      </c>
      <c r="F10" s="22"/>
      <c r="G10" s="22">
        <f>59446860+109643467</f>
        <v>169090327</v>
      </c>
      <c r="H10" s="22"/>
      <c r="I10" s="22">
        <v>91645889</v>
      </c>
      <c r="J10" s="22"/>
      <c r="K10" s="22">
        <v>4004247</v>
      </c>
      <c r="L10" s="22"/>
      <c r="M10" s="22">
        <v>0</v>
      </c>
      <c r="N10" s="22"/>
      <c r="O10" s="22">
        <v>6946793</v>
      </c>
      <c r="P10" s="22"/>
      <c r="Q10" s="22">
        <v>0</v>
      </c>
      <c r="R10" s="22"/>
      <c r="S10" s="22">
        <v>0</v>
      </c>
      <c r="T10" s="22"/>
      <c r="U10" s="22">
        <v>0</v>
      </c>
      <c r="V10" s="22"/>
      <c r="W10" s="22"/>
      <c r="X10" s="19"/>
      <c r="Z10" s="19"/>
      <c r="AA10" s="19"/>
      <c r="AB10" s="22">
        <v>29088580</v>
      </c>
      <c r="AC10" s="21"/>
      <c r="AD10" s="22">
        <v>28600017</v>
      </c>
      <c r="AE10" s="21"/>
      <c r="AF10" s="9">
        <v>2304239</v>
      </c>
      <c r="AG10" s="21"/>
      <c r="AH10" s="22">
        <f t="shared" ref="AH10:AH11" si="0">SUM(E10:AF10)</f>
        <v>374391017</v>
      </c>
      <c r="AI10" s="22"/>
      <c r="AJ10" s="22">
        <v>0</v>
      </c>
      <c r="AK10" s="22"/>
      <c r="AL10" s="40">
        <f>193384337+8227250+7414704</f>
        <v>209026291</v>
      </c>
      <c r="AM10" s="8"/>
      <c r="AN10" s="8">
        <v>119904886</v>
      </c>
      <c r="AO10" s="8"/>
      <c r="AP10" s="8">
        <v>0</v>
      </c>
      <c r="AQ10" s="8"/>
      <c r="AR10" s="8">
        <f>+'GVFund Rev'!U10+'GVFund Rev'!W10-'GVFund Exp'!AH10-'GVFund Exp'!AL10+AJ10+AN10+AP10-'GV Fund BS'!W10</f>
        <v>0</v>
      </c>
      <c r="AS10" s="22"/>
    </row>
    <row r="11" spans="1:45" s="9" customFormat="1" ht="12.75" customHeight="1" x14ac:dyDescent="0.2">
      <c r="A11" s="19" t="s">
        <v>12</v>
      </c>
      <c r="C11" s="19" t="s">
        <v>13</v>
      </c>
      <c r="E11" s="22">
        <v>2736209</v>
      </c>
      <c r="F11" s="22"/>
      <c r="G11" s="22">
        <v>8378136</v>
      </c>
      <c r="H11" s="22"/>
      <c r="I11" s="22">
        <v>856918</v>
      </c>
      <c r="J11" s="22"/>
      <c r="K11" s="22">
        <v>979756</v>
      </c>
      <c r="L11" s="22"/>
      <c r="M11" s="22">
        <v>789652</v>
      </c>
      <c r="N11" s="22"/>
      <c r="O11" s="22">
        <v>653096</v>
      </c>
      <c r="P11" s="22"/>
      <c r="Q11" s="22">
        <v>59583</v>
      </c>
      <c r="R11" s="22"/>
      <c r="S11" s="22">
        <v>2957264</v>
      </c>
      <c r="T11" s="22"/>
      <c r="U11" s="22">
        <v>0</v>
      </c>
      <c r="V11" s="22"/>
      <c r="W11" s="22"/>
      <c r="X11" s="19"/>
      <c r="Z11" s="19"/>
      <c r="AA11" s="19"/>
      <c r="AB11" s="22">
        <v>329115</v>
      </c>
      <c r="AC11" s="21"/>
      <c r="AD11" s="22">
        <v>53201</v>
      </c>
      <c r="AE11" s="21"/>
      <c r="AF11" s="9">
        <v>50234</v>
      </c>
      <c r="AG11" s="21"/>
      <c r="AH11" s="22">
        <f t="shared" si="0"/>
        <v>17843164</v>
      </c>
      <c r="AI11" s="22"/>
      <c r="AJ11" s="22">
        <v>0</v>
      </c>
      <c r="AK11" s="22"/>
      <c r="AL11" s="40">
        <f>444652+1130886</f>
        <v>1575538</v>
      </c>
      <c r="AM11" s="8"/>
      <c r="AN11" s="8">
        <v>11361890</v>
      </c>
      <c r="AO11" s="8"/>
      <c r="AP11" s="8">
        <v>0</v>
      </c>
      <c r="AQ11" s="8"/>
      <c r="AR11" s="8">
        <f>+'GVFund Rev'!U11+'GVFund Rev'!W11-'GVFund Exp'!AH11-'GVFund Exp'!AL11+AJ11+AN11+AP11-'GV Fund BS'!W11</f>
        <v>0</v>
      </c>
      <c r="AS11" s="22"/>
    </row>
    <row r="12" spans="1:45" s="7" customFormat="1" ht="12.75" customHeight="1" x14ac:dyDescent="0.2">
      <c r="A12" s="6" t="s">
        <v>14</v>
      </c>
      <c r="C12" s="6" t="s">
        <v>15</v>
      </c>
      <c r="E12" s="8">
        <v>975841</v>
      </c>
      <c r="F12" s="11"/>
      <c r="G12" s="8">
        <v>3494924</v>
      </c>
      <c r="H12" s="11"/>
      <c r="I12" s="8">
        <v>138690</v>
      </c>
      <c r="J12" s="11"/>
      <c r="K12" s="8">
        <v>166855</v>
      </c>
      <c r="L12" s="11"/>
      <c r="M12" s="8">
        <v>1176587</v>
      </c>
      <c r="N12" s="11"/>
      <c r="O12" s="8">
        <v>174434</v>
      </c>
      <c r="P12" s="11"/>
      <c r="Q12" s="8">
        <v>0</v>
      </c>
      <c r="R12" s="11"/>
      <c r="S12" s="8">
        <v>900285</v>
      </c>
      <c r="T12" s="11"/>
      <c r="U12" s="8">
        <v>0</v>
      </c>
      <c r="V12" s="11"/>
      <c r="W12" s="11"/>
      <c r="X12" s="6"/>
      <c r="Z12" s="6"/>
      <c r="AA12" s="6"/>
      <c r="AB12" s="8">
        <v>332352</v>
      </c>
      <c r="AC12" s="20"/>
      <c r="AD12" s="8">
        <v>97980</v>
      </c>
      <c r="AE12" s="20"/>
      <c r="AF12" s="8">
        <v>0</v>
      </c>
      <c r="AG12" s="20"/>
      <c r="AH12" s="11">
        <f t="shared" ref="AH12:AH67" si="1">SUM(E12:AF12)</f>
        <v>7457948</v>
      </c>
      <c r="AI12" s="11"/>
      <c r="AJ12" s="11">
        <v>0</v>
      </c>
      <c r="AK12" s="11"/>
      <c r="AL12" s="8">
        <v>520000</v>
      </c>
      <c r="AM12" s="8"/>
      <c r="AN12" s="8">
        <v>9945879</v>
      </c>
      <c r="AO12" s="8"/>
      <c r="AP12" s="8">
        <v>0</v>
      </c>
      <c r="AQ12" s="8"/>
      <c r="AR12" s="8">
        <f>+'GVFund Rev'!U12+'GVFund Rev'!W12-'GVFund Exp'!AH12-'GVFund Exp'!AL12+AJ12+AN12+AP12-'GV Fund BS'!W12</f>
        <v>0</v>
      </c>
      <c r="AS12" s="11"/>
    </row>
    <row r="13" spans="1:45" s="7" customFormat="1" ht="12.75" customHeight="1" x14ac:dyDescent="0.2">
      <c r="A13" s="6" t="s">
        <v>16</v>
      </c>
      <c r="C13" s="6" t="s">
        <v>16</v>
      </c>
      <c r="E13" s="8">
        <v>4673945</v>
      </c>
      <c r="F13" s="11"/>
      <c r="G13" s="8">
        <v>6676321</v>
      </c>
      <c r="H13" s="11"/>
      <c r="I13" s="8">
        <v>579507</v>
      </c>
      <c r="J13" s="11"/>
      <c r="K13" s="8">
        <v>297364</v>
      </c>
      <c r="L13" s="11"/>
      <c r="M13" s="8">
        <v>1736326</v>
      </c>
      <c r="N13" s="11"/>
      <c r="O13" s="8">
        <v>997974</v>
      </c>
      <c r="P13" s="11"/>
      <c r="Q13" s="8">
        <v>0</v>
      </c>
      <c r="R13" s="11"/>
      <c r="S13" s="8">
        <v>506080</v>
      </c>
      <c r="T13" s="11"/>
      <c r="U13" s="8">
        <v>0</v>
      </c>
      <c r="V13" s="11"/>
      <c r="W13" s="11"/>
      <c r="X13" s="6"/>
      <c r="Z13" s="6"/>
      <c r="AA13" s="6"/>
      <c r="AB13" s="8">
        <v>394966</v>
      </c>
      <c r="AC13" s="20"/>
      <c r="AD13" s="8">
        <v>111947</v>
      </c>
      <c r="AE13" s="20"/>
      <c r="AF13" s="8">
        <v>0</v>
      </c>
      <c r="AG13" s="20"/>
      <c r="AH13" s="11">
        <f t="shared" si="1"/>
        <v>15974430</v>
      </c>
      <c r="AI13" s="11"/>
      <c r="AJ13" s="11">
        <v>0</v>
      </c>
      <c r="AK13" s="11"/>
      <c r="AL13" s="8">
        <v>350943</v>
      </c>
      <c r="AM13" s="8"/>
      <c r="AN13" s="8">
        <v>6190512</v>
      </c>
      <c r="AO13" s="8"/>
      <c r="AP13" s="8">
        <v>0</v>
      </c>
      <c r="AQ13" s="8"/>
      <c r="AR13" s="8">
        <f>+'GVFund Rev'!U13+'GVFund Rev'!W13-'GVFund Exp'!AH13-'GVFund Exp'!AL13+AJ13+AN13+AP13-'GV Fund BS'!W13</f>
        <v>0</v>
      </c>
      <c r="AS13" s="11"/>
    </row>
    <row r="14" spans="1:45" s="7" customFormat="1" ht="12.75" customHeight="1" x14ac:dyDescent="0.2">
      <c r="A14" s="6" t="s">
        <v>17</v>
      </c>
      <c r="C14" s="6" t="s">
        <v>17</v>
      </c>
      <c r="E14" s="8">
        <f>2595952+961805</f>
        <v>3557757</v>
      </c>
      <c r="F14" s="11"/>
      <c r="G14" s="8">
        <f>3301408+2572934</f>
        <v>5874342</v>
      </c>
      <c r="H14" s="11"/>
      <c r="I14" s="8">
        <v>1013371</v>
      </c>
      <c r="J14" s="11"/>
      <c r="K14" s="8">
        <v>323401</v>
      </c>
      <c r="L14" s="11"/>
      <c r="M14" s="8">
        <v>1266996</v>
      </c>
      <c r="N14" s="11"/>
      <c r="O14" s="8">
        <v>28895</v>
      </c>
      <c r="P14" s="11"/>
      <c r="Q14" s="8">
        <v>12000</v>
      </c>
      <c r="R14" s="11"/>
      <c r="S14" s="8">
        <v>735005</v>
      </c>
      <c r="T14" s="11"/>
      <c r="U14" s="8">
        <v>0</v>
      </c>
      <c r="V14" s="11"/>
      <c r="W14" s="11"/>
      <c r="X14" s="6"/>
      <c r="Z14" s="6"/>
      <c r="AA14" s="6"/>
      <c r="AB14" s="8">
        <v>168095</v>
      </c>
      <c r="AC14" s="20"/>
      <c r="AD14" s="8">
        <v>8995</v>
      </c>
      <c r="AE14" s="20"/>
      <c r="AF14" s="8">
        <v>0</v>
      </c>
      <c r="AG14" s="20"/>
      <c r="AH14" s="11">
        <f t="shared" si="1"/>
        <v>12988857</v>
      </c>
      <c r="AI14" s="11"/>
      <c r="AJ14" s="11">
        <v>0</v>
      </c>
      <c r="AK14" s="11"/>
      <c r="AL14" s="8">
        <v>640275</v>
      </c>
      <c r="AM14" s="8"/>
      <c r="AN14" s="8">
        <v>1943235</v>
      </c>
      <c r="AO14" s="8"/>
      <c r="AP14" s="8">
        <v>0</v>
      </c>
      <c r="AQ14" s="8"/>
      <c r="AR14" s="8">
        <f>+'GVFund Rev'!U14+'GVFund Rev'!W14-'GVFund Exp'!AH14-'GVFund Exp'!AL14+AJ14+AN14+AP14-'GV Fund BS'!W14</f>
        <v>0</v>
      </c>
    </row>
    <row r="15" spans="1:45" s="7" customFormat="1" ht="12.75" customHeight="1" x14ac:dyDescent="0.2">
      <c r="A15" s="6" t="s">
        <v>18</v>
      </c>
      <c r="C15" s="6" t="s">
        <v>18</v>
      </c>
      <c r="E15" s="8">
        <v>5142350</v>
      </c>
      <c r="F15" s="11"/>
      <c r="G15" s="8">
        <f>3534018+2656871</f>
        <v>6190889</v>
      </c>
      <c r="H15" s="11"/>
      <c r="I15" s="8">
        <v>825503</v>
      </c>
      <c r="J15" s="11"/>
      <c r="K15" s="8">
        <v>0</v>
      </c>
      <c r="L15" s="11"/>
      <c r="M15" s="8">
        <v>3129699</v>
      </c>
      <c r="N15" s="11"/>
      <c r="O15" s="8">
        <v>1523629</v>
      </c>
      <c r="P15" s="11"/>
      <c r="Q15" s="8">
        <v>0</v>
      </c>
      <c r="R15" s="11"/>
      <c r="S15" s="8">
        <v>1059810</v>
      </c>
      <c r="T15" s="11"/>
      <c r="U15" s="8">
        <v>0</v>
      </c>
      <c r="V15" s="11"/>
      <c r="W15" s="11"/>
      <c r="X15" s="6"/>
      <c r="Z15" s="6"/>
      <c r="AA15" s="6"/>
      <c r="AB15" s="8">
        <v>720000</v>
      </c>
      <c r="AC15" s="20"/>
      <c r="AD15" s="8">
        <v>32252</v>
      </c>
      <c r="AE15" s="20"/>
      <c r="AF15" s="8">
        <v>0</v>
      </c>
      <c r="AG15" s="20"/>
      <c r="AH15" s="11">
        <f t="shared" si="1"/>
        <v>18624132</v>
      </c>
      <c r="AI15" s="11"/>
      <c r="AJ15" s="11">
        <v>0</v>
      </c>
      <c r="AK15" s="11"/>
      <c r="AL15" s="8">
        <v>447719</v>
      </c>
      <c r="AM15" s="8"/>
      <c r="AN15" s="8">
        <v>6584077</v>
      </c>
      <c r="AO15" s="8"/>
      <c r="AP15" s="8">
        <v>0</v>
      </c>
      <c r="AQ15" s="8"/>
      <c r="AR15" s="8">
        <f>+'GVFund Rev'!U15+'GVFund Rev'!W15-'GVFund Exp'!AH15-'GVFund Exp'!AL15+AJ15+AN15+AP15-'GV Fund BS'!W15</f>
        <v>0</v>
      </c>
      <c r="AS15" s="11"/>
    </row>
    <row r="16" spans="1:45" s="7" customFormat="1" ht="12.75" customHeight="1" x14ac:dyDescent="0.2">
      <c r="A16" s="19" t="s">
        <v>19</v>
      </c>
      <c r="B16" s="9"/>
      <c r="C16" s="19" t="s">
        <v>20</v>
      </c>
      <c r="D16" s="9"/>
      <c r="E16" s="8">
        <v>1928562</v>
      </c>
      <c r="F16" s="11"/>
      <c r="G16" s="8">
        <v>7258515</v>
      </c>
      <c r="H16" s="11"/>
      <c r="I16" s="8">
        <v>931340</v>
      </c>
      <c r="J16" s="11"/>
      <c r="K16" s="8">
        <v>0</v>
      </c>
      <c r="L16" s="11"/>
      <c r="M16" s="8">
        <v>2706240</v>
      </c>
      <c r="N16" s="11"/>
      <c r="O16" s="8">
        <v>1394527</v>
      </c>
      <c r="P16" s="11"/>
      <c r="Q16" s="8">
        <v>0</v>
      </c>
      <c r="R16" s="11"/>
      <c r="S16" s="8">
        <v>2589971</v>
      </c>
      <c r="T16" s="11"/>
      <c r="U16" s="8">
        <v>0</v>
      </c>
      <c r="V16" s="11"/>
      <c r="W16" s="11"/>
      <c r="X16" s="6"/>
      <c r="Z16" s="6"/>
      <c r="AA16" s="6"/>
      <c r="AB16" s="8">
        <v>806120</v>
      </c>
      <c r="AC16" s="20"/>
      <c r="AD16" s="8">
        <v>274028</v>
      </c>
      <c r="AE16" s="20"/>
      <c r="AF16" s="8">
        <v>109170</v>
      </c>
      <c r="AG16" s="20"/>
      <c r="AH16" s="11">
        <f t="shared" si="1"/>
        <v>17998473</v>
      </c>
      <c r="AI16" s="11"/>
      <c r="AJ16" s="11">
        <v>0</v>
      </c>
      <c r="AK16" s="11"/>
      <c r="AL16" s="8">
        <f>4906900+1858895</f>
        <v>6765795</v>
      </c>
      <c r="AM16" s="8"/>
      <c r="AN16" s="8">
        <v>15921362</v>
      </c>
      <c r="AO16" s="8"/>
      <c r="AP16" s="8">
        <v>0</v>
      </c>
      <c r="AQ16" s="8"/>
      <c r="AR16" s="8">
        <f>+'GVFund Rev'!U16+'GVFund Rev'!W16-'GVFund Exp'!AH16-'GVFund Exp'!AL16+AJ16+AN16+AP16-'GV Fund BS'!W16</f>
        <v>0</v>
      </c>
      <c r="AS16" s="11"/>
    </row>
    <row r="17" spans="1:45" s="7" customFormat="1" ht="12.75" customHeight="1" x14ac:dyDescent="0.2">
      <c r="A17" s="6" t="s">
        <v>21</v>
      </c>
      <c r="C17" s="6" t="s">
        <v>15</v>
      </c>
      <c r="E17" s="8">
        <v>5538420</v>
      </c>
      <c r="F17" s="11"/>
      <c r="G17" s="8">
        <v>8751701</v>
      </c>
      <c r="H17" s="11"/>
      <c r="I17" s="8">
        <v>1439019</v>
      </c>
      <c r="J17" s="11"/>
      <c r="K17" s="8">
        <v>0</v>
      </c>
      <c r="L17" s="11"/>
      <c r="M17" s="8">
        <v>2235594</v>
      </c>
      <c r="N17" s="11"/>
      <c r="O17" s="8">
        <v>1272269</v>
      </c>
      <c r="P17" s="11"/>
      <c r="Q17" s="8">
        <v>8587</v>
      </c>
      <c r="R17" s="11"/>
      <c r="S17" s="8">
        <v>3380270</v>
      </c>
      <c r="T17" s="11"/>
      <c r="U17" s="8">
        <v>0</v>
      </c>
      <c r="V17" s="11"/>
      <c r="W17" s="11"/>
      <c r="X17" s="6"/>
      <c r="Z17" s="6"/>
      <c r="AA17" s="6"/>
      <c r="AB17" s="8">
        <v>2051057</v>
      </c>
      <c r="AC17" s="20"/>
      <c r="AD17" s="8">
        <v>2380527</v>
      </c>
      <c r="AE17" s="20"/>
      <c r="AF17" s="8">
        <v>205380</v>
      </c>
      <c r="AG17" s="20"/>
      <c r="AH17" s="11">
        <f t="shared" si="1"/>
        <v>27262824</v>
      </c>
      <c r="AI17" s="11"/>
      <c r="AJ17" s="11">
        <v>0</v>
      </c>
      <c r="AK17" s="11"/>
      <c r="AL17" s="8">
        <f>2656706+8384852+10874443</f>
        <v>21916001</v>
      </c>
      <c r="AM17" s="8"/>
      <c r="AN17" s="8">
        <v>-4479379</v>
      </c>
      <c r="AO17" s="8"/>
      <c r="AP17" s="8">
        <v>0</v>
      </c>
      <c r="AQ17" s="8"/>
      <c r="AR17" s="8">
        <f>+'GVFund Rev'!U17+'GVFund Rev'!W17-'GVFund Exp'!AH17-'GVFund Exp'!AL17+AJ17+AN17+AP17-'GV Fund BS'!W17</f>
        <v>0</v>
      </c>
      <c r="AS17" s="11"/>
    </row>
    <row r="18" spans="1:45" s="7" customFormat="1" ht="12.75" customHeight="1" x14ac:dyDescent="0.2">
      <c r="A18" s="6" t="s">
        <v>22</v>
      </c>
      <c r="C18" s="6" t="s">
        <v>15</v>
      </c>
      <c r="E18" s="8">
        <v>2553332</v>
      </c>
      <c r="F18" s="11"/>
      <c r="G18" s="8">
        <v>8375212</v>
      </c>
      <c r="H18" s="11"/>
      <c r="I18" s="8">
        <v>482536</v>
      </c>
      <c r="J18" s="11"/>
      <c r="K18" s="8">
        <v>150834</v>
      </c>
      <c r="L18" s="11"/>
      <c r="M18" s="8">
        <v>4456045</v>
      </c>
      <c r="N18" s="11"/>
      <c r="O18" s="8">
        <v>917967</v>
      </c>
      <c r="P18" s="11"/>
      <c r="Q18" s="8">
        <v>388614</v>
      </c>
      <c r="R18" s="11"/>
      <c r="S18" s="8">
        <v>508078</v>
      </c>
      <c r="T18" s="11"/>
      <c r="U18" s="8">
        <v>0</v>
      </c>
      <c r="V18" s="11"/>
      <c r="W18" s="11"/>
      <c r="X18" s="6"/>
      <c r="Z18" s="6"/>
      <c r="AA18" s="6"/>
      <c r="AB18" s="8">
        <v>1136937</v>
      </c>
      <c r="AC18" s="20"/>
      <c r="AD18" s="8">
        <v>462746</v>
      </c>
      <c r="AE18" s="20"/>
      <c r="AF18" s="8">
        <v>20069</v>
      </c>
      <c r="AG18" s="20"/>
      <c r="AH18" s="11">
        <f t="shared" ref="AH18" si="2">SUM(E18:AF18)</f>
        <v>19452370</v>
      </c>
      <c r="AI18" s="11"/>
      <c r="AJ18" s="11">
        <v>0</v>
      </c>
      <c r="AK18" s="11"/>
      <c r="AL18" s="8">
        <f>756053+1722191</f>
        <v>2478244</v>
      </c>
      <c r="AM18" s="8"/>
      <c r="AN18" s="8">
        <v>11495472</v>
      </c>
      <c r="AO18" s="8"/>
      <c r="AP18" s="8">
        <v>0</v>
      </c>
      <c r="AQ18" s="8"/>
      <c r="AR18" s="8">
        <f>+'GVFund Rev'!U18+'GVFund Rev'!W18-'GVFund Exp'!AH18-'GVFund Exp'!AL18+AJ18+AN18+AP18-'GV Fund BS'!W18</f>
        <v>0</v>
      </c>
      <c r="AS18" s="11"/>
    </row>
    <row r="19" spans="1:45" s="7" customFormat="1" ht="12.75" customHeight="1" x14ac:dyDescent="0.2">
      <c r="A19" s="6" t="s">
        <v>23</v>
      </c>
      <c r="C19" s="6" t="s">
        <v>11</v>
      </c>
      <c r="E19" s="8">
        <v>4075595</v>
      </c>
      <c r="F19" s="11"/>
      <c r="G19" s="8">
        <v>9856203</v>
      </c>
      <c r="H19" s="11"/>
      <c r="I19" s="8">
        <v>2040029</v>
      </c>
      <c r="J19" s="11"/>
      <c r="K19" s="8">
        <v>0</v>
      </c>
      <c r="L19" s="11"/>
      <c r="M19" s="8">
        <v>1336031</v>
      </c>
      <c r="N19" s="11"/>
      <c r="O19" s="8">
        <v>1126958</v>
      </c>
      <c r="P19" s="11"/>
      <c r="Q19" s="8">
        <v>0</v>
      </c>
      <c r="R19" s="11"/>
      <c r="S19" s="8">
        <v>1809875</v>
      </c>
      <c r="T19" s="11"/>
      <c r="U19" s="8">
        <v>0</v>
      </c>
      <c r="V19" s="11"/>
      <c r="W19" s="11"/>
      <c r="X19" s="6"/>
      <c r="Z19" s="6"/>
      <c r="AA19" s="6"/>
      <c r="AB19" s="8">
        <v>1135496</v>
      </c>
      <c r="AC19" s="20"/>
      <c r="AD19" s="8">
        <v>182083</v>
      </c>
      <c r="AE19" s="20"/>
      <c r="AF19" s="8">
        <v>0</v>
      </c>
      <c r="AG19" s="20"/>
      <c r="AH19" s="11">
        <f t="shared" si="1"/>
        <v>21562270</v>
      </c>
      <c r="AI19" s="11"/>
      <c r="AJ19" s="11">
        <v>0</v>
      </c>
      <c r="AK19" s="11"/>
      <c r="AL19" s="8">
        <v>1277944</v>
      </c>
      <c r="AM19" s="8"/>
      <c r="AN19" s="8">
        <v>7767677</v>
      </c>
      <c r="AO19" s="8"/>
      <c r="AP19" s="8">
        <v>0</v>
      </c>
      <c r="AQ19" s="8"/>
      <c r="AR19" s="8">
        <f>+'GVFund Rev'!U19+'GVFund Rev'!W19-'GVFund Exp'!AH19-'GVFund Exp'!AL19+AJ19+AN19+AP19-'GV Fund BS'!W19</f>
        <v>0</v>
      </c>
      <c r="AS19" s="11"/>
    </row>
    <row r="20" spans="1:45" s="7" customFormat="1" ht="12.75" customHeight="1" x14ac:dyDescent="0.2">
      <c r="A20" s="6" t="s">
        <v>24</v>
      </c>
      <c r="C20" s="6" t="s">
        <v>25</v>
      </c>
      <c r="E20" s="8">
        <v>2814480</v>
      </c>
      <c r="F20" s="11"/>
      <c r="G20" s="8">
        <v>6725317</v>
      </c>
      <c r="H20" s="11"/>
      <c r="I20" s="8">
        <v>603238</v>
      </c>
      <c r="J20" s="11"/>
      <c r="K20" s="8">
        <v>254169</v>
      </c>
      <c r="L20" s="11"/>
      <c r="M20" s="8">
        <v>1925943</v>
      </c>
      <c r="N20" s="11"/>
      <c r="O20" s="8">
        <v>867815</v>
      </c>
      <c r="P20" s="11"/>
      <c r="Q20" s="8">
        <v>1819464</v>
      </c>
      <c r="R20" s="11"/>
      <c r="S20" s="8">
        <v>1201221</v>
      </c>
      <c r="T20" s="11"/>
      <c r="U20" s="8">
        <v>0</v>
      </c>
      <c r="V20" s="11"/>
      <c r="W20" s="11"/>
      <c r="X20" s="6"/>
      <c r="Z20" s="6"/>
      <c r="AA20" s="6"/>
      <c r="AB20" s="8">
        <v>1395000</v>
      </c>
      <c r="AC20" s="20"/>
      <c r="AD20" s="8">
        <v>354572</v>
      </c>
      <c r="AE20" s="20"/>
      <c r="AF20" s="8">
        <v>11966</v>
      </c>
      <c r="AG20" s="20"/>
      <c r="AH20" s="11">
        <f t="shared" si="1"/>
        <v>17973185</v>
      </c>
      <c r="AI20" s="11"/>
      <c r="AJ20" s="11">
        <v>0</v>
      </c>
      <c r="AK20" s="11"/>
      <c r="AL20" s="8">
        <f>3664886+1281000</f>
        <v>4945886</v>
      </c>
      <c r="AM20" s="8">
        <v>11228397</v>
      </c>
      <c r="AN20" s="8">
        <v>11228397</v>
      </c>
      <c r="AO20" s="8"/>
      <c r="AP20" s="8">
        <v>0</v>
      </c>
      <c r="AQ20" s="8"/>
      <c r="AR20" s="8">
        <f>+'GVFund Rev'!U20+'GVFund Rev'!W20-'GVFund Exp'!AH20-'GVFund Exp'!AL20+AJ20+AN20+AP20-'GV Fund BS'!W20</f>
        <v>0</v>
      </c>
      <c r="AS20" s="11"/>
    </row>
    <row r="21" spans="1:45" s="7" customFormat="1" ht="12.75" customHeight="1" x14ac:dyDescent="0.2">
      <c r="A21" s="6" t="s">
        <v>26</v>
      </c>
      <c r="C21" s="6" t="s">
        <v>25</v>
      </c>
      <c r="E21" s="8">
        <v>4711020</v>
      </c>
      <c r="F21" s="11"/>
      <c r="G21" s="8">
        <f>8247989+7164341</f>
        <v>15412330</v>
      </c>
      <c r="H21" s="11"/>
      <c r="I21" s="8">
        <v>946654</v>
      </c>
      <c r="J21" s="11"/>
      <c r="K21" s="8">
        <v>578073</v>
      </c>
      <c r="L21" s="11"/>
      <c r="M21" s="8">
        <v>9033212</v>
      </c>
      <c r="N21" s="11"/>
      <c r="O21" s="8">
        <v>2428076</v>
      </c>
      <c r="P21" s="11"/>
      <c r="Q21" s="8">
        <v>0</v>
      </c>
      <c r="R21" s="11"/>
      <c r="S21" s="8">
        <v>3769159</v>
      </c>
      <c r="T21" s="11"/>
      <c r="U21" s="8">
        <v>0</v>
      </c>
      <c r="V21" s="11"/>
      <c r="W21" s="11"/>
      <c r="X21" s="6"/>
      <c r="Z21" s="6"/>
      <c r="AA21" s="6"/>
      <c r="AB21" s="8">
        <v>1710000</v>
      </c>
      <c r="AC21" s="20"/>
      <c r="AD21" s="8">
        <v>601636</v>
      </c>
      <c r="AE21" s="20"/>
      <c r="AF21" s="8">
        <v>112808</v>
      </c>
      <c r="AG21" s="20"/>
      <c r="AH21" s="11">
        <f t="shared" si="1"/>
        <v>39302968</v>
      </c>
      <c r="AI21" s="11"/>
      <c r="AJ21" s="11">
        <v>0</v>
      </c>
      <c r="AK21" s="11"/>
      <c r="AL21" s="8">
        <f>6427283+2650000</f>
        <v>9077283</v>
      </c>
      <c r="AM21" s="8"/>
      <c r="AN21" s="8">
        <v>29129448</v>
      </c>
      <c r="AO21" s="8"/>
      <c r="AP21" s="8">
        <v>0</v>
      </c>
      <c r="AQ21" s="8"/>
      <c r="AR21" s="8">
        <f>+'GVFund Rev'!U21+'GVFund Rev'!W21-'GVFund Exp'!AH21-'GVFund Exp'!AL21+AJ21+AN21+AP21-'GV Fund BS'!W21</f>
        <v>0</v>
      </c>
      <c r="AS21" s="11"/>
    </row>
    <row r="22" spans="1:45" s="7" customFormat="1" ht="12.75" customHeight="1" x14ac:dyDescent="0.2">
      <c r="A22" s="6" t="s">
        <v>27</v>
      </c>
      <c r="C22" s="6" t="s">
        <v>28</v>
      </c>
      <c r="E22" s="8">
        <v>2258006</v>
      </c>
      <c r="F22" s="11"/>
      <c r="G22" s="8">
        <v>8104936</v>
      </c>
      <c r="H22" s="11"/>
      <c r="I22" s="8">
        <v>612107</v>
      </c>
      <c r="J22" s="11"/>
      <c r="K22" s="8">
        <v>141572</v>
      </c>
      <c r="L22" s="11"/>
      <c r="M22" s="8">
        <v>6087460</v>
      </c>
      <c r="N22" s="11"/>
      <c r="O22" s="8">
        <v>1670932</v>
      </c>
      <c r="P22" s="11"/>
      <c r="Q22" s="8">
        <v>122933</v>
      </c>
      <c r="R22" s="11"/>
      <c r="S22" s="8">
        <v>2676786</v>
      </c>
      <c r="T22" s="11"/>
      <c r="U22" s="8">
        <v>0</v>
      </c>
      <c r="V22" s="11"/>
      <c r="W22" s="11"/>
      <c r="X22" s="6"/>
      <c r="Z22" s="6"/>
      <c r="AA22" s="6"/>
      <c r="AB22" s="8">
        <v>889309</v>
      </c>
      <c r="AC22" s="20"/>
      <c r="AD22" s="8">
        <v>540453</v>
      </c>
      <c r="AE22" s="20"/>
      <c r="AF22" s="8">
        <v>0</v>
      </c>
      <c r="AG22" s="20"/>
      <c r="AH22" s="11">
        <f t="shared" si="1"/>
        <v>23104494</v>
      </c>
      <c r="AI22" s="11"/>
      <c r="AJ22" s="11">
        <v>0</v>
      </c>
      <c r="AK22" s="11"/>
      <c r="AL22" s="8">
        <v>1139310</v>
      </c>
      <c r="AM22" s="8"/>
      <c r="AN22" s="8">
        <v>9262196</v>
      </c>
      <c r="AO22" s="8"/>
      <c r="AP22" s="8">
        <v>0</v>
      </c>
      <c r="AQ22" s="8"/>
      <c r="AR22" s="8">
        <f>+'GVFund Rev'!U22+'GVFund Rev'!W22-'GVFund Exp'!AH22-'GVFund Exp'!AL22+AJ22+AN22+AP22-'GV Fund BS'!W22</f>
        <v>0</v>
      </c>
      <c r="AS22" s="11"/>
    </row>
    <row r="23" spans="1:45" s="7" customFormat="1" ht="12.75" customHeight="1" x14ac:dyDescent="0.2">
      <c r="A23" s="6" t="s">
        <v>29</v>
      </c>
      <c r="C23" s="6" t="s">
        <v>25</v>
      </c>
      <c r="E23" s="8">
        <v>5033052</v>
      </c>
      <c r="F23" s="11"/>
      <c r="G23" s="8">
        <f>5471831+3897559</f>
        <v>9369390</v>
      </c>
      <c r="H23" s="11"/>
      <c r="I23" s="8">
        <v>852251</v>
      </c>
      <c r="J23" s="11"/>
      <c r="K23" s="8">
        <v>179563</v>
      </c>
      <c r="L23" s="11"/>
      <c r="M23" s="8">
        <v>2425410</v>
      </c>
      <c r="N23" s="11"/>
      <c r="O23" s="8">
        <v>1265328</v>
      </c>
      <c r="P23" s="11"/>
      <c r="Q23" s="8">
        <v>1015825</v>
      </c>
      <c r="R23" s="11"/>
      <c r="S23" s="8">
        <v>473374</v>
      </c>
      <c r="T23" s="11"/>
      <c r="U23" s="8">
        <v>0</v>
      </c>
      <c r="V23" s="11"/>
      <c r="W23" s="11"/>
      <c r="X23" s="6"/>
      <c r="Z23" s="6"/>
      <c r="AA23" s="6"/>
      <c r="AB23" s="8">
        <v>899520</v>
      </c>
      <c r="AC23" s="20"/>
      <c r="AD23" s="8">
        <v>482024</v>
      </c>
      <c r="AE23" s="20"/>
      <c r="AF23" s="8">
        <v>0</v>
      </c>
      <c r="AG23" s="20"/>
      <c r="AH23" s="11">
        <f t="shared" si="1"/>
        <v>21995737</v>
      </c>
      <c r="AI23" s="11"/>
      <c r="AJ23" s="11">
        <v>0</v>
      </c>
      <c r="AK23" s="11"/>
      <c r="AL23" s="8">
        <v>3910767</v>
      </c>
      <c r="AM23" s="8"/>
      <c r="AN23" s="8">
        <v>14719913</v>
      </c>
      <c r="AO23" s="8"/>
      <c r="AP23" s="8">
        <v>0</v>
      </c>
      <c r="AQ23" s="8"/>
      <c r="AR23" s="8">
        <f>+'GVFund Rev'!U23+'GVFund Rev'!W23-'GVFund Exp'!AH23-'GVFund Exp'!AL23+AJ23+AN23+AP23-'GV Fund BS'!W23</f>
        <v>0</v>
      </c>
      <c r="AS23" s="11"/>
    </row>
    <row r="24" spans="1:45" s="7" customFormat="1" ht="12.75" customHeight="1" x14ac:dyDescent="0.2">
      <c r="A24" s="6" t="s">
        <v>30</v>
      </c>
      <c r="C24" s="6" t="s">
        <v>25</v>
      </c>
      <c r="E24" s="8">
        <v>3732815</v>
      </c>
      <c r="F24" s="11"/>
      <c r="G24" s="8">
        <v>9876177</v>
      </c>
      <c r="H24" s="11"/>
      <c r="I24" s="8">
        <v>455979</v>
      </c>
      <c r="J24" s="11"/>
      <c r="K24" s="8">
        <v>362708</v>
      </c>
      <c r="L24" s="11"/>
      <c r="M24" s="8">
        <v>1167382</v>
      </c>
      <c r="N24" s="11"/>
      <c r="O24" s="8">
        <v>1302707</v>
      </c>
      <c r="P24" s="11"/>
      <c r="Q24" s="8">
        <v>667847</v>
      </c>
      <c r="R24" s="11"/>
      <c r="S24" s="8">
        <v>280902</v>
      </c>
      <c r="T24" s="11"/>
      <c r="U24" s="8">
        <v>0</v>
      </c>
      <c r="V24" s="11"/>
      <c r="W24" s="11"/>
      <c r="X24" s="6"/>
      <c r="Z24" s="6"/>
      <c r="AA24" s="6"/>
      <c r="AB24" s="8">
        <v>842480</v>
      </c>
      <c r="AC24" s="20"/>
      <c r="AD24" s="8">
        <v>124769</v>
      </c>
      <c r="AE24" s="20"/>
      <c r="AF24" s="8">
        <v>0</v>
      </c>
      <c r="AG24" s="20"/>
      <c r="AH24" s="11">
        <f t="shared" si="1"/>
        <v>18813766</v>
      </c>
      <c r="AI24" s="11"/>
      <c r="AJ24" s="11">
        <v>0</v>
      </c>
      <c r="AK24" s="11"/>
      <c r="AL24" s="8">
        <v>4468812</v>
      </c>
      <c r="AM24" s="8"/>
      <c r="AN24" s="8">
        <v>4843007</v>
      </c>
      <c r="AO24" s="8"/>
      <c r="AP24" s="8">
        <v>0</v>
      </c>
      <c r="AQ24" s="8"/>
      <c r="AR24" s="8">
        <f>+'GVFund Rev'!U24+'GVFund Rev'!W24-'GVFund Exp'!AH24-'GVFund Exp'!AL24+AJ24+AN24+AP24-'GV Fund BS'!W24</f>
        <v>0</v>
      </c>
      <c r="AS24" s="11"/>
    </row>
    <row r="25" spans="1:45" s="7" customFormat="1" ht="12.75" customHeight="1" x14ac:dyDescent="0.2">
      <c r="A25" s="6" t="s">
        <v>32</v>
      </c>
      <c r="C25" s="6" t="s">
        <v>28</v>
      </c>
      <c r="E25" s="8">
        <v>375515</v>
      </c>
      <c r="F25" s="11"/>
      <c r="G25" s="8">
        <v>2615903</v>
      </c>
      <c r="H25" s="11"/>
      <c r="I25" s="8">
        <v>79144</v>
      </c>
      <c r="J25" s="11"/>
      <c r="K25" s="8">
        <v>0</v>
      </c>
      <c r="L25" s="11"/>
      <c r="M25" s="8">
        <v>313537</v>
      </c>
      <c r="N25" s="11"/>
      <c r="O25" s="8">
        <v>10433</v>
      </c>
      <c r="P25" s="11"/>
      <c r="Q25" s="8">
        <v>0</v>
      </c>
      <c r="R25" s="11"/>
      <c r="S25" s="8">
        <v>820289</v>
      </c>
      <c r="T25" s="11"/>
      <c r="U25" s="8">
        <v>0</v>
      </c>
      <c r="V25" s="11"/>
      <c r="W25" s="11"/>
      <c r="X25" s="6"/>
      <c r="Z25" s="6"/>
      <c r="AA25" s="6"/>
      <c r="AB25" s="8">
        <v>0</v>
      </c>
      <c r="AC25" s="20"/>
      <c r="AD25" s="8">
        <v>0</v>
      </c>
      <c r="AE25" s="20"/>
      <c r="AF25" s="8">
        <v>0</v>
      </c>
      <c r="AG25" s="20"/>
      <c r="AH25" s="11">
        <f t="shared" si="1"/>
        <v>4214821</v>
      </c>
      <c r="AI25" s="11"/>
      <c r="AJ25" s="11">
        <v>0</v>
      </c>
      <c r="AK25" s="11"/>
      <c r="AL25" s="8">
        <v>650000</v>
      </c>
      <c r="AM25" s="8"/>
      <c r="AN25" s="8">
        <v>3207161</v>
      </c>
      <c r="AO25" s="8"/>
      <c r="AP25" s="8">
        <v>0</v>
      </c>
      <c r="AQ25" s="8"/>
      <c r="AR25" s="8">
        <f>+'GVFund Rev'!U25+'GVFund Rev'!W25-'GVFund Exp'!AH25-'GVFund Exp'!AL25+AJ25+AN25+AP25-'GV Fund BS'!W25</f>
        <v>0</v>
      </c>
      <c r="AS25" s="11"/>
    </row>
    <row r="26" spans="1:45" s="7" customFormat="1" ht="12.75" customHeight="1" x14ac:dyDescent="0.2">
      <c r="A26" s="6" t="s">
        <v>33</v>
      </c>
      <c r="C26" s="6" t="s">
        <v>34</v>
      </c>
      <c r="E26" s="8">
        <f>1344529+653481</f>
        <v>1998010</v>
      </c>
      <c r="F26" s="11"/>
      <c r="G26" s="8">
        <v>3820815</v>
      </c>
      <c r="H26" s="11"/>
      <c r="I26" s="8">
        <v>478024</v>
      </c>
      <c r="J26" s="11"/>
      <c r="K26" s="8">
        <v>153867</v>
      </c>
      <c r="L26" s="11"/>
      <c r="M26" s="8">
        <v>795855</v>
      </c>
      <c r="N26" s="11"/>
      <c r="O26" s="8">
        <v>545387</v>
      </c>
      <c r="P26" s="11"/>
      <c r="Q26" s="8">
        <v>149155</v>
      </c>
      <c r="R26" s="11"/>
      <c r="S26" s="8">
        <v>1593518</v>
      </c>
      <c r="T26" s="11"/>
      <c r="U26" s="8">
        <v>0</v>
      </c>
      <c r="V26" s="11"/>
      <c r="W26" s="11"/>
      <c r="X26" s="6"/>
      <c r="Z26" s="6"/>
      <c r="AA26" s="6"/>
      <c r="AB26" s="8">
        <v>145243</v>
      </c>
      <c r="AC26" s="20"/>
      <c r="AD26" s="8">
        <v>34627</v>
      </c>
      <c r="AE26" s="20"/>
      <c r="AF26" s="8">
        <v>0</v>
      </c>
      <c r="AG26" s="20"/>
      <c r="AH26" s="11">
        <f t="shared" si="1"/>
        <v>9714501</v>
      </c>
      <c r="AI26" s="11"/>
      <c r="AJ26" s="11">
        <v>0</v>
      </c>
      <c r="AK26" s="11"/>
      <c r="AL26" s="8">
        <v>393295</v>
      </c>
      <c r="AM26" s="8"/>
      <c r="AN26" s="8">
        <v>6130146</v>
      </c>
      <c r="AO26" s="8"/>
      <c r="AP26" s="8">
        <v>0</v>
      </c>
      <c r="AQ26" s="8"/>
      <c r="AR26" s="8">
        <f>+'GVFund Rev'!U26+'GVFund Rev'!W26-'GVFund Exp'!AH26-'GVFund Exp'!AL26+AJ26+AN26+AP26-'GV Fund BS'!W26</f>
        <v>0</v>
      </c>
      <c r="AS26" s="11"/>
    </row>
    <row r="27" spans="1:45" s="7" customFormat="1" ht="12.75" customHeight="1" x14ac:dyDescent="0.2">
      <c r="A27" s="6" t="s">
        <v>35</v>
      </c>
      <c r="C27" s="6" t="s">
        <v>36</v>
      </c>
      <c r="E27" s="8">
        <f>1346379+310767</f>
        <v>1657146</v>
      </c>
      <c r="F27" s="11"/>
      <c r="G27" s="8">
        <v>2485199</v>
      </c>
      <c r="H27" s="11"/>
      <c r="I27" s="8">
        <v>123078</v>
      </c>
      <c r="J27" s="11"/>
      <c r="K27" s="8">
        <v>126998</v>
      </c>
      <c r="L27" s="11"/>
      <c r="M27" s="8">
        <v>1259286</v>
      </c>
      <c r="N27" s="11"/>
      <c r="O27" s="8">
        <v>511362</v>
      </c>
      <c r="P27" s="11"/>
      <c r="Q27" s="8">
        <v>0</v>
      </c>
      <c r="R27" s="11"/>
      <c r="S27" s="8">
        <v>0</v>
      </c>
      <c r="T27" s="11"/>
      <c r="U27" s="8">
        <v>0</v>
      </c>
      <c r="V27" s="11"/>
      <c r="W27" s="11"/>
      <c r="X27" s="6"/>
      <c r="Z27" s="6"/>
      <c r="AA27" s="6"/>
      <c r="AB27" s="8">
        <v>1211461</v>
      </c>
      <c r="AC27" s="20"/>
      <c r="AD27" s="8">
        <v>76726</v>
      </c>
      <c r="AE27" s="20"/>
      <c r="AF27" s="8">
        <v>0</v>
      </c>
      <c r="AG27" s="20"/>
      <c r="AH27" s="11">
        <f t="shared" si="1"/>
        <v>7451256</v>
      </c>
      <c r="AI27" s="11"/>
      <c r="AJ27" s="11">
        <v>0</v>
      </c>
      <c r="AK27" s="11"/>
      <c r="AL27" s="8">
        <v>1164343</v>
      </c>
      <c r="AM27" s="8"/>
      <c r="AN27" s="8">
        <v>5478744</v>
      </c>
      <c r="AO27" s="8"/>
      <c r="AP27" s="8">
        <v>-7722</v>
      </c>
      <c r="AQ27" s="8"/>
      <c r="AR27" s="8">
        <f>+'GVFund Rev'!U27+'GVFund Rev'!W27-'GVFund Exp'!AH27-'GVFund Exp'!AL27+AJ27+AN27+AP27-'GV Fund BS'!W27</f>
        <v>0</v>
      </c>
      <c r="AS27" s="11"/>
    </row>
    <row r="28" spans="1:45" s="7" customFormat="1" ht="12.75" customHeight="1" x14ac:dyDescent="0.2">
      <c r="A28" s="6" t="s">
        <v>37</v>
      </c>
      <c r="C28" s="6" t="s">
        <v>38</v>
      </c>
      <c r="E28" s="8">
        <v>558490</v>
      </c>
      <c r="F28" s="11"/>
      <c r="G28" s="8">
        <f>1141053+200527</f>
        <v>1341580</v>
      </c>
      <c r="H28" s="11"/>
      <c r="I28" s="8">
        <v>0</v>
      </c>
      <c r="J28" s="11"/>
      <c r="K28" s="8">
        <v>695542</v>
      </c>
      <c r="L28" s="11"/>
      <c r="M28" s="8">
        <v>585532</v>
      </c>
      <c r="N28" s="11"/>
      <c r="O28" s="8">
        <f>137902+104819+78554</f>
        <v>321275</v>
      </c>
      <c r="P28" s="11"/>
      <c r="Q28" s="8">
        <v>0</v>
      </c>
      <c r="R28" s="11"/>
      <c r="S28" s="8">
        <v>221314</v>
      </c>
      <c r="T28" s="11"/>
      <c r="U28" s="8">
        <v>0</v>
      </c>
      <c r="V28" s="11"/>
      <c r="W28" s="11"/>
      <c r="X28" s="6"/>
      <c r="Z28" s="6"/>
      <c r="AA28" s="6"/>
      <c r="AB28" s="8">
        <v>142150</v>
      </c>
      <c r="AC28" s="20"/>
      <c r="AD28" s="8">
        <v>34359</v>
      </c>
      <c r="AE28" s="20"/>
      <c r="AF28" s="8">
        <v>0</v>
      </c>
      <c r="AG28" s="20"/>
      <c r="AH28" s="11">
        <f t="shared" si="1"/>
        <v>3900242</v>
      </c>
      <c r="AI28" s="11"/>
      <c r="AJ28" s="11">
        <v>0</v>
      </c>
      <c r="AK28" s="11"/>
      <c r="AL28" s="8">
        <v>80000</v>
      </c>
      <c r="AM28" s="8"/>
      <c r="AN28" s="8">
        <v>1907441</v>
      </c>
      <c r="AO28" s="8"/>
      <c r="AP28" s="8">
        <v>0</v>
      </c>
      <c r="AQ28" s="8"/>
      <c r="AR28" s="8">
        <f>+'GVFund Rev'!U28+'GVFund Rev'!W28-'GVFund Exp'!AH28-'GVFund Exp'!AL28+AJ28+AN28+AP28-'GV Fund BS'!W28</f>
        <v>0</v>
      </c>
      <c r="AS28" s="11"/>
    </row>
    <row r="29" spans="1:45" s="7" customFormat="1" ht="12.75" customHeight="1" x14ac:dyDescent="0.2">
      <c r="A29" s="6" t="s">
        <v>39</v>
      </c>
      <c r="C29" s="6" t="s">
        <v>25</v>
      </c>
      <c r="E29" s="8">
        <v>6767192</v>
      </c>
      <c r="F29" s="11"/>
      <c r="G29" s="8">
        <v>6431807</v>
      </c>
      <c r="H29" s="11"/>
      <c r="I29" s="8">
        <v>462267</v>
      </c>
      <c r="J29" s="11"/>
      <c r="K29" s="8">
        <v>155326</v>
      </c>
      <c r="L29" s="11"/>
      <c r="M29" s="8">
        <v>799062</v>
      </c>
      <c r="N29" s="11"/>
      <c r="O29" s="8">
        <v>1781720</v>
      </c>
      <c r="P29" s="11"/>
      <c r="Q29" s="8">
        <v>1144731</v>
      </c>
      <c r="R29" s="11"/>
      <c r="S29" s="8">
        <v>3479757</v>
      </c>
      <c r="T29" s="11"/>
      <c r="U29" s="8">
        <v>0</v>
      </c>
      <c r="V29" s="11"/>
      <c r="W29" s="11"/>
      <c r="X29" s="6"/>
      <c r="Z29" s="6"/>
      <c r="AA29" s="6"/>
      <c r="AB29" s="8">
        <v>6309664</v>
      </c>
      <c r="AC29" s="20"/>
      <c r="AD29" s="8">
        <v>480758</v>
      </c>
      <c r="AE29" s="20"/>
      <c r="AF29" s="8">
        <v>0</v>
      </c>
      <c r="AG29" s="20"/>
      <c r="AH29" s="11">
        <f t="shared" si="1"/>
        <v>27812284</v>
      </c>
      <c r="AI29" s="11"/>
      <c r="AJ29" s="11">
        <v>0</v>
      </c>
      <c r="AK29" s="11"/>
      <c r="AL29" s="8">
        <v>3249224</v>
      </c>
      <c r="AM29" s="8"/>
      <c r="AN29" s="8">
        <v>10562028</v>
      </c>
      <c r="AO29" s="8"/>
      <c r="AP29" s="8">
        <v>0</v>
      </c>
      <c r="AQ29" s="8"/>
      <c r="AR29" s="8">
        <f>+'GVFund Rev'!U29+'GVFund Rev'!W29-'GVFund Exp'!AH29-'GVFund Exp'!AL29+AJ29+AN29+AP29-'GV Fund BS'!W29</f>
        <v>0</v>
      </c>
      <c r="AS29" s="11"/>
    </row>
    <row r="30" spans="1:45" s="7" customFormat="1" ht="12.75" customHeight="1" x14ac:dyDescent="0.2">
      <c r="A30" s="6" t="s">
        <v>40</v>
      </c>
      <c r="C30" s="6" t="s">
        <v>41</v>
      </c>
      <c r="E30" s="8">
        <v>2879896</v>
      </c>
      <c r="F30" s="11"/>
      <c r="G30" s="8">
        <v>5937633</v>
      </c>
      <c r="H30" s="11"/>
      <c r="I30" s="8">
        <v>17180</v>
      </c>
      <c r="J30" s="11"/>
      <c r="K30" s="8">
        <v>80648</v>
      </c>
      <c r="L30" s="11"/>
      <c r="M30" s="8">
        <v>717910</v>
      </c>
      <c r="N30" s="11"/>
      <c r="O30" s="8">
        <v>1413412</v>
      </c>
      <c r="P30" s="11"/>
      <c r="Q30" s="8">
        <v>0</v>
      </c>
      <c r="R30" s="11"/>
      <c r="S30" s="8">
        <v>3434631</v>
      </c>
      <c r="T30" s="11"/>
      <c r="U30" s="8">
        <v>0</v>
      </c>
      <c r="V30" s="11"/>
      <c r="W30" s="11"/>
      <c r="X30" s="6"/>
      <c r="Z30" s="6"/>
      <c r="AA30" s="6"/>
      <c r="AB30" s="8">
        <v>1143742</v>
      </c>
      <c r="AC30" s="20"/>
      <c r="AD30" s="8">
        <v>702765</v>
      </c>
      <c r="AE30" s="20"/>
      <c r="AF30" s="8">
        <v>0</v>
      </c>
      <c r="AG30" s="20"/>
      <c r="AH30" s="11">
        <f t="shared" si="1"/>
        <v>16327817</v>
      </c>
      <c r="AI30" s="11"/>
      <c r="AJ30" s="11">
        <v>0</v>
      </c>
      <c r="AK30" s="11"/>
      <c r="AL30" s="8">
        <v>2043678</v>
      </c>
      <c r="AM30" s="8"/>
      <c r="AN30" s="8">
        <v>6952561</v>
      </c>
      <c r="AO30" s="8"/>
      <c r="AP30" s="8">
        <v>0</v>
      </c>
      <c r="AQ30" s="8"/>
      <c r="AR30" s="8">
        <f>+'GVFund Rev'!U30+'GVFund Rev'!W30-'GVFund Exp'!AH30-'GVFund Exp'!AL30+AJ30+AN30+AP30-'GV Fund BS'!W30</f>
        <v>0</v>
      </c>
      <c r="AS30" s="11"/>
    </row>
    <row r="31" spans="1:45" s="7" customFormat="1" ht="12.75" customHeight="1" x14ac:dyDescent="0.2">
      <c r="A31" s="6" t="s">
        <v>42</v>
      </c>
      <c r="C31" s="6" t="s">
        <v>43</v>
      </c>
      <c r="E31" s="8">
        <v>8465303</v>
      </c>
      <c r="F31" s="11"/>
      <c r="G31" s="8">
        <v>10945025</v>
      </c>
      <c r="H31" s="11"/>
      <c r="I31" s="8">
        <v>1464165</v>
      </c>
      <c r="J31" s="11"/>
      <c r="K31" s="8">
        <v>0</v>
      </c>
      <c r="L31" s="11"/>
      <c r="M31" s="8">
        <v>3833354</v>
      </c>
      <c r="N31" s="11"/>
      <c r="O31" s="8">
        <v>4199137</v>
      </c>
      <c r="P31" s="11"/>
      <c r="Q31" s="8">
        <v>0</v>
      </c>
      <c r="R31" s="11"/>
      <c r="S31" s="8">
        <v>4895275</v>
      </c>
      <c r="T31" s="11"/>
      <c r="U31" s="8">
        <v>0</v>
      </c>
      <c r="V31" s="11"/>
      <c r="W31" s="11"/>
      <c r="X31" s="6"/>
      <c r="Z31" s="6"/>
      <c r="AA31" s="6"/>
      <c r="AB31" s="8">
        <v>3559459</v>
      </c>
      <c r="AC31" s="20"/>
      <c r="AD31" s="8">
        <v>2168662</v>
      </c>
      <c r="AE31" s="20"/>
      <c r="AF31" s="8">
        <v>0</v>
      </c>
      <c r="AG31" s="20"/>
      <c r="AH31" s="11">
        <f t="shared" si="1"/>
        <v>39530380</v>
      </c>
      <c r="AI31" s="11"/>
      <c r="AJ31" s="11">
        <v>0</v>
      </c>
      <c r="AK31" s="11"/>
      <c r="AL31" s="8">
        <v>12442839</v>
      </c>
      <c r="AM31" s="8"/>
      <c r="AN31" s="8">
        <v>34977153</v>
      </c>
      <c r="AO31" s="8"/>
      <c r="AP31" s="8">
        <v>43664</v>
      </c>
      <c r="AQ31" s="8"/>
      <c r="AR31" s="8">
        <f>+'GVFund Rev'!U31+'GVFund Rev'!W31-'GVFund Exp'!AH31-'GVFund Exp'!AL31+AJ31+AN31+AP31-'GV Fund BS'!W31</f>
        <v>0</v>
      </c>
      <c r="AS31" s="11"/>
    </row>
    <row r="32" spans="1:45" s="7" customFormat="1" ht="12.75" customHeight="1" x14ac:dyDescent="0.2">
      <c r="A32" s="6" t="s">
        <v>44</v>
      </c>
      <c r="C32" s="6" t="s">
        <v>45</v>
      </c>
      <c r="E32" s="8">
        <f>1488699+3001647</f>
        <v>4490346</v>
      </c>
      <c r="F32" s="11"/>
      <c r="G32" s="8">
        <f>5283752+5162099+138726</f>
        <v>10584577</v>
      </c>
      <c r="H32" s="11"/>
      <c r="I32" s="8">
        <v>902936</v>
      </c>
      <c r="J32" s="11"/>
      <c r="K32" s="8">
        <v>76842</v>
      </c>
      <c r="L32" s="11"/>
      <c r="M32" s="8">
        <v>8796796</v>
      </c>
      <c r="N32" s="11"/>
      <c r="O32" s="8">
        <v>3302629</v>
      </c>
      <c r="P32" s="11"/>
      <c r="Q32" s="8">
        <v>616948</v>
      </c>
      <c r="R32" s="11"/>
      <c r="S32" s="8">
        <v>4819058</v>
      </c>
      <c r="T32" s="11"/>
      <c r="U32" s="8">
        <v>0</v>
      </c>
      <c r="V32" s="11"/>
      <c r="W32" s="11"/>
      <c r="X32" s="6"/>
      <c r="Z32" s="6"/>
      <c r="AA32" s="6"/>
      <c r="AB32" s="8">
        <v>5905348</v>
      </c>
      <c r="AC32" s="20"/>
      <c r="AD32" s="8">
        <v>975636</v>
      </c>
      <c r="AE32" s="20"/>
      <c r="AF32" s="8">
        <v>0</v>
      </c>
      <c r="AG32" s="20"/>
      <c r="AH32" s="11">
        <f t="shared" si="1"/>
        <v>40471116</v>
      </c>
      <c r="AI32" s="11"/>
      <c r="AJ32" s="11">
        <v>0</v>
      </c>
      <c r="AK32" s="11"/>
      <c r="AL32" s="8">
        <f>3804869+1714169</f>
        <v>5519038</v>
      </c>
      <c r="AM32" s="8"/>
      <c r="AN32" s="8">
        <v>14374123</v>
      </c>
      <c r="AO32" s="8"/>
      <c r="AP32" s="8">
        <v>0</v>
      </c>
      <c r="AQ32" s="8"/>
      <c r="AR32" s="8">
        <f>+'GVFund Rev'!U32+'GVFund Rev'!W32-'GVFund Exp'!AH32-'GVFund Exp'!AL32+AJ32+AN32+AP32-'GV Fund BS'!W32</f>
        <v>0</v>
      </c>
      <c r="AS32" s="11"/>
    </row>
    <row r="33" spans="1:45" s="7" customFormat="1" ht="12.75" customHeight="1" x14ac:dyDescent="0.2">
      <c r="A33" s="6" t="s">
        <v>46</v>
      </c>
      <c r="C33" s="6" t="s">
        <v>25</v>
      </c>
      <c r="E33" s="8">
        <f>5646837+109800</f>
        <v>5756637</v>
      </c>
      <c r="F33" s="11"/>
      <c r="G33" s="8">
        <f>4570485+2267257</f>
        <v>6837742</v>
      </c>
      <c r="H33" s="11"/>
      <c r="I33" s="8">
        <v>863860</v>
      </c>
      <c r="J33" s="11"/>
      <c r="K33" s="8">
        <v>880908</v>
      </c>
      <c r="L33" s="11"/>
      <c r="M33" s="8">
        <v>2872254</v>
      </c>
      <c r="N33" s="11"/>
      <c r="O33" s="8">
        <v>1803188</v>
      </c>
      <c r="P33" s="11"/>
      <c r="Q33" s="8">
        <v>1949493</v>
      </c>
      <c r="R33" s="11"/>
      <c r="S33" s="8">
        <v>3981464</v>
      </c>
      <c r="T33" s="11"/>
      <c r="U33" s="8">
        <v>0</v>
      </c>
      <c r="V33" s="11"/>
      <c r="W33" s="11"/>
      <c r="X33" s="6"/>
      <c r="Z33" s="6"/>
      <c r="AA33" s="6"/>
      <c r="AB33" s="8">
        <v>1278884</v>
      </c>
      <c r="AC33" s="20"/>
      <c r="AD33" s="8">
        <v>463528</v>
      </c>
      <c r="AE33" s="20"/>
      <c r="AF33" s="8">
        <v>118151</v>
      </c>
      <c r="AG33" s="20"/>
      <c r="AH33" s="11">
        <f t="shared" si="1"/>
        <v>26806109</v>
      </c>
      <c r="AI33" s="11"/>
      <c r="AJ33" s="11">
        <v>0</v>
      </c>
      <c r="AK33" s="11"/>
      <c r="AL33" s="8">
        <f>3599685+2277477</f>
        <v>5877162</v>
      </c>
      <c r="AM33" s="8"/>
      <c r="AN33" s="8">
        <v>13246505</v>
      </c>
      <c r="AO33" s="8"/>
      <c r="AP33" s="8">
        <v>0</v>
      </c>
      <c r="AQ33" s="8"/>
      <c r="AR33" s="8">
        <f>+'GVFund Rev'!U33+'GVFund Rev'!W33-'GVFund Exp'!AH33-'GVFund Exp'!AL33+AJ33+AN33+AP33-'GV Fund BS'!W33</f>
        <v>0</v>
      </c>
      <c r="AS33" s="11"/>
    </row>
    <row r="34" spans="1:45" s="7" customFormat="1" ht="12.75" customHeight="1" x14ac:dyDescent="0.2">
      <c r="A34" s="6" t="s">
        <v>47</v>
      </c>
      <c r="C34" s="6" t="s">
        <v>25</v>
      </c>
      <c r="E34" s="8">
        <v>4270588</v>
      </c>
      <c r="F34" s="11"/>
      <c r="G34" s="8">
        <v>7284531</v>
      </c>
      <c r="H34" s="11"/>
      <c r="I34" s="8">
        <v>381043</v>
      </c>
      <c r="J34" s="11"/>
      <c r="K34" s="8">
        <v>339855</v>
      </c>
      <c r="L34" s="11"/>
      <c r="M34" s="8">
        <v>1447116</v>
      </c>
      <c r="N34" s="11"/>
      <c r="O34" s="8">
        <v>1027831</v>
      </c>
      <c r="P34" s="11"/>
      <c r="Q34" s="8">
        <v>945071</v>
      </c>
      <c r="R34" s="11"/>
      <c r="S34" s="8">
        <v>4354715</v>
      </c>
      <c r="T34" s="11"/>
      <c r="U34" s="8">
        <v>0</v>
      </c>
      <c r="V34" s="11"/>
      <c r="W34" s="11"/>
      <c r="X34" s="6"/>
      <c r="Z34" s="6"/>
      <c r="AA34" s="6"/>
      <c r="AB34" s="8">
        <v>1259270</v>
      </c>
      <c r="AC34" s="20"/>
      <c r="AD34" s="8">
        <v>313413</v>
      </c>
      <c r="AE34" s="20"/>
      <c r="AF34" s="8">
        <v>10176</v>
      </c>
      <c r="AG34" s="20"/>
      <c r="AH34" s="11">
        <f t="shared" si="1"/>
        <v>21633609</v>
      </c>
      <c r="AI34" s="11"/>
      <c r="AJ34" s="11">
        <v>0</v>
      </c>
      <c r="AK34" s="11"/>
      <c r="AL34" s="8">
        <f>1856682+628054</f>
        <v>2484736</v>
      </c>
      <c r="AM34" s="8"/>
      <c r="AN34" s="8">
        <v>7333810</v>
      </c>
      <c r="AO34" s="8"/>
      <c r="AP34" s="8">
        <v>0</v>
      </c>
      <c r="AQ34" s="8"/>
      <c r="AR34" s="8">
        <f>+'GVFund Rev'!U34+'GVFund Rev'!W34-'GVFund Exp'!AH34-'GVFund Exp'!AL34+AJ34+AN34+AP34-'GV Fund BS'!W34</f>
        <v>0</v>
      </c>
      <c r="AS34" s="11"/>
    </row>
    <row r="35" spans="1:45" s="7" customFormat="1" ht="12.75" customHeight="1" x14ac:dyDescent="0.2">
      <c r="A35" s="6" t="s">
        <v>48</v>
      </c>
      <c r="C35" s="6" t="s">
        <v>25</v>
      </c>
      <c r="E35" s="8">
        <v>5556723</v>
      </c>
      <c r="F35" s="11"/>
      <c r="G35" s="8">
        <f>7150077+3864111</f>
        <v>11014188</v>
      </c>
      <c r="H35" s="11"/>
      <c r="I35" s="8">
        <v>1037516</v>
      </c>
      <c r="J35" s="11"/>
      <c r="K35" s="8">
        <v>309741</v>
      </c>
      <c r="L35" s="11"/>
      <c r="M35" s="8">
        <v>4243551</v>
      </c>
      <c r="N35" s="11"/>
      <c r="O35" s="8">
        <v>2031832</v>
      </c>
      <c r="P35" s="11"/>
      <c r="Q35" s="8">
        <v>2820750</v>
      </c>
      <c r="R35" s="11"/>
      <c r="S35" s="8">
        <v>2968253</v>
      </c>
      <c r="T35" s="11"/>
      <c r="U35" s="8">
        <v>0</v>
      </c>
      <c r="V35" s="11"/>
      <c r="W35" s="11"/>
      <c r="X35" s="6"/>
      <c r="Z35" s="6"/>
      <c r="AA35" s="6"/>
      <c r="AB35" s="8">
        <v>388374</v>
      </c>
      <c r="AC35" s="20"/>
      <c r="AD35" s="8">
        <v>90704</v>
      </c>
      <c r="AE35" s="20"/>
      <c r="AF35" s="8">
        <v>2491</v>
      </c>
      <c r="AG35" s="20"/>
      <c r="AH35" s="11">
        <f t="shared" si="1"/>
        <v>30464123</v>
      </c>
      <c r="AI35" s="11"/>
      <c r="AJ35" s="11">
        <v>0</v>
      </c>
      <c r="AK35" s="11"/>
      <c r="AL35" s="8">
        <v>3534965</v>
      </c>
      <c r="AM35" s="8"/>
      <c r="AN35" s="8">
        <v>15421792</v>
      </c>
      <c r="AO35" s="8"/>
      <c r="AP35" s="8">
        <v>0</v>
      </c>
      <c r="AQ35" s="8"/>
      <c r="AR35" s="8">
        <f>+'GVFund Rev'!U35+'GVFund Rev'!W35-'GVFund Exp'!AH35-'GVFund Exp'!AL35+AJ35+AN35+AP35-'GV Fund BS'!W35</f>
        <v>0</v>
      </c>
      <c r="AS35" s="11"/>
    </row>
    <row r="36" spans="1:45" s="7" customFormat="1" ht="12.75" customHeight="1" x14ac:dyDescent="0.2">
      <c r="A36" s="6" t="s">
        <v>49</v>
      </c>
      <c r="C36" s="6" t="s">
        <v>25</v>
      </c>
      <c r="E36" s="8">
        <v>2008179</v>
      </c>
      <c r="F36" s="11"/>
      <c r="G36" s="8">
        <v>7628890</v>
      </c>
      <c r="H36" s="11"/>
      <c r="I36" s="8">
        <v>1353477</v>
      </c>
      <c r="J36" s="11"/>
      <c r="K36" s="8">
        <v>0</v>
      </c>
      <c r="L36" s="11"/>
      <c r="M36" s="8">
        <v>467538</v>
      </c>
      <c r="N36" s="11"/>
      <c r="O36" s="8">
        <v>1549473</v>
      </c>
      <c r="P36" s="11"/>
      <c r="Q36" s="8">
        <v>1816695</v>
      </c>
      <c r="R36" s="11"/>
      <c r="S36" s="8">
        <v>2445492</v>
      </c>
      <c r="T36" s="11"/>
      <c r="U36" s="8">
        <v>0</v>
      </c>
      <c r="V36" s="11"/>
      <c r="W36" s="11"/>
      <c r="X36" s="6"/>
      <c r="Z36" s="6"/>
      <c r="AA36" s="6"/>
      <c r="AB36" s="8">
        <v>894126</v>
      </c>
      <c r="AC36" s="20"/>
      <c r="AD36" s="8">
        <v>318324</v>
      </c>
      <c r="AE36" s="20"/>
      <c r="AF36" s="8">
        <v>0</v>
      </c>
      <c r="AG36" s="20"/>
      <c r="AH36" s="11">
        <f t="shared" si="1"/>
        <v>18482194</v>
      </c>
      <c r="AI36" s="11"/>
      <c r="AJ36" s="11">
        <v>0</v>
      </c>
      <c r="AK36" s="11"/>
      <c r="AL36" s="8">
        <v>3938711</v>
      </c>
      <c r="AM36" s="8"/>
      <c r="AN36" s="8">
        <v>15393142</v>
      </c>
      <c r="AO36" s="8"/>
      <c r="AP36" s="8">
        <v>0</v>
      </c>
      <c r="AQ36" s="8"/>
      <c r="AR36" s="8">
        <f>+'GVFund Rev'!U36+'GVFund Rev'!W36-'GVFund Exp'!AH36-'GVFund Exp'!AL36+AJ36+AN36+AP36-'GV Fund BS'!W36</f>
        <v>0</v>
      </c>
      <c r="AS36" s="11"/>
    </row>
    <row r="37" spans="1:45" s="7" customFormat="1" ht="12.75" customHeight="1" x14ac:dyDescent="0.2">
      <c r="A37" s="6" t="s">
        <v>458</v>
      </c>
      <c r="C37" s="6" t="s">
        <v>64</v>
      </c>
      <c r="E37" s="8">
        <v>992273</v>
      </c>
      <c r="F37" s="11"/>
      <c r="G37" s="8">
        <v>2126255</v>
      </c>
      <c r="H37" s="11"/>
      <c r="I37" s="8">
        <v>0</v>
      </c>
      <c r="J37" s="11"/>
      <c r="K37" s="8">
        <v>0</v>
      </c>
      <c r="L37" s="11"/>
      <c r="M37" s="8">
        <v>583782</v>
      </c>
      <c r="N37" s="11"/>
      <c r="O37" s="8">
        <v>132887</v>
      </c>
      <c r="P37" s="11"/>
      <c r="Q37" s="8">
        <v>0</v>
      </c>
      <c r="R37" s="11"/>
      <c r="S37" s="8">
        <v>760592</v>
      </c>
      <c r="T37" s="11"/>
      <c r="U37" s="8">
        <v>0</v>
      </c>
      <c r="V37" s="11"/>
      <c r="W37" s="11"/>
      <c r="X37" s="6"/>
      <c r="Z37" s="6"/>
      <c r="AA37" s="6"/>
      <c r="AB37" s="8">
        <v>523844</v>
      </c>
      <c r="AC37" s="20"/>
      <c r="AD37" s="8">
        <v>40836</v>
      </c>
      <c r="AE37" s="20"/>
      <c r="AF37" s="8">
        <v>1480</v>
      </c>
      <c r="AG37" s="20"/>
      <c r="AH37" s="11">
        <f t="shared" si="1"/>
        <v>5161949</v>
      </c>
      <c r="AI37" s="11"/>
      <c r="AJ37" s="11">
        <v>0</v>
      </c>
      <c r="AK37" s="11"/>
      <c r="AL37" s="8">
        <v>1100720</v>
      </c>
      <c r="AM37" s="8"/>
      <c r="AN37" s="8">
        <v>2073194</v>
      </c>
      <c r="AO37" s="8"/>
      <c r="AP37" s="8">
        <v>0</v>
      </c>
      <c r="AQ37" s="8"/>
      <c r="AR37" s="8">
        <f>+'GVFund Rev'!U37+'GVFund Rev'!W37-'GVFund Exp'!AH37-'GVFund Exp'!AL37+AJ37+AN37+AP37-'GV Fund BS'!W37</f>
        <v>0</v>
      </c>
      <c r="AS37" s="11"/>
    </row>
    <row r="38" spans="1:45" s="7" customFormat="1" ht="12.75" customHeight="1" x14ac:dyDescent="0.2">
      <c r="A38" s="6" t="s">
        <v>50</v>
      </c>
      <c r="C38" s="6" t="s">
        <v>51</v>
      </c>
      <c r="E38" s="8">
        <v>2582578</v>
      </c>
      <c r="F38" s="11"/>
      <c r="G38" s="8">
        <v>10067051</v>
      </c>
      <c r="H38" s="11"/>
      <c r="I38" s="8">
        <v>1662145</v>
      </c>
      <c r="J38" s="11"/>
      <c r="K38" s="8">
        <v>6399</v>
      </c>
      <c r="L38" s="11"/>
      <c r="M38" s="8">
        <v>3159903</v>
      </c>
      <c r="N38" s="11"/>
      <c r="O38" s="8">
        <v>1546434</v>
      </c>
      <c r="P38" s="11"/>
      <c r="Q38" s="8">
        <v>0</v>
      </c>
      <c r="R38" s="11"/>
      <c r="S38" s="8">
        <v>1559362</v>
      </c>
      <c r="T38" s="11"/>
      <c r="U38" s="8">
        <v>0</v>
      </c>
      <c r="V38" s="11"/>
      <c r="W38" s="11"/>
      <c r="X38" s="6"/>
      <c r="Z38" s="6"/>
      <c r="AA38" s="6"/>
      <c r="AB38" s="8">
        <v>359736</v>
      </c>
      <c r="AC38" s="20"/>
      <c r="AD38" s="8">
        <v>111368</v>
      </c>
      <c r="AE38" s="20"/>
      <c r="AF38" s="8">
        <v>25533</v>
      </c>
      <c r="AG38" s="20"/>
      <c r="AH38" s="11">
        <f t="shared" si="1"/>
        <v>21080509</v>
      </c>
      <c r="AI38" s="11"/>
      <c r="AJ38" s="11">
        <v>0</v>
      </c>
      <c r="AK38" s="11"/>
      <c r="AL38" s="8">
        <v>1482594</v>
      </c>
      <c r="AM38" s="8"/>
      <c r="AN38" s="8">
        <v>15173485</v>
      </c>
      <c r="AO38" s="8"/>
      <c r="AP38" s="8">
        <v>0</v>
      </c>
      <c r="AQ38" s="8"/>
      <c r="AR38" s="8">
        <f>+'GVFund Rev'!U38+'GVFund Rev'!W38-'GVFund Exp'!AH38-'GVFund Exp'!AL38+AJ38+AN38+AP38-'GV Fund BS'!W38</f>
        <v>0</v>
      </c>
      <c r="AS38" s="11"/>
    </row>
    <row r="39" spans="1:45" s="7" customFormat="1" ht="12.75" customHeight="1" x14ac:dyDescent="0.2">
      <c r="A39" s="6" t="s">
        <v>52</v>
      </c>
      <c r="C39" s="6" t="s">
        <v>53</v>
      </c>
      <c r="E39" s="8">
        <v>3470926</v>
      </c>
      <c r="F39" s="11"/>
      <c r="G39" s="8">
        <v>2747229</v>
      </c>
      <c r="H39" s="11"/>
      <c r="I39" s="8">
        <v>165754</v>
      </c>
      <c r="J39" s="11"/>
      <c r="K39" s="8">
        <v>27937</v>
      </c>
      <c r="L39" s="11"/>
      <c r="M39" s="8">
        <v>1148370</v>
      </c>
      <c r="N39" s="11"/>
      <c r="O39" s="8">
        <v>885910</v>
      </c>
      <c r="P39" s="11"/>
      <c r="Q39" s="8">
        <v>0</v>
      </c>
      <c r="R39" s="11"/>
      <c r="S39" s="8">
        <v>8503391</v>
      </c>
      <c r="T39" s="11"/>
      <c r="U39" s="8">
        <v>0</v>
      </c>
      <c r="V39" s="11"/>
      <c r="W39" s="11"/>
      <c r="X39" s="6"/>
      <c r="Z39" s="6"/>
      <c r="AA39" s="6"/>
      <c r="AB39" s="8">
        <v>1190000</v>
      </c>
      <c r="AC39" s="20"/>
      <c r="AD39" s="8">
        <v>185727</v>
      </c>
      <c r="AE39" s="20"/>
      <c r="AF39" s="8">
        <v>0</v>
      </c>
      <c r="AG39" s="20"/>
      <c r="AH39" s="11">
        <f t="shared" si="1"/>
        <v>18325244</v>
      </c>
      <c r="AI39" s="11"/>
      <c r="AJ39" s="11">
        <v>0</v>
      </c>
      <c r="AK39" s="11"/>
      <c r="AL39" s="8">
        <v>3736263</v>
      </c>
      <c r="AM39" s="8"/>
      <c r="AN39" s="8">
        <v>21620363</v>
      </c>
      <c r="AO39" s="8"/>
      <c r="AP39" s="8">
        <v>-12653</v>
      </c>
      <c r="AQ39" s="8"/>
      <c r="AR39" s="8">
        <f>+'GVFund Rev'!U39+'GVFund Rev'!W39-'GVFund Exp'!AH39-'GVFund Exp'!AL39+AJ39+AN39+AP39-'GV Fund BS'!W39</f>
        <v>0</v>
      </c>
      <c r="AS39" s="11"/>
    </row>
    <row r="40" spans="1:45" s="7" customFormat="1" ht="12.75" customHeight="1" x14ac:dyDescent="0.2">
      <c r="A40" s="6" t="s">
        <v>54</v>
      </c>
      <c r="C40" s="6" t="s">
        <v>55</v>
      </c>
      <c r="E40" s="8">
        <v>1130038</v>
      </c>
      <c r="F40" s="11"/>
      <c r="G40" s="8">
        <f>1823268+1144840+157654</f>
        <v>3125762</v>
      </c>
      <c r="H40" s="11"/>
      <c r="I40" s="8">
        <v>658</v>
      </c>
      <c r="J40" s="11"/>
      <c r="K40" s="8">
        <v>251137</v>
      </c>
      <c r="L40" s="11"/>
      <c r="M40" s="8">
        <v>2193912</v>
      </c>
      <c r="N40" s="11"/>
      <c r="O40" s="8">
        <v>127175</v>
      </c>
      <c r="P40" s="11"/>
      <c r="Q40" s="8">
        <v>0</v>
      </c>
      <c r="R40" s="11"/>
      <c r="S40" s="8">
        <v>0</v>
      </c>
      <c r="T40" s="11"/>
      <c r="U40" s="8">
        <v>0</v>
      </c>
      <c r="V40" s="11"/>
      <c r="W40" s="11"/>
      <c r="X40" s="6"/>
      <c r="Z40" s="6"/>
      <c r="AA40" s="6"/>
      <c r="AB40" s="8">
        <v>30548</v>
      </c>
      <c r="AC40" s="20"/>
      <c r="AD40" s="8">
        <v>20224</v>
      </c>
      <c r="AE40" s="20"/>
      <c r="AF40" s="8">
        <v>0</v>
      </c>
      <c r="AG40" s="20"/>
      <c r="AH40" s="11">
        <f t="shared" si="1"/>
        <v>6879454</v>
      </c>
      <c r="AI40" s="11"/>
      <c r="AJ40" s="11">
        <v>0</v>
      </c>
      <c r="AK40" s="11"/>
      <c r="AL40" s="8">
        <v>228276</v>
      </c>
      <c r="AM40" s="8"/>
      <c r="AN40" s="8">
        <v>4461838</v>
      </c>
      <c r="AO40" s="8"/>
      <c r="AP40" s="8">
        <v>0</v>
      </c>
      <c r="AQ40" s="8"/>
      <c r="AR40" s="8">
        <f>+'GVFund Rev'!U40+'GVFund Rev'!W40-'GVFund Exp'!AH40-'GVFund Exp'!AL40+AJ40+AN40+AP40-'GV Fund BS'!W40</f>
        <v>0</v>
      </c>
      <c r="AS40" s="11"/>
    </row>
    <row r="41" spans="1:45" s="7" customFormat="1" ht="12.75" customHeight="1" x14ac:dyDescent="0.2">
      <c r="A41" s="6" t="s">
        <v>56</v>
      </c>
      <c r="C41" s="6" t="s">
        <v>57</v>
      </c>
      <c r="E41" s="8">
        <v>3071353</v>
      </c>
      <c r="F41" s="11"/>
      <c r="G41" s="8">
        <v>4504251</v>
      </c>
      <c r="H41" s="11"/>
      <c r="I41" s="8">
        <v>487105</v>
      </c>
      <c r="J41" s="11"/>
      <c r="K41" s="8">
        <v>296686</v>
      </c>
      <c r="L41" s="11"/>
      <c r="M41" s="8">
        <v>1919952</v>
      </c>
      <c r="N41" s="11"/>
      <c r="O41" s="8">
        <v>882087</v>
      </c>
      <c r="P41" s="11"/>
      <c r="Q41" s="8">
        <v>0</v>
      </c>
      <c r="R41" s="11"/>
      <c r="S41" s="8">
        <v>2679178</v>
      </c>
      <c r="T41" s="11"/>
      <c r="U41" s="8">
        <v>0</v>
      </c>
      <c r="V41" s="11"/>
      <c r="W41" s="11"/>
      <c r="X41" s="6"/>
      <c r="Z41" s="6"/>
      <c r="AA41" s="6"/>
      <c r="AB41" s="8">
        <v>241993</v>
      </c>
      <c r="AC41" s="20"/>
      <c r="AD41" s="8">
        <v>180886</v>
      </c>
      <c r="AE41" s="20"/>
      <c r="AF41" s="8">
        <v>0</v>
      </c>
      <c r="AG41" s="20"/>
      <c r="AH41" s="11">
        <f t="shared" si="1"/>
        <v>14263491</v>
      </c>
      <c r="AI41" s="11"/>
      <c r="AJ41" s="11">
        <v>0</v>
      </c>
      <c r="AK41" s="11"/>
      <c r="AL41" s="8">
        <v>984289</v>
      </c>
      <c r="AM41" s="8"/>
      <c r="AN41" s="8">
        <v>5588009</v>
      </c>
      <c r="AO41" s="8"/>
      <c r="AP41" s="8">
        <v>0</v>
      </c>
      <c r="AQ41" s="8"/>
      <c r="AR41" s="8">
        <f>+'GVFund Rev'!U41+'GVFund Rev'!W41-'GVFund Exp'!AH41-'GVFund Exp'!AL41+AJ41+AN41+AP41-'GV Fund BS'!W41</f>
        <v>0</v>
      </c>
      <c r="AS41" s="11"/>
    </row>
    <row r="42" spans="1:45" s="7" customFormat="1" ht="12.75" customHeight="1" x14ac:dyDescent="0.2">
      <c r="A42" s="7" t="s">
        <v>509</v>
      </c>
      <c r="C42" s="6" t="s">
        <v>59</v>
      </c>
      <c r="E42" s="8">
        <v>1188323</v>
      </c>
      <c r="F42" s="11"/>
      <c r="G42" s="8">
        <f>1233104+1301996</f>
        <v>2535100</v>
      </c>
      <c r="H42" s="11"/>
      <c r="I42" s="8">
        <v>474483</v>
      </c>
      <c r="J42" s="11"/>
      <c r="K42" s="8">
        <v>0</v>
      </c>
      <c r="L42" s="11"/>
      <c r="M42" s="8">
        <v>491617</v>
      </c>
      <c r="N42" s="11"/>
      <c r="O42" s="8">
        <v>429375</v>
      </c>
      <c r="P42" s="11"/>
      <c r="Q42" s="8">
        <v>0</v>
      </c>
      <c r="R42" s="11"/>
      <c r="S42" s="8">
        <v>744323</v>
      </c>
      <c r="T42" s="11"/>
      <c r="U42" s="8">
        <v>0</v>
      </c>
      <c r="V42" s="11"/>
      <c r="W42" s="11"/>
      <c r="X42" s="6"/>
      <c r="Z42" s="6"/>
      <c r="AA42" s="6"/>
      <c r="AB42" s="8">
        <v>129336</v>
      </c>
      <c r="AC42" s="20"/>
      <c r="AD42" s="8">
        <v>27774</v>
      </c>
      <c r="AE42" s="20"/>
      <c r="AF42" s="8">
        <v>0</v>
      </c>
      <c r="AG42" s="20"/>
      <c r="AH42" s="11">
        <f t="shared" ref="AH42" si="3">SUM(E42:AF42)</f>
        <v>6020331</v>
      </c>
      <c r="AI42" s="11"/>
      <c r="AJ42" s="11">
        <v>0</v>
      </c>
      <c r="AK42" s="11"/>
      <c r="AL42" s="8">
        <v>55000</v>
      </c>
      <c r="AM42" s="8"/>
      <c r="AN42" s="8">
        <v>3524228</v>
      </c>
      <c r="AO42" s="8"/>
      <c r="AP42" s="8">
        <v>0</v>
      </c>
      <c r="AQ42" s="8"/>
      <c r="AR42" s="8">
        <f>+'GVFund Rev'!U42+'GVFund Rev'!W42-'GVFund Exp'!AH42-'GVFund Exp'!AL42+AJ42+AN42+AP42-'GV Fund BS'!W42</f>
        <v>0</v>
      </c>
      <c r="AS42" s="11"/>
    </row>
    <row r="43" spans="1:45" s="7" customFormat="1" ht="12.75" customHeight="1" x14ac:dyDescent="0.2">
      <c r="A43" s="7" t="s">
        <v>470</v>
      </c>
      <c r="C43" s="6" t="s">
        <v>13</v>
      </c>
      <c r="E43" s="8">
        <v>619642</v>
      </c>
      <c r="F43" s="11"/>
      <c r="G43" s="8">
        <v>1303885</v>
      </c>
      <c r="H43" s="11"/>
      <c r="I43" s="8">
        <v>0</v>
      </c>
      <c r="J43" s="11"/>
      <c r="K43" s="8">
        <v>0</v>
      </c>
      <c r="L43" s="11"/>
      <c r="M43" s="8">
        <v>292365</v>
      </c>
      <c r="N43" s="11"/>
      <c r="O43" s="8">
        <v>115295</v>
      </c>
      <c r="P43" s="11"/>
      <c r="Q43" s="8">
        <v>0</v>
      </c>
      <c r="R43" s="11"/>
      <c r="S43" s="8">
        <v>281740</v>
      </c>
      <c r="T43" s="11"/>
      <c r="U43" s="8">
        <v>0</v>
      </c>
      <c r="V43" s="11"/>
      <c r="W43" s="11"/>
      <c r="X43" s="6"/>
      <c r="Z43" s="6"/>
      <c r="AA43" s="6"/>
      <c r="AB43" s="8">
        <v>68546</v>
      </c>
      <c r="AC43" s="20"/>
      <c r="AD43" s="8">
        <v>57045</v>
      </c>
      <c r="AE43" s="20"/>
      <c r="AF43" s="8">
        <v>0</v>
      </c>
      <c r="AG43" s="20"/>
      <c r="AH43" s="11">
        <f t="shared" si="1"/>
        <v>2738518</v>
      </c>
      <c r="AI43" s="11"/>
      <c r="AJ43" s="11">
        <v>0</v>
      </c>
      <c r="AK43" s="11"/>
      <c r="AL43" s="8">
        <v>1350000</v>
      </c>
      <c r="AM43" s="8"/>
      <c r="AN43" s="8">
        <v>1621510</v>
      </c>
      <c r="AO43" s="8"/>
      <c r="AP43" s="8">
        <v>0</v>
      </c>
      <c r="AQ43" s="8"/>
      <c r="AR43" s="8">
        <f>+'GVFund Rev'!U43+'GVFund Rev'!W43-'GVFund Exp'!AH43-'GVFund Exp'!AL43+AJ43+AN43+AP43-'GV Fund BS'!W43</f>
        <v>0</v>
      </c>
      <c r="AS43" s="11"/>
    </row>
    <row r="44" spans="1:45" s="7" customFormat="1" ht="12.75" customHeight="1" x14ac:dyDescent="0.2">
      <c r="A44" s="7" t="s">
        <v>493</v>
      </c>
      <c r="B44" s="10"/>
      <c r="C44" s="7" t="s">
        <v>41</v>
      </c>
      <c r="E44" s="8">
        <v>1915717</v>
      </c>
      <c r="F44" s="11"/>
      <c r="G44" s="8">
        <v>1023658</v>
      </c>
      <c r="H44" s="11"/>
      <c r="I44" s="8">
        <v>532875</v>
      </c>
      <c r="J44" s="11"/>
      <c r="K44" s="8">
        <v>37494</v>
      </c>
      <c r="L44" s="11"/>
      <c r="M44" s="8">
        <v>780434</v>
      </c>
      <c r="N44" s="11"/>
      <c r="O44" s="8">
        <v>503907</v>
      </c>
      <c r="P44" s="11"/>
      <c r="Q44" s="8">
        <v>0</v>
      </c>
      <c r="R44" s="11"/>
      <c r="S44" s="8">
        <v>3151430</v>
      </c>
      <c r="T44" s="11"/>
      <c r="U44" s="8">
        <v>0</v>
      </c>
      <c r="V44" s="11"/>
      <c r="W44" s="11"/>
      <c r="X44" s="6"/>
      <c r="Z44" s="6"/>
      <c r="AA44" s="6"/>
      <c r="AB44" s="8">
        <v>2463929</v>
      </c>
      <c r="AC44" s="20"/>
      <c r="AD44" s="8">
        <v>268126</v>
      </c>
      <c r="AE44" s="20"/>
      <c r="AF44" s="8">
        <v>9157</v>
      </c>
      <c r="AG44" s="20"/>
      <c r="AH44" s="11">
        <f t="shared" ref="AH44" si="4">SUM(E44:AF44)</f>
        <v>10686727</v>
      </c>
      <c r="AI44" s="11"/>
      <c r="AJ44" s="11">
        <v>0</v>
      </c>
      <c r="AK44" s="11"/>
      <c r="AL44" s="8">
        <v>992693</v>
      </c>
      <c r="AM44" s="8"/>
      <c r="AN44" s="8">
        <v>4147297</v>
      </c>
      <c r="AO44" s="8"/>
      <c r="AP44" s="8">
        <v>0</v>
      </c>
      <c r="AQ44" s="8"/>
      <c r="AR44" s="8">
        <f>+'GVFund Rev'!U44+'GVFund Rev'!W44-'GVFund Exp'!AH44-'GVFund Exp'!AL44+AJ44+AN44+AP44-'GV Fund BS'!W44</f>
        <v>0</v>
      </c>
      <c r="AS44" s="11"/>
    </row>
    <row r="45" spans="1:45" s="7" customFormat="1" ht="12.75" customHeight="1" x14ac:dyDescent="0.2">
      <c r="A45" s="6" t="s">
        <v>58</v>
      </c>
      <c r="C45" s="6" t="s">
        <v>59</v>
      </c>
      <c r="E45" s="8">
        <v>951942</v>
      </c>
      <c r="F45" s="11"/>
      <c r="G45" s="8">
        <v>2687657</v>
      </c>
      <c r="H45" s="11"/>
      <c r="I45" s="8">
        <v>111546</v>
      </c>
      <c r="J45" s="11"/>
      <c r="K45" s="8">
        <v>99225</v>
      </c>
      <c r="L45" s="11"/>
      <c r="M45" s="8">
        <v>474633</v>
      </c>
      <c r="N45" s="11"/>
      <c r="O45" s="8">
        <v>85873</v>
      </c>
      <c r="P45" s="11"/>
      <c r="Q45" s="8">
        <v>0</v>
      </c>
      <c r="R45" s="11"/>
      <c r="S45" s="8">
        <v>1184499</v>
      </c>
      <c r="T45" s="11"/>
      <c r="U45" s="8">
        <v>0</v>
      </c>
      <c r="V45" s="11"/>
      <c r="W45" s="11"/>
      <c r="X45" s="6"/>
      <c r="Z45" s="6"/>
      <c r="AA45" s="6"/>
      <c r="AB45" s="8">
        <v>152605</v>
      </c>
      <c r="AC45" s="20"/>
      <c r="AD45" s="8">
        <v>36966</v>
      </c>
      <c r="AE45" s="20"/>
      <c r="AF45" s="8">
        <v>0</v>
      </c>
      <c r="AG45" s="20"/>
      <c r="AH45" s="11">
        <f t="shared" si="1"/>
        <v>5784946</v>
      </c>
      <c r="AI45" s="11"/>
      <c r="AJ45" s="11">
        <v>0</v>
      </c>
      <c r="AK45" s="11"/>
      <c r="AL45" s="8">
        <v>196924</v>
      </c>
      <c r="AM45" s="8"/>
      <c r="AN45" s="8">
        <v>3849141</v>
      </c>
      <c r="AO45" s="8"/>
      <c r="AP45" s="8">
        <v>0</v>
      </c>
      <c r="AQ45" s="8"/>
      <c r="AR45" s="8">
        <f>+'GVFund Rev'!U45+'GVFund Rev'!W45-'GVFund Exp'!AH45-'GVFund Exp'!AL45+AJ45+AN45+AP45-'GV Fund BS'!W45</f>
        <v>0</v>
      </c>
      <c r="AS45" s="11"/>
    </row>
    <row r="46" spans="1:45" s="7" customFormat="1" ht="12.75" hidden="1" customHeight="1" x14ac:dyDescent="0.2">
      <c r="A46" s="7" t="s">
        <v>60</v>
      </c>
      <c r="C46" s="6" t="s">
        <v>13</v>
      </c>
      <c r="E46" s="8">
        <v>17778987</v>
      </c>
      <c r="F46" s="11"/>
      <c r="G46" s="8">
        <v>35807944</v>
      </c>
      <c r="H46" s="11"/>
      <c r="I46" s="8">
        <v>5160101</v>
      </c>
      <c r="J46" s="11"/>
      <c r="K46" s="8">
        <v>5850491</v>
      </c>
      <c r="L46" s="11"/>
      <c r="M46" s="8">
        <v>3309625</v>
      </c>
      <c r="N46" s="11"/>
      <c r="O46" s="8">
        <v>1436169</v>
      </c>
      <c r="P46" s="11"/>
      <c r="Q46" s="8">
        <v>0</v>
      </c>
      <c r="R46" s="11"/>
      <c r="S46" s="8">
        <v>9010943</v>
      </c>
      <c r="T46" s="11"/>
      <c r="U46" s="8">
        <v>0</v>
      </c>
      <c r="V46" s="11"/>
      <c r="W46" s="11"/>
      <c r="X46" s="6"/>
      <c r="Z46" s="6"/>
      <c r="AA46" s="6"/>
      <c r="AB46" s="8">
        <v>2775078</v>
      </c>
      <c r="AC46" s="20"/>
      <c r="AD46" s="8">
        <v>592355</v>
      </c>
      <c r="AE46" s="20"/>
      <c r="AF46" s="8">
        <v>0</v>
      </c>
      <c r="AG46" s="20"/>
      <c r="AH46" s="11">
        <f t="shared" si="1"/>
        <v>81721693</v>
      </c>
      <c r="AI46" s="11"/>
      <c r="AJ46" s="11">
        <v>0</v>
      </c>
      <c r="AK46" s="11"/>
      <c r="AL46" s="8">
        <f>25960+65000</f>
        <v>90960</v>
      </c>
      <c r="AM46" s="8"/>
      <c r="AN46" s="8">
        <v>23030231</v>
      </c>
      <c r="AO46" s="8"/>
      <c r="AP46" s="8">
        <v>0</v>
      </c>
      <c r="AQ46" s="8"/>
      <c r="AR46" s="8">
        <f>+'GVFund Rev'!U46+'GVFund Rev'!W46-'GVFund Exp'!AH46-'GVFund Exp'!AL46+AJ46+AN46+AP46-'GV Fund BS'!W46</f>
        <v>0</v>
      </c>
    </row>
    <row r="47" spans="1:45" s="7" customFormat="1" ht="12.75" hidden="1" customHeight="1" x14ac:dyDescent="0.2">
      <c r="A47" s="6" t="s">
        <v>479</v>
      </c>
      <c r="C47" s="6" t="s">
        <v>109</v>
      </c>
      <c r="E47" s="8"/>
      <c r="F47" s="11"/>
      <c r="G47" s="8"/>
      <c r="H47" s="11"/>
      <c r="I47" s="8"/>
      <c r="J47" s="11"/>
      <c r="K47" s="8"/>
      <c r="L47" s="11"/>
      <c r="M47" s="8"/>
      <c r="N47" s="11"/>
      <c r="O47" s="8"/>
      <c r="P47" s="11"/>
      <c r="Q47" s="8"/>
      <c r="R47" s="11"/>
      <c r="S47" s="8"/>
      <c r="T47" s="11"/>
      <c r="U47" s="8"/>
      <c r="V47" s="11"/>
      <c r="W47" s="11"/>
      <c r="X47" s="6"/>
      <c r="Z47" s="6"/>
      <c r="AA47" s="6"/>
      <c r="AB47" s="8"/>
      <c r="AC47" s="20"/>
      <c r="AD47" s="8"/>
      <c r="AE47" s="20"/>
      <c r="AF47" s="8"/>
      <c r="AG47" s="20"/>
      <c r="AH47" s="11">
        <f t="shared" si="1"/>
        <v>0</v>
      </c>
      <c r="AI47" s="11"/>
      <c r="AJ47" s="11">
        <v>0</v>
      </c>
      <c r="AK47" s="11"/>
      <c r="AL47" s="8"/>
      <c r="AM47" s="8"/>
      <c r="AN47" s="8"/>
      <c r="AO47" s="8"/>
      <c r="AP47" s="8"/>
      <c r="AQ47" s="8"/>
      <c r="AR47" s="8">
        <f>+'GVFund Rev'!U47+'GVFund Rev'!W47-'GVFund Exp'!AH47-'GVFund Exp'!AL47+AJ47+AN47+AP47-'GV Fund BS'!W47</f>
        <v>0</v>
      </c>
    </row>
    <row r="48" spans="1:45" s="7" customFormat="1" ht="12.75" customHeight="1" x14ac:dyDescent="0.2">
      <c r="A48" s="6" t="s">
        <v>61</v>
      </c>
      <c r="C48" s="6" t="s">
        <v>62</v>
      </c>
      <c r="E48" s="8">
        <v>1280869</v>
      </c>
      <c r="F48" s="11"/>
      <c r="G48" s="8">
        <v>4129720</v>
      </c>
      <c r="H48" s="11"/>
      <c r="I48" s="8">
        <v>208137</v>
      </c>
      <c r="J48" s="11"/>
      <c r="K48" s="8">
        <v>79768</v>
      </c>
      <c r="L48" s="11"/>
      <c r="M48" s="8">
        <v>1539380</v>
      </c>
      <c r="N48" s="11"/>
      <c r="O48" s="8">
        <v>565568</v>
      </c>
      <c r="P48" s="11"/>
      <c r="Q48" s="8">
        <v>322601</v>
      </c>
      <c r="R48" s="11"/>
      <c r="S48" s="8">
        <v>0</v>
      </c>
      <c r="T48" s="11"/>
      <c r="U48" s="8">
        <v>234680</v>
      </c>
      <c r="V48" s="11"/>
      <c r="W48" s="11"/>
      <c r="X48" s="6"/>
      <c r="Z48" s="6"/>
      <c r="AA48" s="6"/>
      <c r="AB48" s="8">
        <v>451552</v>
      </c>
      <c r="AC48" s="20"/>
      <c r="AD48" s="8">
        <v>181430</v>
      </c>
      <c r="AE48" s="20"/>
      <c r="AF48" s="8">
        <v>1400000</v>
      </c>
      <c r="AG48" s="20"/>
      <c r="AH48" s="11">
        <f t="shared" si="1"/>
        <v>10393705</v>
      </c>
      <c r="AI48" s="11"/>
      <c r="AJ48" s="11">
        <v>0</v>
      </c>
      <c r="AK48" s="11"/>
      <c r="AL48" s="8">
        <f>1000000+1726994</f>
        <v>2726994</v>
      </c>
      <c r="AM48" s="8"/>
      <c r="AN48" s="8">
        <v>4072759</v>
      </c>
      <c r="AO48" s="8"/>
      <c r="AP48" s="8">
        <v>0</v>
      </c>
      <c r="AQ48" s="8"/>
      <c r="AR48" s="8">
        <f>+'GVFund Rev'!U48+'GVFund Rev'!W48-'GVFund Exp'!AH48-'GVFund Exp'!AL48+AJ48+AN48+AP48-'GV Fund BS'!W48</f>
        <v>0</v>
      </c>
      <c r="AS48" s="11"/>
    </row>
    <row r="49" spans="1:45" s="7" customFormat="1" ht="12.75" customHeight="1" x14ac:dyDescent="0.2">
      <c r="A49" s="6" t="s">
        <v>63</v>
      </c>
      <c r="C49" s="6" t="s">
        <v>64</v>
      </c>
      <c r="E49" s="8">
        <v>4713589</v>
      </c>
      <c r="F49" s="11"/>
      <c r="G49" s="8">
        <v>6080788</v>
      </c>
      <c r="H49" s="11"/>
      <c r="I49" s="8">
        <v>236503</v>
      </c>
      <c r="J49" s="11"/>
      <c r="K49" s="8">
        <v>0</v>
      </c>
      <c r="L49" s="11"/>
      <c r="M49" s="8">
        <v>2196400</v>
      </c>
      <c r="N49" s="11"/>
      <c r="O49" s="8">
        <v>233255</v>
      </c>
      <c r="P49" s="11"/>
      <c r="Q49" s="8">
        <v>0</v>
      </c>
      <c r="R49" s="11"/>
      <c r="S49" s="8">
        <v>1280937</v>
      </c>
      <c r="T49" s="11"/>
      <c r="U49" s="8">
        <v>0</v>
      </c>
      <c r="V49" s="11"/>
      <c r="W49" s="11"/>
      <c r="X49" s="6"/>
      <c r="Z49" s="6"/>
      <c r="AA49" s="6"/>
      <c r="AB49" s="8">
        <v>363966</v>
      </c>
      <c r="AC49" s="20"/>
      <c r="AD49" s="8">
        <v>365600</v>
      </c>
      <c r="AE49" s="20"/>
      <c r="AF49" s="8">
        <v>0</v>
      </c>
      <c r="AG49" s="20"/>
      <c r="AH49" s="11">
        <f t="shared" si="1"/>
        <v>15471038</v>
      </c>
      <c r="AI49" s="11"/>
      <c r="AJ49" s="11">
        <v>0</v>
      </c>
      <c r="AK49" s="11"/>
      <c r="AL49" s="8">
        <v>6095000</v>
      </c>
      <c r="AM49" s="8"/>
      <c r="AN49" s="8">
        <v>17810626</v>
      </c>
      <c r="AO49" s="8"/>
      <c r="AP49" s="8">
        <v>19681</v>
      </c>
      <c r="AQ49" s="8"/>
      <c r="AR49" s="8">
        <f>+'GVFund Rev'!U49+'GVFund Rev'!W49-'GVFund Exp'!AH49-'GVFund Exp'!AL49+AJ49+AN49+AP49-'GV Fund BS'!W49</f>
        <v>0</v>
      </c>
      <c r="AS49" s="11"/>
    </row>
    <row r="50" spans="1:45" s="7" customFormat="1" ht="12.75" hidden="1" customHeight="1" x14ac:dyDescent="0.2">
      <c r="A50" s="6" t="s">
        <v>65</v>
      </c>
      <c r="C50" s="6" t="s">
        <v>373</v>
      </c>
      <c r="E50" s="8">
        <v>3020254</v>
      </c>
      <c r="F50" s="11"/>
      <c r="G50" s="8">
        <v>2642607</v>
      </c>
      <c r="H50" s="11"/>
      <c r="I50" s="8">
        <v>207866</v>
      </c>
      <c r="J50" s="11"/>
      <c r="K50" s="8">
        <v>73483</v>
      </c>
      <c r="L50" s="11"/>
      <c r="M50" s="8">
        <v>1551695</v>
      </c>
      <c r="N50" s="11"/>
      <c r="O50" s="8">
        <v>223529</v>
      </c>
      <c r="P50" s="11"/>
      <c r="Q50" s="8">
        <v>24</v>
      </c>
      <c r="R50" s="11"/>
      <c r="S50" s="8">
        <v>1517755</v>
      </c>
      <c r="T50" s="11"/>
      <c r="U50" s="8">
        <v>0</v>
      </c>
      <c r="V50" s="11"/>
      <c r="W50" s="11"/>
      <c r="X50" s="6"/>
      <c r="Z50" s="6"/>
      <c r="AA50" s="6"/>
      <c r="AB50" s="8">
        <v>241304</v>
      </c>
      <c r="AC50" s="20"/>
      <c r="AD50" s="8">
        <v>34838</v>
      </c>
      <c r="AE50" s="20"/>
      <c r="AF50" s="8">
        <v>0</v>
      </c>
      <c r="AG50" s="20"/>
      <c r="AH50" s="11">
        <f t="shared" si="1"/>
        <v>9513355</v>
      </c>
      <c r="AI50" s="11"/>
      <c r="AJ50" s="11">
        <v>0</v>
      </c>
      <c r="AK50" s="11"/>
      <c r="AL50" s="8">
        <v>1410000</v>
      </c>
      <c r="AM50" s="8"/>
      <c r="AN50" s="8">
        <v>4754185</v>
      </c>
      <c r="AO50" s="8"/>
      <c r="AP50" s="8">
        <v>0</v>
      </c>
      <c r="AQ50" s="8"/>
      <c r="AR50" s="8">
        <f>+'GVFund Rev'!U50+'GVFund Rev'!W50-'GVFund Exp'!AH50-'GVFund Exp'!AL50+AJ50+AN50+AP50-'GV Fund BS'!W50</f>
        <v>0</v>
      </c>
      <c r="AS50" s="11"/>
    </row>
    <row r="51" spans="1:45" s="7" customFormat="1" ht="12.75" customHeight="1" x14ac:dyDescent="0.2">
      <c r="A51" s="6" t="s">
        <v>66</v>
      </c>
      <c r="C51" s="6" t="s">
        <v>43</v>
      </c>
      <c r="E51" s="8">
        <v>1412826</v>
      </c>
      <c r="F51" s="11"/>
      <c r="G51" s="8">
        <v>2027707</v>
      </c>
      <c r="H51" s="11"/>
      <c r="I51" s="8">
        <v>118291</v>
      </c>
      <c r="J51" s="11"/>
      <c r="K51" s="8">
        <v>20624</v>
      </c>
      <c r="L51" s="11"/>
      <c r="M51" s="8">
        <v>549220</v>
      </c>
      <c r="N51" s="11"/>
      <c r="O51" s="8">
        <v>272682</v>
      </c>
      <c r="P51" s="11"/>
      <c r="Q51" s="8">
        <v>355606</v>
      </c>
      <c r="R51" s="11"/>
      <c r="S51" s="8">
        <v>447501</v>
      </c>
      <c r="T51" s="11"/>
      <c r="U51" s="8">
        <v>0</v>
      </c>
      <c r="V51" s="11"/>
      <c r="W51" s="11"/>
      <c r="X51" s="6"/>
      <c r="Z51" s="6"/>
      <c r="AA51" s="6"/>
      <c r="AB51" s="8">
        <v>0</v>
      </c>
      <c r="AC51" s="20"/>
      <c r="AD51" s="8">
        <v>28500</v>
      </c>
      <c r="AE51" s="20"/>
      <c r="AF51" s="8">
        <v>0</v>
      </c>
      <c r="AG51" s="20"/>
      <c r="AH51" s="11">
        <f t="shared" si="1"/>
        <v>5232957</v>
      </c>
      <c r="AI51" s="11"/>
      <c r="AJ51" s="11">
        <v>0</v>
      </c>
      <c r="AK51" s="11"/>
      <c r="AL51" s="8">
        <f>12694+8000</f>
        <v>20694</v>
      </c>
      <c r="AM51" s="8"/>
      <c r="AN51" s="8">
        <v>1625893</v>
      </c>
      <c r="AO51" s="8"/>
      <c r="AP51" s="8">
        <v>-11689</v>
      </c>
      <c r="AQ51" s="8"/>
      <c r="AR51" s="8">
        <f>+'GVFund Rev'!U51+'GVFund Rev'!W51-'GVFund Exp'!AH51-'GVFund Exp'!AL51+AJ51+AN51+AP51-'GV Fund BS'!W51</f>
        <v>0</v>
      </c>
      <c r="AS51" s="11"/>
    </row>
    <row r="52" spans="1:45" s="7" customFormat="1" ht="12.75" hidden="1" customHeight="1" x14ac:dyDescent="0.2">
      <c r="A52" s="6" t="s">
        <v>67</v>
      </c>
      <c r="C52" s="6" t="s">
        <v>68</v>
      </c>
      <c r="E52" s="8">
        <v>5604348</v>
      </c>
      <c r="F52" s="11"/>
      <c r="G52" s="8">
        <f>5332157+5091470</f>
        <v>10423627</v>
      </c>
      <c r="H52" s="11"/>
      <c r="I52" s="8">
        <v>1163349</v>
      </c>
      <c r="J52" s="11"/>
      <c r="K52" s="8">
        <v>0</v>
      </c>
      <c r="L52" s="11"/>
      <c r="M52" s="8">
        <v>4838279</v>
      </c>
      <c r="N52" s="11"/>
      <c r="O52" s="8">
        <v>746962</v>
      </c>
      <c r="P52" s="11"/>
      <c r="Q52" s="8">
        <v>685053</v>
      </c>
      <c r="R52" s="11"/>
      <c r="S52" s="8">
        <v>576632</v>
      </c>
      <c r="T52" s="11"/>
      <c r="U52" s="8">
        <v>0</v>
      </c>
      <c r="V52" s="11"/>
      <c r="W52" s="11"/>
      <c r="X52" s="6"/>
      <c r="Z52" s="6"/>
      <c r="AA52" s="6"/>
      <c r="AB52" s="8">
        <v>264081</v>
      </c>
      <c r="AC52" s="20"/>
      <c r="AD52" s="8">
        <v>118684</v>
      </c>
      <c r="AE52" s="20"/>
      <c r="AF52" s="8">
        <v>0</v>
      </c>
      <c r="AG52" s="20"/>
      <c r="AH52" s="11">
        <f t="shared" si="1"/>
        <v>24421015</v>
      </c>
      <c r="AI52" s="11"/>
      <c r="AJ52" s="11">
        <v>0</v>
      </c>
      <c r="AK52" s="11"/>
      <c r="AL52" s="8">
        <v>2518034</v>
      </c>
      <c r="AM52" s="8"/>
      <c r="AN52" s="8">
        <v>994548</v>
      </c>
      <c r="AO52" s="8"/>
      <c r="AP52" s="8">
        <v>0</v>
      </c>
      <c r="AQ52" s="8"/>
      <c r="AR52" s="8">
        <f>+'GVFund Rev'!U52+'GVFund Rev'!W52-'GVFund Exp'!AH52-'GVFund Exp'!AL52+AJ52+AN52+AP52-'GV Fund BS'!W52</f>
        <v>0</v>
      </c>
      <c r="AS52" s="11"/>
    </row>
    <row r="53" spans="1:45" s="7" customFormat="1" ht="12.75" customHeight="1" x14ac:dyDescent="0.2">
      <c r="A53" s="6" t="s">
        <v>69</v>
      </c>
      <c r="C53" s="6" t="s">
        <v>43</v>
      </c>
      <c r="E53" s="8">
        <v>65970000</v>
      </c>
      <c r="F53" s="11"/>
      <c r="G53" s="8">
        <v>176453000</v>
      </c>
      <c r="H53" s="11"/>
      <c r="I53" s="8">
        <v>8351000</v>
      </c>
      <c r="J53" s="11"/>
      <c r="K53" s="8">
        <v>31397000</v>
      </c>
      <c r="L53" s="11"/>
      <c r="M53" s="8">
        <v>7671000</v>
      </c>
      <c r="N53" s="11"/>
      <c r="O53" s="8">
        <v>28133000</v>
      </c>
      <c r="P53" s="11"/>
      <c r="Q53" s="8">
        <f>27959000+102874000+45047000</f>
        <v>175880000</v>
      </c>
      <c r="R53" s="11"/>
      <c r="S53" s="8">
        <v>189576000</v>
      </c>
      <c r="T53" s="11"/>
      <c r="U53" s="8">
        <v>0</v>
      </c>
      <c r="V53" s="11"/>
      <c r="W53" s="11"/>
      <c r="X53" s="6"/>
      <c r="Z53" s="6"/>
      <c r="AA53" s="6"/>
      <c r="AB53" s="8">
        <v>44888000</v>
      </c>
      <c r="AC53" s="20"/>
      <c r="AD53" s="8">
        <v>23885000</v>
      </c>
      <c r="AE53" s="20"/>
      <c r="AF53" s="8">
        <v>1196000</v>
      </c>
      <c r="AG53" s="20"/>
      <c r="AH53" s="11">
        <f t="shared" si="1"/>
        <v>753400000</v>
      </c>
      <c r="AI53" s="11"/>
      <c r="AJ53" s="11">
        <v>0</v>
      </c>
      <c r="AK53" s="11"/>
      <c r="AL53" s="8">
        <f>54898000+114796000</f>
        <v>169694000</v>
      </c>
      <c r="AM53" s="8"/>
      <c r="AN53" s="8">
        <v>442382000</v>
      </c>
      <c r="AO53" s="8"/>
      <c r="AP53" s="8">
        <v>0</v>
      </c>
      <c r="AQ53" s="8"/>
      <c r="AR53" s="8">
        <f>+'GVFund Rev'!U53+'GVFund Rev'!W53-'GVFund Exp'!AH53-'GVFund Exp'!AL53+AJ53+AN53+AP53-'GV Fund BS'!W53</f>
        <v>0</v>
      </c>
      <c r="AS53" s="11"/>
    </row>
    <row r="54" spans="1:45" s="7" customFormat="1" ht="12.75" customHeight="1" x14ac:dyDescent="0.2">
      <c r="A54" s="7" t="s">
        <v>459</v>
      </c>
      <c r="C54" s="7" t="s">
        <v>460</v>
      </c>
      <c r="E54" s="8">
        <v>2798984</v>
      </c>
      <c r="F54" s="11"/>
      <c r="G54" s="8">
        <f>2483238+1757533+167511</f>
        <v>4408282</v>
      </c>
      <c r="H54" s="11"/>
      <c r="I54" s="8">
        <f>8625+183865</f>
        <v>192490</v>
      </c>
      <c r="J54" s="11"/>
      <c r="K54" s="8">
        <v>182914</v>
      </c>
      <c r="L54" s="11"/>
      <c r="M54" s="8">
        <v>1107872</v>
      </c>
      <c r="N54" s="11"/>
      <c r="O54" s="8">
        <f>76723+23150+25341</f>
        <v>125214</v>
      </c>
      <c r="P54" s="11"/>
      <c r="Q54" s="8">
        <v>0</v>
      </c>
      <c r="R54" s="11"/>
      <c r="S54" s="8">
        <v>1303165</v>
      </c>
      <c r="T54" s="11"/>
      <c r="U54" s="8">
        <v>0</v>
      </c>
      <c r="V54" s="11"/>
      <c r="W54" s="11"/>
      <c r="X54" s="6"/>
      <c r="Z54" s="6"/>
      <c r="AA54" s="6"/>
      <c r="AB54" s="8">
        <v>421592</v>
      </c>
      <c r="AC54" s="20"/>
      <c r="AD54" s="8">
        <v>120926</v>
      </c>
      <c r="AE54" s="20"/>
      <c r="AF54" s="8">
        <v>0</v>
      </c>
      <c r="AG54" s="20"/>
      <c r="AH54" s="11">
        <f t="shared" si="1"/>
        <v>10661439</v>
      </c>
      <c r="AI54" s="11"/>
      <c r="AJ54" s="11">
        <v>0</v>
      </c>
      <c r="AK54" s="11"/>
      <c r="AL54" s="8">
        <v>58570</v>
      </c>
      <c r="AM54" s="8"/>
      <c r="AN54" s="8">
        <v>4679429</v>
      </c>
      <c r="AO54" s="8"/>
      <c r="AP54" s="8">
        <v>0</v>
      </c>
      <c r="AQ54" s="8"/>
      <c r="AR54" s="8">
        <f>+'GVFund Rev'!U54+'GVFund Rev'!W54-'GVFund Exp'!AH54-'GVFund Exp'!AL54+AJ54+AN54+AP54-'GV Fund BS'!W54</f>
        <v>0</v>
      </c>
      <c r="AS54" s="11"/>
    </row>
    <row r="55" spans="1:45" s="7" customFormat="1" ht="12.75" customHeight="1" x14ac:dyDescent="0.2">
      <c r="A55" s="6" t="s">
        <v>70</v>
      </c>
      <c r="C55" s="6" t="s">
        <v>64</v>
      </c>
      <c r="E55" s="8">
        <v>2753703</v>
      </c>
      <c r="F55" s="11"/>
      <c r="G55" s="8">
        <v>3287908</v>
      </c>
      <c r="H55" s="11"/>
      <c r="I55" s="8">
        <v>10138</v>
      </c>
      <c r="J55" s="11"/>
      <c r="K55" s="8">
        <v>1792</v>
      </c>
      <c r="L55" s="11"/>
      <c r="M55" s="8">
        <v>853572</v>
      </c>
      <c r="N55" s="11"/>
      <c r="O55" s="8">
        <v>0</v>
      </c>
      <c r="P55" s="11"/>
      <c r="Q55" s="8">
        <v>0</v>
      </c>
      <c r="R55" s="11"/>
      <c r="S55" s="8">
        <v>715456</v>
      </c>
      <c r="T55" s="11"/>
      <c r="U55" s="8">
        <v>0</v>
      </c>
      <c r="V55" s="11"/>
      <c r="W55" s="11"/>
      <c r="X55" s="6"/>
      <c r="Z55" s="6"/>
      <c r="AA55" s="6"/>
      <c r="AB55" s="8">
        <v>412231</v>
      </c>
      <c r="AC55" s="20"/>
      <c r="AD55" s="8">
        <v>239576</v>
      </c>
      <c r="AE55" s="20"/>
      <c r="AF55" s="8">
        <v>0</v>
      </c>
      <c r="AG55" s="20"/>
      <c r="AH55" s="11">
        <f t="shared" si="1"/>
        <v>8274376</v>
      </c>
      <c r="AI55" s="11"/>
      <c r="AJ55" s="11">
        <v>0</v>
      </c>
      <c r="AK55" s="11"/>
      <c r="AL55" s="8">
        <v>1072243</v>
      </c>
      <c r="AM55" s="8"/>
      <c r="AN55" s="8">
        <v>5824016</v>
      </c>
      <c r="AO55" s="8"/>
      <c r="AP55" s="8">
        <v>0</v>
      </c>
      <c r="AQ55" s="8"/>
      <c r="AR55" s="8">
        <f>+'GVFund Rev'!U55+'GVFund Rev'!W55-'GVFund Exp'!AH55-'GVFund Exp'!AL55+AJ55+AN55+AP55-'GV Fund BS'!W55</f>
        <v>0</v>
      </c>
      <c r="AS55" s="11"/>
    </row>
    <row r="56" spans="1:45" s="7" customFormat="1" ht="12.75" customHeight="1" x14ac:dyDescent="0.2">
      <c r="A56" s="6" t="s">
        <v>340</v>
      </c>
      <c r="C56" s="6" t="s">
        <v>25</v>
      </c>
      <c r="E56" s="8">
        <v>85125000</v>
      </c>
      <c r="F56" s="11"/>
      <c r="G56" s="8">
        <v>303767000</v>
      </c>
      <c r="H56" s="11"/>
      <c r="I56" s="8">
        <f>69238000+14542000+12794000</f>
        <v>96574000</v>
      </c>
      <c r="J56" s="11"/>
      <c r="K56" s="8">
        <v>16986000</v>
      </c>
      <c r="L56" s="11"/>
      <c r="M56" s="8">
        <v>0</v>
      </c>
      <c r="N56" s="11"/>
      <c r="O56" s="8">
        <v>0</v>
      </c>
      <c r="P56" s="11"/>
      <c r="Q56" s="8">
        <f>85753000+10992000+5648000</f>
        <v>102393000</v>
      </c>
      <c r="R56" s="11"/>
      <c r="S56" s="8">
        <v>69945000</v>
      </c>
      <c r="T56" s="11"/>
      <c r="U56" s="8">
        <v>0</v>
      </c>
      <c r="V56" s="11"/>
      <c r="W56" s="11"/>
      <c r="X56" s="6"/>
      <c r="Z56" s="6"/>
      <c r="AA56" s="6"/>
      <c r="AB56" s="8">
        <v>49265000</v>
      </c>
      <c r="AC56" s="20"/>
      <c r="AD56" s="8">
        <v>30721000</v>
      </c>
      <c r="AE56" s="20"/>
      <c r="AF56" s="8">
        <f>1264000+18000</f>
        <v>1282000</v>
      </c>
      <c r="AG56" s="20"/>
      <c r="AH56" s="11">
        <f t="shared" si="1"/>
        <v>756058000</v>
      </c>
      <c r="AI56" s="11"/>
      <c r="AJ56" s="11">
        <v>0</v>
      </c>
      <c r="AK56" s="11"/>
      <c r="AL56" s="8">
        <f>62145000+145000+31930000</f>
        <v>94220000</v>
      </c>
      <c r="AM56" s="8"/>
      <c r="AN56" s="8">
        <v>362885000</v>
      </c>
      <c r="AO56" s="8"/>
      <c r="AP56" s="8">
        <v>0</v>
      </c>
      <c r="AQ56" s="8"/>
      <c r="AR56" s="8">
        <f>+'GVFund Rev'!U56+'GVFund Rev'!W56-'GVFund Exp'!AH56-'GVFund Exp'!AL56+AJ56+AN56+AP56-'GV Fund BS'!W56</f>
        <v>0</v>
      </c>
      <c r="AS56" s="11"/>
    </row>
    <row r="57" spans="1:45" s="7" customFormat="1" ht="12.75" customHeight="1" x14ac:dyDescent="0.2">
      <c r="A57" s="6" t="s">
        <v>72</v>
      </c>
      <c r="C57" s="6" t="s">
        <v>25</v>
      </c>
      <c r="E57" s="8">
        <v>15138068</v>
      </c>
      <c r="F57" s="11"/>
      <c r="G57" s="8">
        <v>20810895</v>
      </c>
      <c r="H57" s="11"/>
      <c r="I57" s="8">
        <v>6121317</v>
      </c>
      <c r="J57" s="11"/>
      <c r="K57" s="8">
        <v>358389</v>
      </c>
      <c r="L57" s="11"/>
      <c r="M57" s="8">
        <v>5138169</v>
      </c>
      <c r="N57" s="11"/>
      <c r="O57" s="8">
        <v>2612924</v>
      </c>
      <c r="P57" s="11"/>
      <c r="Q57" s="8">
        <v>2419903</v>
      </c>
      <c r="R57" s="11"/>
      <c r="S57" s="8">
        <v>2329950</v>
      </c>
      <c r="T57" s="11"/>
      <c r="U57" s="8">
        <v>0</v>
      </c>
      <c r="V57" s="11"/>
      <c r="W57" s="11"/>
      <c r="X57" s="6"/>
      <c r="Z57" s="6"/>
      <c r="AA57" s="6"/>
      <c r="AB57" s="8">
        <v>2094509</v>
      </c>
      <c r="AC57" s="20"/>
      <c r="AD57" s="8">
        <v>739999</v>
      </c>
      <c r="AE57" s="20"/>
      <c r="AF57" s="8">
        <v>0</v>
      </c>
      <c r="AG57" s="20"/>
      <c r="AH57" s="11">
        <f t="shared" si="1"/>
        <v>57764123</v>
      </c>
      <c r="AI57" s="11"/>
      <c r="AJ57" s="11">
        <v>0</v>
      </c>
      <c r="AK57" s="11"/>
      <c r="AL57" s="8">
        <v>4846243</v>
      </c>
      <c r="AM57" s="8"/>
      <c r="AN57" s="8">
        <v>16116218</v>
      </c>
      <c r="AO57" s="8"/>
      <c r="AP57" s="8">
        <v>0</v>
      </c>
      <c r="AQ57" s="8"/>
      <c r="AR57" s="8">
        <f>+'GVFund Rev'!U57+'GVFund Rev'!W57-'GVFund Exp'!AH57-'GVFund Exp'!AL57+AJ57+AN57+AP57-'GV Fund BS'!W57</f>
        <v>0</v>
      </c>
      <c r="AS57" s="11"/>
    </row>
    <row r="58" spans="1:45" s="9" customFormat="1" ht="12.75" customHeight="1" x14ac:dyDescent="0.2">
      <c r="A58" s="6" t="s">
        <v>73</v>
      </c>
      <c r="B58" s="7"/>
      <c r="C58" s="6" t="s">
        <v>74</v>
      </c>
      <c r="D58" s="7"/>
      <c r="E58" s="8">
        <v>1041545</v>
      </c>
      <c r="F58" s="11"/>
      <c r="G58" s="8">
        <v>1931891</v>
      </c>
      <c r="H58" s="11"/>
      <c r="I58" s="8">
        <v>292964</v>
      </c>
      <c r="J58" s="11"/>
      <c r="K58" s="8">
        <v>574675</v>
      </c>
      <c r="L58" s="11"/>
      <c r="M58" s="8">
        <v>293018</v>
      </c>
      <c r="N58" s="11"/>
      <c r="O58" s="8">
        <v>197575</v>
      </c>
      <c r="P58" s="11"/>
      <c r="Q58" s="8">
        <v>0</v>
      </c>
      <c r="R58" s="11"/>
      <c r="S58" s="8">
        <v>2139349</v>
      </c>
      <c r="T58" s="11"/>
      <c r="U58" s="8">
        <v>0</v>
      </c>
      <c r="V58" s="11"/>
      <c r="W58" s="11"/>
      <c r="X58" s="6"/>
      <c r="Y58" s="7"/>
      <c r="Z58" s="6"/>
      <c r="AA58" s="6"/>
      <c r="AB58" s="8">
        <v>442129</v>
      </c>
      <c r="AC58" s="20"/>
      <c r="AD58" s="8">
        <v>154746</v>
      </c>
      <c r="AE58" s="20"/>
      <c r="AF58" s="8">
        <v>0</v>
      </c>
      <c r="AG58" s="20"/>
      <c r="AH58" s="11">
        <f t="shared" si="1"/>
        <v>7067892</v>
      </c>
      <c r="AI58" s="11"/>
      <c r="AJ58" s="11">
        <v>0</v>
      </c>
      <c r="AK58" s="11"/>
      <c r="AL58" s="8">
        <v>546470</v>
      </c>
      <c r="AM58" s="8"/>
      <c r="AN58" s="8">
        <v>876902</v>
      </c>
      <c r="AO58" s="8"/>
      <c r="AP58" s="8">
        <v>0</v>
      </c>
      <c r="AQ58" s="8"/>
      <c r="AR58" s="8">
        <f>+'GVFund Rev'!U58+'GVFund Rev'!W58-'GVFund Exp'!AH58-'GVFund Exp'!AL58+AJ58+AN58+AP58-'GV Fund BS'!W58</f>
        <v>0</v>
      </c>
      <c r="AS58" s="11"/>
    </row>
    <row r="59" spans="1:45" s="7" customFormat="1" ht="12.75" hidden="1" customHeight="1" x14ac:dyDescent="0.2">
      <c r="A59" s="6" t="s">
        <v>75</v>
      </c>
      <c r="C59" s="6" t="s">
        <v>41</v>
      </c>
      <c r="E59" s="8">
        <v>120521000</v>
      </c>
      <c r="F59" s="11"/>
      <c r="G59" s="8">
        <v>510296000</v>
      </c>
      <c r="H59" s="11"/>
      <c r="I59" s="8">
        <v>97984000</v>
      </c>
      <c r="J59" s="11"/>
      <c r="K59" s="8">
        <v>41805000</v>
      </c>
      <c r="L59" s="11"/>
      <c r="M59" s="8">
        <v>0</v>
      </c>
      <c r="N59" s="11"/>
      <c r="O59" s="8">
        <v>112757000</v>
      </c>
      <c r="P59" s="11"/>
      <c r="Q59" s="8">
        <v>102834000</v>
      </c>
      <c r="R59" s="11"/>
      <c r="S59" s="8">
        <v>186736000</v>
      </c>
      <c r="T59" s="11"/>
      <c r="U59" s="8">
        <v>0</v>
      </c>
      <c r="V59" s="11"/>
      <c r="W59" s="11"/>
      <c r="X59" s="6"/>
      <c r="Z59" s="6"/>
      <c r="AA59" s="6"/>
      <c r="AB59" s="8">
        <v>99525000</v>
      </c>
      <c r="AC59" s="20"/>
      <c r="AD59" s="8">
        <v>43130000</v>
      </c>
      <c r="AE59" s="20"/>
      <c r="AF59" s="8">
        <v>0</v>
      </c>
      <c r="AG59" s="20"/>
      <c r="AH59" s="11">
        <f t="shared" si="1"/>
        <v>1315588000</v>
      </c>
      <c r="AI59" s="11"/>
      <c r="AJ59" s="11">
        <v>0</v>
      </c>
      <c r="AK59" s="11"/>
      <c r="AL59" s="8">
        <f>77026000+225189000</f>
        <v>302215000</v>
      </c>
      <c r="AM59" s="8"/>
      <c r="AN59" s="8">
        <v>589239000</v>
      </c>
      <c r="AO59" s="8"/>
      <c r="AP59" s="8">
        <v>0</v>
      </c>
      <c r="AQ59" s="8"/>
      <c r="AR59" s="8">
        <f>+'GVFund Rev'!U59+'GVFund Rev'!W59-'GVFund Exp'!AH59-'GVFund Exp'!AL59+AJ59+AN59+AP59-'GV Fund BS'!W59</f>
        <v>0</v>
      </c>
      <c r="AS59" s="11"/>
    </row>
    <row r="60" spans="1:45" s="7" customFormat="1" ht="12.75" customHeight="1" x14ac:dyDescent="0.2">
      <c r="A60" s="6" t="s">
        <v>92</v>
      </c>
      <c r="C60" s="6" t="s">
        <v>92</v>
      </c>
      <c r="E60" s="8">
        <v>327473</v>
      </c>
      <c r="F60" s="11"/>
      <c r="G60" s="8">
        <v>1286023</v>
      </c>
      <c r="H60" s="11"/>
      <c r="I60" s="8">
        <v>0</v>
      </c>
      <c r="J60" s="11"/>
      <c r="K60" s="8">
        <v>168548</v>
      </c>
      <c r="L60" s="11"/>
      <c r="M60" s="8">
        <v>275225</v>
      </c>
      <c r="N60" s="11"/>
      <c r="O60" s="8">
        <v>352329</v>
      </c>
      <c r="P60" s="11"/>
      <c r="Q60" s="8">
        <v>0</v>
      </c>
      <c r="R60" s="11"/>
      <c r="S60" s="8">
        <v>2398223</v>
      </c>
      <c r="T60" s="11"/>
      <c r="U60" s="8">
        <v>0</v>
      </c>
      <c r="V60" s="11"/>
      <c r="W60" s="11"/>
      <c r="X60" s="6"/>
      <c r="Z60" s="6"/>
      <c r="AA60" s="6"/>
      <c r="AB60" s="8">
        <v>0</v>
      </c>
      <c r="AC60" s="20"/>
      <c r="AD60" s="8">
        <v>0</v>
      </c>
      <c r="AE60" s="20"/>
      <c r="AF60" s="8">
        <v>0</v>
      </c>
      <c r="AG60" s="20"/>
      <c r="AH60" s="11">
        <f t="shared" si="1"/>
        <v>4807821</v>
      </c>
      <c r="AI60" s="11"/>
      <c r="AJ60" s="11">
        <v>0</v>
      </c>
      <c r="AK60" s="11"/>
      <c r="AL60" s="8">
        <v>1039000</v>
      </c>
      <c r="AM60" s="8"/>
      <c r="AN60" s="8">
        <v>2928343</v>
      </c>
      <c r="AO60" s="8"/>
      <c r="AP60" s="8">
        <v>-2053</v>
      </c>
      <c r="AQ60" s="8"/>
      <c r="AR60" s="8">
        <f>+'GVFund Rev'!U60+'GVFund Rev'!W60-'GVFund Exp'!AH60-'GVFund Exp'!AL60+AJ60+AN60+AP60-'GV Fund BS'!W60</f>
        <v>0</v>
      </c>
      <c r="AS60" s="11"/>
    </row>
    <row r="61" spans="1:45" s="7" customFormat="1" ht="12.75" customHeight="1" x14ac:dyDescent="0.2">
      <c r="A61" s="6" t="s">
        <v>76</v>
      </c>
      <c r="C61" s="6" t="s">
        <v>17</v>
      </c>
      <c r="E61" s="8">
        <v>1117931</v>
      </c>
      <c r="F61" s="11"/>
      <c r="G61" s="8">
        <v>2867862</v>
      </c>
      <c r="H61" s="11"/>
      <c r="I61" s="8">
        <v>374504</v>
      </c>
      <c r="J61" s="11"/>
      <c r="K61" s="8">
        <v>186860</v>
      </c>
      <c r="L61" s="11"/>
      <c r="M61" s="8">
        <v>1174320</v>
      </c>
      <c r="N61" s="11"/>
      <c r="O61" s="8">
        <v>103469</v>
      </c>
      <c r="P61" s="11"/>
      <c r="Q61" s="8">
        <v>141999</v>
      </c>
      <c r="R61" s="11"/>
      <c r="S61" s="8">
        <v>1318472</v>
      </c>
      <c r="T61" s="11"/>
      <c r="U61" s="8">
        <v>0</v>
      </c>
      <c r="V61" s="11"/>
      <c r="W61" s="11"/>
      <c r="X61" s="6"/>
      <c r="Z61" s="6"/>
      <c r="AA61" s="6"/>
      <c r="AB61" s="8">
        <f>619379+26000</f>
        <v>645379</v>
      </c>
      <c r="AC61" s="20"/>
      <c r="AD61" s="8">
        <v>76581</v>
      </c>
      <c r="AE61" s="20"/>
      <c r="AF61" s="8">
        <v>0</v>
      </c>
      <c r="AG61" s="20"/>
      <c r="AH61" s="11">
        <f t="shared" si="1"/>
        <v>8007377</v>
      </c>
      <c r="AI61" s="11"/>
      <c r="AJ61" s="11">
        <v>0</v>
      </c>
      <c r="AK61" s="11"/>
      <c r="AL61" s="8">
        <f>73000+200750</f>
        <v>273750</v>
      </c>
      <c r="AM61" s="8"/>
      <c r="AN61" s="8">
        <v>1868491</v>
      </c>
      <c r="AO61" s="8"/>
      <c r="AP61" s="8">
        <v>0</v>
      </c>
      <c r="AQ61" s="8"/>
      <c r="AR61" s="8">
        <f>+'GVFund Rev'!U61+'GVFund Rev'!W61-'GVFund Exp'!AH61-'GVFund Exp'!AL61+AJ61+AN61+AP61-'GV Fund BS'!W61</f>
        <v>0</v>
      </c>
      <c r="AS61" s="11"/>
    </row>
    <row r="62" spans="1:45" s="7" customFormat="1" ht="12.75" customHeight="1" x14ac:dyDescent="0.2">
      <c r="A62" s="6" t="s">
        <v>77</v>
      </c>
      <c r="C62" s="6" t="s">
        <v>78</v>
      </c>
      <c r="E62" s="8">
        <v>587700</v>
      </c>
      <c r="F62" s="11"/>
      <c r="G62" s="8">
        <v>2236929</v>
      </c>
      <c r="H62" s="11"/>
      <c r="I62" s="8">
        <v>118348</v>
      </c>
      <c r="J62" s="11"/>
      <c r="K62" s="8">
        <v>44</v>
      </c>
      <c r="L62" s="11"/>
      <c r="M62" s="8">
        <v>234220</v>
      </c>
      <c r="N62" s="11"/>
      <c r="O62" s="8">
        <v>54466</v>
      </c>
      <c r="P62" s="11"/>
      <c r="Q62" s="8">
        <v>193353</v>
      </c>
      <c r="R62" s="11"/>
      <c r="S62" s="8">
        <v>1143998</v>
      </c>
      <c r="T62" s="11"/>
      <c r="U62" s="8">
        <v>0</v>
      </c>
      <c r="V62" s="11"/>
      <c r="W62" s="11"/>
      <c r="X62" s="6"/>
      <c r="Z62" s="6"/>
      <c r="AA62" s="6"/>
      <c r="AB62" s="8">
        <v>0</v>
      </c>
      <c r="AC62" s="20"/>
      <c r="AD62" s="8">
        <v>0</v>
      </c>
      <c r="AE62" s="20"/>
      <c r="AF62" s="8">
        <v>0</v>
      </c>
      <c r="AG62" s="20"/>
      <c r="AH62" s="11">
        <f t="shared" si="1"/>
        <v>4569058</v>
      </c>
      <c r="AI62" s="11"/>
      <c r="AJ62" s="11">
        <v>0</v>
      </c>
      <c r="AK62" s="11"/>
      <c r="AL62" s="8">
        <v>160000</v>
      </c>
      <c r="AM62" s="8"/>
      <c r="AN62" s="8">
        <v>1680433</v>
      </c>
      <c r="AO62" s="8"/>
      <c r="AP62" s="8">
        <v>0</v>
      </c>
      <c r="AQ62" s="8"/>
      <c r="AR62" s="8">
        <f>+'GVFund Rev'!U62+'GVFund Rev'!W62-'GVFund Exp'!AH62-'GVFund Exp'!AL62+AJ62+AN62+AP62-'GV Fund BS'!W62</f>
        <v>0</v>
      </c>
      <c r="AS62" s="11"/>
    </row>
    <row r="63" spans="1:45" s="7" customFormat="1" ht="12.75" customHeight="1" x14ac:dyDescent="0.2">
      <c r="A63" s="6" t="s">
        <v>79</v>
      </c>
      <c r="C63" s="6" t="s">
        <v>79</v>
      </c>
      <c r="E63" s="8">
        <v>1821269</v>
      </c>
      <c r="F63" s="11"/>
      <c r="G63" s="8">
        <v>2881793</v>
      </c>
      <c r="H63" s="11"/>
      <c r="I63" s="8">
        <v>15383</v>
      </c>
      <c r="J63" s="11"/>
      <c r="K63" s="8">
        <v>1168431</v>
      </c>
      <c r="L63" s="11"/>
      <c r="M63" s="8">
        <v>900522</v>
      </c>
      <c r="N63" s="11"/>
      <c r="O63" s="8">
        <v>164643</v>
      </c>
      <c r="P63" s="11"/>
      <c r="Q63" s="8">
        <v>164249</v>
      </c>
      <c r="R63" s="11"/>
      <c r="S63" s="8">
        <v>222760</v>
      </c>
      <c r="T63" s="11"/>
      <c r="U63" s="8">
        <v>0</v>
      </c>
      <c r="V63" s="11"/>
      <c r="W63" s="11"/>
      <c r="X63" s="6"/>
      <c r="Z63" s="6"/>
      <c r="AA63" s="6"/>
      <c r="AB63" s="8">
        <v>25289</v>
      </c>
      <c r="AC63" s="20"/>
      <c r="AD63" s="8">
        <v>217</v>
      </c>
      <c r="AE63" s="20"/>
      <c r="AF63" s="8">
        <v>0</v>
      </c>
      <c r="AG63" s="20"/>
      <c r="AH63" s="11">
        <f t="shared" si="1"/>
        <v>7364556</v>
      </c>
      <c r="AI63" s="11"/>
      <c r="AJ63" s="11">
        <v>0</v>
      </c>
      <c r="AK63" s="11"/>
      <c r="AL63" s="8">
        <v>0</v>
      </c>
      <c r="AM63" s="8"/>
      <c r="AN63" s="8">
        <v>2674897</v>
      </c>
      <c r="AO63" s="8"/>
      <c r="AP63" s="8">
        <v>0</v>
      </c>
      <c r="AQ63" s="8"/>
      <c r="AR63" s="8">
        <f>+'GVFund Rev'!U63+'GVFund Rev'!W63-'GVFund Exp'!AH63-'GVFund Exp'!AL63+AJ63+AN63+AP63-'GV Fund BS'!W63</f>
        <v>0</v>
      </c>
      <c r="AS63" s="11"/>
    </row>
    <row r="64" spans="1:45" s="7" customFormat="1" ht="12.75" hidden="1" customHeight="1" x14ac:dyDescent="0.2">
      <c r="A64" s="10" t="s">
        <v>461</v>
      </c>
      <c r="B64" s="10"/>
      <c r="C64" s="10" t="s">
        <v>55</v>
      </c>
      <c r="E64" s="8"/>
      <c r="F64" s="11"/>
      <c r="G64" s="8"/>
      <c r="H64" s="11"/>
      <c r="I64" s="8"/>
      <c r="J64" s="11"/>
      <c r="K64" s="8"/>
      <c r="L64" s="11"/>
      <c r="M64" s="8"/>
      <c r="N64" s="11"/>
      <c r="O64" s="8"/>
      <c r="P64" s="11"/>
      <c r="Q64" s="8"/>
      <c r="R64" s="11"/>
      <c r="S64" s="8"/>
      <c r="T64" s="11"/>
      <c r="U64" s="8"/>
      <c r="V64" s="11"/>
      <c r="W64" s="11"/>
      <c r="X64" s="6"/>
      <c r="Z64" s="6"/>
      <c r="AA64" s="6"/>
      <c r="AB64" s="8"/>
      <c r="AC64" s="20"/>
      <c r="AD64" s="8"/>
      <c r="AE64" s="20"/>
      <c r="AF64" s="8"/>
      <c r="AG64" s="20"/>
      <c r="AH64" s="11">
        <f t="shared" si="1"/>
        <v>0</v>
      </c>
      <c r="AI64" s="11"/>
      <c r="AJ64" s="11">
        <v>0</v>
      </c>
      <c r="AK64" s="11"/>
      <c r="AL64" s="8"/>
      <c r="AM64" s="8"/>
      <c r="AN64" s="8"/>
      <c r="AO64" s="8"/>
      <c r="AP64" s="8"/>
      <c r="AQ64" s="8"/>
      <c r="AR64" s="8">
        <f>+'GVFund Rev'!U64+'GVFund Rev'!W64-'GVFund Exp'!AH64-'GVFund Exp'!AL64+AJ64+AN64+AP64-'GV Fund BS'!W64</f>
        <v>0</v>
      </c>
      <c r="AS64" s="11"/>
    </row>
    <row r="65" spans="1:45" s="9" customFormat="1" ht="12.75" hidden="1" customHeight="1" x14ac:dyDescent="0.2">
      <c r="A65" s="6" t="s">
        <v>80</v>
      </c>
      <c r="B65" s="7"/>
      <c r="C65" s="6" t="s">
        <v>11</v>
      </c>
      <c r="D65" s="7"/>
      <c r="E65" s="8">
        <v>7324776</v>
      </c>
      <c r="F65" s="11"/>
      <c r="G65" s="8">
        <v>18284008</v>
      </c>
      <c r="H65" s="11"/>
      <c r="I65" s="8">
        <v>2637217</v>
      </c>
      <c r="J65" s="11"/>
      <c r="K65" s="8">
        <v>0</v>
      </c>
      <c r="L65" s="11"/>
      <c r="M65" s="8">
        <v>3037778</v>
      </c>
      <c r="N65" s="11"/>
      <c r="O65" s="8">
        <v>2217158</v>
      </c>
      <c r="P65" s="11"/>
      <c r="Q65" s="8">
        <v>0</v>
      </c>
      <c r="R65" s="11"/>
      <c r="S65" s="8">
        <v>8627407</v>
      </c>
      <c r="T65" s="11"/>
      <c r="U65" s="8">
        <v>0</v>
      </c>
      <c r="V65" s="11"/>
      <c r="W65" s="11"/>
      <c r="X65" s="6"/>
      <c r="Y65" s="7"/>
      <c r="Z65" s="6"/>
      <c r="AA65" s="6"/>
      <c r="AB65" s="8">
        <v>1156470</v>
      </c>
      <c r="AC65" s="20"/>
      <c r="AD65" s="8">
        <v>282810</v>
      </c>
      <c r="AE65" s="20"/>
      <c r="AF65" s="8">
        <v>0</v>
      </c>
      <c r="AG65" s="20"/>
      <c r="AH65" s="11">
        <f t="shared" si="1"/>
        <v>43567624</v>
      </c>
      <c r="AI65" s="11"/>
      <c r="AJ65" s="11">
        <v>0</v>
      </c>
      <c r="AK65" s="11"/>
      <c r="AL65" s="8">
        <v>26268896</v>
      </c>
      <c r="AM65" s="8"/>
      <c r="AN65" s="8">
        <v>21360185</v>
      </c>
      <c r="AO65" s="8"/>
      <c r="AP65" s="8">
        <f>-43844+4454</f>
        <v>-39390</v>
      </c>
      <c r="AQ65" s="8"/>
      <c r="AR65" s="8">
        <f>+'GVFund Rev'!U65+'GVFund Rev'!W65-'GVFund Exp'!AH65-'GVFund Exp'!AL65+AJ65+AN65+AP65-'GV Fund BS'!W65</f>
        <v>0</v>
      </c>
      <c r="AS65" s="11"/>
    </row>
    <row r="66" spans="1:45" s="9" customFormat="1" ht="12.75" customHeight="1" x14ac:dyDescent="0.2">
      <c r="A66" s="6" t="s">
        <v>81</v>
      </c>
      <c r="B66" s="7"/>
      <c r="C66" s="6" t="s">
        <v>64</v>
      </c>
      <c r="D66" s="7"/>
      <c r="E66" s="8">
        <v>13901301</v>
      </c>
      <c r="F66" s="11"/>
      <c r="G66" s="8">
        <v>94598883</v>
      </c>
      <c r="H66" s="11"/>
      <c r="I66" s="8">
        <f>31889756+9529602</f>
        <v>41419358</v>
      </c>
      <c r="J66" s="11"/>
      <c r="K66" s="8">
        <v>2518658</v>
      </c>
      <c r="L66" s="11"/>
      <c r="M66" s="8">
        <v>0</v>
      </c>
      <c r="N66" s="11"/>
      <c r="O66" s="8">
        <v>0</v>
      </c>
      <c r="P66" s="11"/>
      <c r="Q66" s="8">
        <f>3346771+28678675</f>
        <v>32025446</v>
      </c>
      <c r="R66" s="11"/>
      <c r="S66" s="8">
        <v>16942861</v>
      </c>
      <c r="T66" s="11"/>
      <c r="U66" s="8">
        <v>0</v>
      </c>
      <c r="V66" s="11"/>
      <c r="W66" s="11"/>
      <c r="X66" s="6"/>
      <c r="Y66" s="7"/>
      <c r="Z66" s="6"/>
      <c r="AA66" s="6"/>
      <c r="AB66" s="8">
        <v>10583377</v>
      </c>
      <c r="AC66" s="20"/>
      <c r="AD66" s="8">
        <v>2785143</v>
      </c>
      <c r="AE66" s="20"/>
      <c r="AF66" s="8">
        <v>693878</v>
      </c>
      <c r="AG66" s="20"/>
      <c r="AH66" s="11">
        <f t="shared" si="1"/>
        <v>215468905</v>
      </c>
      <c r="AI66" s="11"/>
      <c r="AJ66" s="11">
        <v>0</v>
      </c>
      <c r="AK66" s="11"/>
      <c r="AL66" s="8">
        <f>35364951+8168518</f>
        <v>43533469</v>
      </c>
      <c r="AM66" s="8"/>
      <c r="AN66" s="8">
        <v>133081995</v>
      </c>
      <c r="AO66" s="8"/>
      <c r="AP66" s="8">
        <v>0</v>
      </c>
      <c r="AQ66" s="8"/>
      <c r="AR66" s="8">
        <f>+'GVFund Rev'!U66+'GVFund Rev'!W66-'GVFund Exp'!AH66-'GVFund Exp'!AL66+AJ66+AN66+AP66-'GV Fund BS'!W66</f>
        <v>0</v>
      </c>
      <c r="AS66" s="11"/>
    </row>
    <row r="67" spans="1:45" s="7" customFormat="1" ht="12.75" customHeight="1" x14ac:dyDescent="0.2">
      <c r="A67" s="6" t="s">
        <v>82</v>
      </c>
      <c r="C67" s="6" t="s">
        <v>43</v>
      </c>
      <c r="E67" s="8">
        <v>956459</v>
      </c>
      <c r="F67" s="11"/>
      <c r="G67" s="8">
        <v>1141426</v>
      </c>
      <c r="H67" s="11"/>
      <c r="I67" s="8">
        <v>4055</v>
      </c>
      <c r="J67" s="11"/>
      <c r="K67" s="8">
        <v>0</v>
      </c>
      <c r="L67" s="11"/>
      <c r="M67" s="8">
        <v>435900</v>
      </c>
      <c r="N67" s="11"/>
      <c r="O67" s="8">
        <v>61334</v>
      </c>
      <c r="P67" s="11"/>
      <c r="Q67" s="8">
        <v>0</v>
      </c>
      <c r="R67" s="11"/>
      <c r="S67" s="8">
        <v>618590</v>
      </c>
      <c r="T67" s="11"/>
      <c r="U67" s="8">
        <v>0</v>
      </c>
      <c r="V67" s="11"/>
      <c r="W67" s="11"/>
      <c r="X67" s="6"/>
      <c r="Z67" s="6"/>
      <c r="AA67" s="6"/>
      <c r="AB67" s="8">
        <v>126018</v>
      </c>
      <c r="AC67" s="20"/>
      <c r="AD67" s="8">
        <v>79628</v>
      </c>
      <c r="AE67" s="20"/>
      <c r="AF67" s="8">
        <f>53351+193027</f>
        <v>246378</v>
      </c>
      <c r="AG67" s="20"/>
      <c r="AH67" s="11">
        <f t="shared" si="1"/>
        <v>3669788</v>
      </c>
      <c r="AI67" s="11"/>
      <c r="AJ67" s="11">
        <v>0</v>
      </c>
      <c r="AK67" s="11"/>
      <c r="AL67" s="8">
        <f>301741+2120000</f>
        <v>2421741</v>
      </c>
      <c r="AM67" s="8"/>
      <c r="AN67" s="8">
        <v>1601542</v>
      </c>
      <c r="AO67" s="8"/>
      <c r="AP67" s="8">
        <v>0</v>
      </c>
      <c r="AQ67" s="8"/>
      <c r="AR67" s="8">
        <f>+'GVFund Rev'!U67+'GVFund Rev'!W67-'GVFund Exp'!AH67-'GVFund Exp'!AL67+AJ67+AN67+AP67-'GV Fund BS'!W67</f>
        <v>0</v>
      </c>
      <c r="AS67" s="11"/>
    </row>
    <row r="68" spans="1:45" s="9" customFormat="1" ht="12.75" customHeight="1" x14ac:dyDescent="0.2">
      <c r="A68" s="19" t="s">
        <v>83</v>
      </c>
      <c r="C68" s="19" t="s">
        <v>83</v>
      </c>
      <c r="E68" s="11">
        <v>2624218</v>
      </c>
      <c r="F68" s="11"/>
      <c r="G68" s="11">
        <v>5223915</v>
      </c>
      <c r="H68" s="11"/>
      <c r="I68" s="11">
        <f>506585+888011</f>
        <v>1394596</v>
      </c>
      <c r="J68" s="11"/>
      <c r="K68" s="11">
        <v>207560</v>
      </c>
      <c r="L68" s="11"/>
      <c r="M68" s="11">
        <v>1003738</v>
      </c>
      <c r="N68" s="11"/>
      <c r="O68" s="11">
        <v>595366</v>
      </c>
      <c r="P68" s="11"/>
      <c r="Q68" s="11">
        <v>0</v>
      </c>
      <c r="R68" s="11"/>
      <c r="S68" s="11">
        <v>3775372</v>
      </c>
      <c r="T68" s="11"/>
      <c r="U68" s="11">
        <v>0</v>
      </c>
      <c r="V68" s="11"/>
      <c r="W68" s="11"/>
      <c r="X68" s="6"/>
      <c r="Y68" s="7"/>
      <c r="Z68" s="6"/>
      <c r="AA68" s="6"/>
      <c r="AB68" s="11">
        <v>164543</v>
      </c>
      <c r="AC68" s="20"/>
      <c r="AD68" s="11">
        <v>147398</v>
      </c>
      <c r="AE68" s="20"/>
      <c r="AF68" s="7">
        <v>0</v>
      </c>
      <c r="AG68" s="20"/>
      <c r="AH68" s="11">
        <f>SUM(E68:AF68)</f>
        <v>15136706</v>
      </c>
      <c r="AI68" s="11"/>
      <c r="AJ68" s="11">
        <v>0</v>
      </c>
      <c r="AK68" s="11"/>
      <c r="AL68" s="8">
        <v>499681</v>
      </c>
      <c r="AM68" s="8"/>
      <c r="AN68" s="8">
        <v>8062637</v>
      </c>
      <c r="AO68" s="8"/>
      <c r="AP68" s="8">
        <v>0</v>
      </c>
      <c r="AQ68" s="8"/>
      <c r="AR68" s="8">
        <f>+'GVFund Rev'!U68+'GVFund Rev'!W68-'GVFund Exp'!AH68-'GVFund Exp'!AL68+AJ68+AN68+AP68-'GV Fund BS'!W68</f>
        <v>0</v>
      </c>
      <c r="AS68" s="22"/>
    </row>
    <row r="69" spans="1:45" s="7" customFormat="1" ht="12.75" hidden="1" customHeight="1" x14ac:dyDescent="0.2">
      <c r="A69" s="6" t="s">
        <v>84</v>
      </c>
      <c r="C69" s="6" t="s">
        <v>84</v>
      </c>
      <c r="E69" s="8">
        <v>4905588</v>
      </c>
      <c r="F69" s="11"/>
      <c r="G69" s="8">
        <f>6410160+6701280+2419095+628891</f>
        <v>16159426</v>
      </c>
      <c r="H69" s="11"/>
      <c r="I69" s="8">
        <v>707277</v>
      </c>
      <c r="J69" s="11"/>
      <c r="K69" s="8">
        <v>0</v>
      </c>
      <c r="L69" s="11"/>
      <c r="M69" s="8">
        <v>3410602</v>
      </c>
      <c r="N69" s="11"/>
      <c r="O69" s="8">
        <v>10769217</v>
      </c>
      <c r="P69" s="11"/>
      <c r="Q69" s="8">
        <v>980685</v>
      </c>
      <c r="R69" s="11"/>
      <c r="S69" s="8">
        <v>2365391</v>
      </c>
      <c r="T69" s="11"/>
      <c r="U69" s="8">
        <v>0</v>
      </c>
      <c r="V69" s="11"/>
      <c r="W69" s="11"/>
      <c r="X69" s="6"/>
      <c r="Z69" s="6"/>
      <c r="AA69" s="6"/>
      <c r="AB69" s="8">
        <v>895000</v>
      </c>
      <c r="AC69" s="20"/>
      <c r="AD69" s="8">
        <v>1334689</v>
      </c>
      <c r="AE69" s="20"/>
      <c r="AF69" s="8">
        <v>26409</v>
      </c>
      <c r="AG69" s="20"/>
      <c r="AH69" s="11">
        <f>SUM(E69:AF69)</f>
        <v>41554284</v>
      </c>
      <c r="AI69" s="11"/>
      <c r="AJ69" s="11">
        <v>0</v>
      </c>
      <c r="AK69" s="11"/>
      <c r="AL69" s="8">
        <v>5155407</v>
      </c>
      <c r="AM69" s="8"/>
      <c r="AN69" s="8">
        <v>15075137</v>
      </c>
      <c r="AO69" s="8"/>
      <c r="AP69" s="8">
        <v>0</v>
      </c>
      <c r="AQ69" s="8"/>
      <c r="AR69" s="8">
        <f>+'GVFund Rev'!U69+'GVFund Rev'!W69-'GVFund Exp'!AH69-'GVFund Exp'!AL69+AJ69+AN69+AP69-'GV Fund BS'!W69</f>
        <v>0</v>
      </c>
      <c r="AS69" s="11"/>
    </row>
    <row r="70" spans="1:45" s="7" customFormat="1" ht="12.75" customHeight="1" x14ac:dyDescent="0.2">
      <c r="A70" s="19" t="s">
        <v>85</v>
      </c>
      <c r="B70" s="9"/>
      <c r="C70" s="19" t="s">
        <v>86</v>
      </c>
      <c r="D70" s="9"/>
      <c r="E70" s="8">
        <v>382483</v>
      </c>
      <c r="F70" s="11"/>
      <c r="G70" s="8">
        <v>2547370</v>
      </c>
      <c r="H70" s="11"/>
      <c r="I70" s="8">
        <v>0</v>
      </c>
      <c r="J70" s="11"/>
      <c r="K70" s="8">
        <v>48106</v>
      </c>
      <c r="L70" s="11"/>
      <c r="M70" s="8">
        <v>560142</v>
      </c>
      <c r="N70" s="11"/>
      <c r="O70" s="8">
        <v>429767</v>
      </c>
      <c r="P70" s="11"/>
      <c r="Q70" s="8">
        <v>0</v>
      </c>
      <c r="R70" s="11"/>
      <c r="S70" s="8">
        <v>10300</v>
      </c>
      <c r="T70" s="11"/>
      <c r="U70" s="8">
        <v>3161</v>
      </c>
      <c r="V70" s="11"/>
      <c r="W70" s="11"/>
      <c r="X70" s="6"/>
      <c r="Z70" s="6"/>
      <c r="AA70" s="6"/>
      <c r="AB70" s="8">
        <v>22598</v>
      </c>
      <c r="AC70" s="20"/>
      <c r="AD70" s="8">
        <v>690</v>
      </c>
      <c r="AE70" s="20"/>
      <c r="AF70" s="8">
        <v>0</v>
      </c>
      <c r="AG70" s="20"/>
      <c r="AH70" s="11">
        <f>SUM(E70:AF70)</f>
        <v>4004617</v>
      </c>
      <c r="AI70" s="11"/>
      <c r="AJ70" s="11">
        <v>0</v>
      </c>
      <c r="AK70" s="11"/>
      <c r="AL70" s="8">
        <v>857577</v>
      </c>
      <c r="AM70" s="8"/>
      <c r="AN70" s="8">
        <v>1345893</v>
      </c>
      <c r="AO70" s="8"/>
      <c r="AP70" s="8">
        <v>0</v>
      </c>
      <c r="AQ70" s="8"/>
      <c r="AR70" s="8">
        <f>+'GVFund Rev'!U70+'GVFund Rev'!W70-'GVFund Exp'!AH70-'GVFund Exp'!AL70+AJ70+AN70+AP70-'GV Fund BS'!W70</f>
        <v>0</v>
      </c>
      <c r="AS70" s="11"/>
    </row>
    <row r="71" spans="1:45" s="9" customFormat="1" ht="12.75" customHeight="1" x14ac:dyDescent="0.2">
      <c r="A71" s="6" t="s">
        <v>392</v>
      </c>
      <c r="B71" s="7"/>
      <c r="C71" s="6" t="s">
        <v>87</v>
      </c>
      <c r="D71" s="7"/>
      <c r="E71" s="11">
        <v>1717237</v>
      </c>
      <c r="F71" s="11"/>
      <c r="G71" s="11">
        <v>4396320</v>
      </c>
      <c r="H71" s="11"/>
      <c r="I71" s="11">
        <v>190316</v>
      </c>
      <c r="J71" s="11"/>
      <c r="K71" s="11">
        <v>751935</v>
      </c>
      <c r="L71" s="11"/>
      <c r="M71" s="11">
        <v>1092986</v>
      </c>
      <c r="N71" s="11"/>
      <c r="O71" s="11">
        <v>913126</v>
      </c>
      <c r="P71" s="11"/>
      <c r="Q71" s="11">
        <v>629555</v>
      </c>
      <c r="R71" s="11"/>
      <c r="S71" s="11">
        <v>1639805</v>
      </c>
      <c r="T71" s="11"/>
      <c r="U71" s="11">
        <v>0</v>
      </c>
      <c r="V71" s="11"/>
      <c r="W71" s="11"/>
      <c r="X71" s="6"/>
      <c r="Y71" s="7"/>
      <c r="Z71" s="6"/>
      <c r="AA71" s="6"/>
      <c r="AB71" s="11">
        <v>208377</v>
      </c>
      <c r="AC71" s="20"/>
      <c r="AD71" s="11">
        <v>129804</v>
      </c>
      <c r="AE71" s="20"/>
      <c r="AF71" s="7">
        <v>0</v>
      </c>
      <c r="AG71" s="20"/>
      <c r="AH71" s="11">
        <f>SUM(E71:AF71)</f>
        <v>11669461</v>
      </c>
      <c r="AI71" s="11"/>
      <c r="AJ71" s="11">
        <v>0</v>
      </c>
      <c r="AK71" s="11"/>
      <c r="AL71" s="8">
        <v>0</v>
      </c>
      <c r="AM71" s="8"/>
      <c r="AN71" s="8">
        <v>5064973</v>
      </c>
      <c r="AO71" s="8"/>
      <c r="AP71" s="8">
        <v>0</v>
      </c>
      <c r="AQ71" s="8"/>
      <c r="AR71" s="8">
        <f>+'GVFund Rev'!U71+'GVFund Rev'!W71-'GVFund Exp'!AH71-'GVFund Exp'!AL71+AJ71+AN71+AP71-'GV Fund BS'!W71</f>
        <v>0</v>
      </c>
      <c r="AS71" s="11"/>
    </row>
    <row r="72" spans="1:45" s="9" customFormat="1" ht="12.75" customHeight="1" x14ac:dyDescent="0.2">
      <c r="A72" s="6" t="s">
        <v>88</v>
      </c>
      <c r="B72" s="7"/>
      <c r="C72" s="6" t="s">
        <v>41</v>
      </c>
      <c r="D72" s="7"/>
      <c r="E72" s="11">
        <v>22789959</v>
      </c>
      <c r="F72" s="11"/>
      <c r="G72" s="11">
        <v>10620884</v>
      </c>
      <c r="H72" s="11"/>
      <c r="I72" s="11">
        <v>5737048</v>
      </c>
      <c r="J72" s="11"/>
      <c r="K72" s="11">
        <v>379264</v>
      </c>
      <c r="L72" s="11"/>
      <c r="M72" s="11">
        <v>3129125</v>
      </c>
      <c r="N72" s="11"/>
      <c r="O72" s="11">
        <v>16637506</v>
      </c>
      <c r="P72" s="11"/>
      <c r="Q72" s="11">
        <v>3293155</v>
      </c>
      <c r="R72" s="11"/>
      <c r="S72" s="11">
        <v>28555244</v>
      </c>
      <c r="T72" s="11"/>
      <c r="U72" s="11">
        <v>0</v>
      </c>
      <c r="V72" s="11"/>
      <c r="W72" s="11"/>
      <c r="X72" s="6"/>
      <c r="Y72" s="7"/>
      <c r="Z72" s="6"/>
      <c r="AA72" s="6"/>
      <c r="AB72" s="11">
        <v>8478815</v>
      </c>
      <c r="AC72" s="20"/>
      <c r="AD72" s="11">
        <v>1753292</v>
      </c>
      <c r="AE72" s="20"/>
      <c r="AF72" s="7">
        <v>0</v>
      </c>
      <c r="AG72" s="20"/>
      <c r="AH72" s="11">
        <f t="shared" ref="AH72" si="5">SUM(E72:AF72)</f>
        <v>101374292</v>
      </c>
      <c r="AI72" s="11"/>
      <c r="AJ72" s="11">
        <v>0</v>
      </c>
      <c r="AK72" s="11"/>
      <c r="AL72" s="8">
        <v>22023361</v>
      </c>
      <c r="AM72" s="8"/>
      <c r="AN72" s="8">
        <v>95072768</v>
      </c>
      <c r="AO72" s="8"/>
      <c r="AP72" s="8">
        <v>0</v>
      </c>
      <c r="AQ72" s="8"/>
      <c r="AR72" s="8">
        <f>+'GVFund Rev'!U72+'GVFund Rev'!W72-'GVFund Exp'!AH72-'GVFund Exp'!AL72+AJ72+AN72+AP72-'GV Fund BS'!W72</f>
        <v>0</v>
      </c>
      <c r="AS72" s="11"/>
    </row>
    <row r="73" spans="1:45" s="7" customFormat="1" ht="12.75" customHeight="1" x14ac:dyDescent="0.2">
      <c r="A73" s="10" t="s">
        <v>482</v>
      </c>
      <c r="B73" s="10"/>
      <c r="C73" s="10" t="s">
        <v>25</v>
      </c>
      <c r="E73" s="8">
        <v>4796584</v>
      </c>
      <c r="F73" s="11"/>
      <c r="G73" s="8">
        <v>9898968</v>
      </c>
      <c r="H73" s="11"/>
      <c r="I73" s="8">
        <v>3754781</v>
      </c>
      <c r="J73" s="11"/>
      <c r="K73" s="8">
        <v>0</v>
      </c>
      <c r="L73" s="11"/>
      <c r="M73" s="8">
        <v>1612638</v>
      </c>
      <c r="N73" s="11"/>
      <c r="O73" s="8">
        <v>696928</v>
      </c>
      <c r="P73" s="11"/>
      <c r="Q73" s="8">
        <v>941025</v>
      </c>
      <c r="R73" s="11"/>
      <c r="S73" s="8">
        <v>38183</v>
      </c>
      <c r="T73" s="11"/>
      <c r="U73" s="8">
        <v>0</v>
      </c>
      <c r="V73" s="11"/>
      <c r="W73" s="11"/>
      <c r="X73" s="6"/>
      <c r="Z73" s="6"/>
      <c r="AA73" s="6"/>
      <c r="AB73" s="8">
        <v>318851</v>
      </c>
      <c r="AC73" s="20"/>
      <c r="AD73" s="8">
        <v>99331</v>
      </c>
      <c r="AE73" s="20"/>
      <c r="AF73" s="8">
        <v>0</v>
      </c>
      <c r="AG73" s="20"/>
      <c r="AH73" s="11">
        <f t="shared" ref="AH73:AH86" si="6">SUM(E73:AF73)</f>
        <v>22157289</v>
      </c>
      <c r="AI73" s="11"/>
      <c r="AJ73" s="11">
        <v>0</v>
      </c>
      <c r="AK73" s="11"/>
      <c r="AL73" s="8">
        <v>1077970</v>
      </c>
      <c r="AM73" s="8"/>
      <c r="AN73" s="8">
        <v>2915603</v>
      </c>
      <c r="AO73" s="8"/>
      <c r="AP73" s="8">
        <v>0</v>
      </c>
      <c r="AQ73" s="8"/>
      <c r="AR73" s="8">
        <f>+'GVFund Rev'!U73+'GVFund Rev'!W73-'GVFund Exp'!AH73-'GVFund Exp'!AL73+AJ73+AN73+AP73-'GV Fund BS'!W73</f>
        <v>0</v>
      </c>
      <c r="AS73" s="11"/>
    </row>
    <row r="74" spans="1:45" s="9" customFormat="1" ht="12.75" customHeight="1" x14ac:dyDescent="0.2">
      <c r="A74" s="9" t="s">
        <v>91</v>
      </c>
      <c r="C74" s="9" t="s">
        <v>92</v>
      </c>
      <c r="E74" s="8">
        <v>1294402</v>
      </c>
      <c r="F74" s="11"/>
      <c r="G74" s="8">
        <v>3049280</v>
      </c>
      <c r="H74" s="11"/>
      <c r="I74" s="8">
        <v>602716</v>
      </c>
      <c r="J74" s="11"/>
      <c r="K74" s="8">
        <v>180506</v>
      </c>
      <c r="L74" s="11"/>
      <c r="M74" s="8">
        <v>674025</v>
      </c>
      <c r="N74" s="11"/>
      <c r="O74" s="8">
        <v>124606</v>
      </c>
      <c r="P74" s="11"/>
      <c r="Q74" s="8">
        <v>0</v>
      </c>
      <c r="R74" s="11"/>
      <c r="S74" s="8">
        <v>1372131</v>
      </c>
      <c r="T74" s="11"/>
      <c r="U74" s="8">
        <v>0</v>
      </c>
      <c r="V74" s="11"/>
      <c r="W74" s="11"/>
      <c r="X74" s="6"/>
      <c r="Y74" s="7"/>
      <c r="Z74" s="6"/>
      <c r="AA74" s="6"/>
      <c r="AB74" s="8">
        <v>1578194</v>
      </c>
      <c r="AC74" s="20"/>
      <c r="AD74" s="8">
        <v>68872</v>
      </c>
      <c r="AE74" s="20"/>
      <c r="AF74" s="8">
        <v>0</v>
      </c>
      <c r="AG74" s="20"/>
      <c r="AH74" s="11">
        <f t="shared" si="6"/>
        <v>8944732</v>
      </c>
      <c r="AI74" s="11"/>
      <c r="AJ74" s="11">
        <v>0</v>
      </c>
      <c r="AK74" s="11"/>
      <c r="AL74" s="8">
        <v>2583348</v>
      </c>
      <c r="AM74" s="40"/>
      <c r="AN74" s="40">
        <v>985349</v>
      </c>
      <c r="AO74" s="40"/>
      <c r="AP74" s="40">
        <v>0</v>
      </c>
      <c r="AQ74" s="40"/>
      <c r="AR74" s="40">
        <f>+'GVFund Rev'!U74+'GVFund Rev'!W74-'GVFund Exp'!AH74-'GVFund Exp'!AL74+AJ74+AN74+AP74-'GV Fund BS'!W74</f>
        <v>0</v>
      </c>
      <c r="AS74" s="22"/>
    </row>
    <row r="75" spans="1:45" s="9" customFormat="1" ht="12.75" hidden="1" customHeight="1" x14ac:dyDescent="0.2">
      <c r="A75" s="19" t="s">
        <v>93</v>
      </c>
      <c r="C75" s="19" t="s">
        <v>92</v>
      </c>
      <c r="E75" s="8">
        <v>569845</v>
      </c>
      <c r="F75" s="11"/>
      <c r="G75" s="8">
        <v>997789</v>
      </c>
      <c r="H75" s="11"/>
      <c r="I75" s="8">
        <v>162713</v>
      </c>
      <c r="J75" s="11"/>
      <c r="K75" s="8">
        <v>70781</v>
      </c>
      <c r="L75" s="11"/>
      <c r="M75" s="8">
        <v>281395</v>
      </c>
      <c r="N75" s="11"/>
      <c r="O75" s="8">
        <v>213470</v>
      </c>
      <c r="P75" s="11"/>
      <c r="Q75" s="8">
        <v>0</v>
      </c>
      <c r="R75" s="11"/>
      <c r="S75" s="8">
        <v>217264</v>
      </c>
      <c r="T75" s="11"/>
      <c r="U75" s="8">
        <v>0</v>
      </c>
      <c r="V75" s="11"/>
      <c r="W75" s="11"/>
      <c r="X75" s="6"/>
      <c r="Y75" s="7"/>
      <c r="Z75" s="6"/>
      <c r="AA75" s="6"/>
      <c r="AB75" s="8">
        <v>105001</v>
      </c>
      <c r="AC75" s="20"/>
      <c r="AD75" s="8">
        <v>33369</v>
      </c>
      <c r="AE75" s="20"/>
      <c r="AF75" s="8">
        <v>0</v>
      </c>
      <c r="AG75" s="20"/>
      <c r="AH75" s="11">
        <f t="shared" si="6"/>
        <v>2651627</v>
      </c>
      <c r="AI75" s="11"/>
      <c r="AJ75" s="11">
        <v>0</v>
      </c>
      <c r="AK75" s="11"/>
      <c r="AL75" s="8">
        <v>94341</v>
      </c>
      <c r="AM75" s="8"/>
      <c r="AN75" s="8">
        <v>612093</v>
      </c>
      <c r="AO75" s="8"/>
      <c r="AP75" s="8">
        <v>178</v>
      </c>
      <c r="AQ75" s="8"/>
      <c r="AR75" s="8">
        <f>+'GVFund Rev'!U75+'GVFund Rev'!W75-'GVFund Exp'!AH75-'GVFund Exp'!AL75+AJ75+AN75+AP75-'GV Fund BS'!W75</f>
        <v>0</v>
      </c>
      <c r="AS75" s="22"/>
    </row>
    <row r="76" spans="1:45" s="9" customFormat="1" ht="12.75" customHeight="1" x14ac:dyDescent="0.2">
      <c r="A76" s="6" t="s">
        <v>89</v>
      </c>
      <c r="B76" s="7"/>
      <c r="C76" s="6" t="s">
        <v>90</v>
      </c>
      <c r="D76" s="7"/>
      <c r="E76" s="8">
        <v>4142019</v>
      </c>
      <c r="F76" s="11"/>
      <c r="G76" s="8">
        <v>5367148</v>
      </c>
      <c r="H76" s="11"/>
      <c r="I76" s="8">
        <v>230267</v>
      </c>
      <c r="J76" s="11"/>
      <c r="K76" s="8">
        <v>168937</v>
      </c>
      <c r="L76" s="11"/>
      <c r="M76" s="8">
        <v>1155832</v>
      </c>
      <c r="N76" s="11"/>
      <c r="O76" s="8">
        <v>656913</v>
      </c>
      <c r="P76" s="11"/>
      <c r="Q76" s="8">
        <v>324675</v>
      </c>
      <c r="R76" s="11"/>
      <c r="S76" s="8">
        <v>620295</v>
      </c>
      <c r="T76" s="11"/>
      <c r="U76" s="8">
        <v>0</v>
      </c>
      <c r="V76" s="11"/>
      <c r="W76" s="11"/>
      <c r="X76" s="6"/>
      <c r="Y76" s="7"/>
      <c r="Z76" s="6"/>
      <c r="AA76" s="6"/>
      <c r="AB76" s="8">
        <v>932007</v>
      </c>
      <c r="AC76" s="20"/>
      <c r="AD76" s="8">
        <v>539530</v>
      </c>
      <c r="AE76" s="20"/>
      <c r="AF76" s="8">
        <v>0</v>
      </c>
      <c r="AG76" s="20"/>
      <c r="AH76" s="11">
        <f t="shared" si="6"/>
        <v>14137623</v>
      </c>
      <c r="AI76" s="11"/>
      <c r="AJ76" s="11">
        <v>0</v>
      </c>
      <c r="AK76" s="11"/>
      <c r="AL76" s="8">
        <v>1217900</v>
      </c>
      <c r="AM76" s="8"/>
      <c r="AN76" s="8">
        <v>3310071</v>
      </c>
      <c r="AO76" s="8"/>
      <c r="AP76" s="8">
        <v>0</v>
      </c>
      <c r="AQ76" s="8"/>
      <c r="AR76" s="8">
        <f>+'GVFund Rev'!U76+'GVFund Rev'!W76-'GVFund Exp'!AH76-'GVFund Exp'!AL76+AJ76+AN76+AP76-'GV Fund BS'!W76</f>
        <v>0</v>
      </c>
      <c r="AS76" s="22"/>
    </row>
    <row r="77" spans="1:45" s="7" customFormat="1" ht="12.75" customHeight="1" x14ac:dyDescent="0.2">
      <c r="A77" s="6" t="s">
        <v>94</v>
      </c>
      <c r="C77" s="6" t="s">
        <v>95</v>
      </c>
      <c r="E77" s="8">
        <v>2080198</v>
      </c>
      <c r="F77" s="11"/>
      <c r="G77" s="8">
        <v>3311522</v>
      </c>
      <c r="H77" s="11"/>
      <c r="I77" s="8">
        <v>200724</v>
      </c>
      <c r="J77" s="11"/>
      <c r="K77" s="8">
        <v>164897</v>
      </c>
      <c r="L77" s="11"/>
      <c r="M77" s="8">
        <v>1271246</v>
      </c>
      <c r="N77" s="11"/>
      <c r="O77" s="8">
        <v>216236</v>
      </c>
      <c r="P77" s="11"/>
      <c r="Q77" s="8">
        <v>0</v>
      </c>
      <c r="R77" s="11"/>
      <c r="S77" s="8">
        <v>944419</v>
      </c>
      <c r="T77" s="11"/>
      <c r="U77" s="8">
        <v>0</v>
      </c>
      <c r="V77" s="11"/>
      <c r="W77" s="11"/>
      <c r="X77" s="6"/>
      <c r="Z77" s="6"/>
      <c r="AA77" s="6"/>
      <c r="AB77" s="8">
        <v>262361</v>
      </c>
      <c r="AC77" s="20"/>
      <c r="AD77" s="8">
        <v>38437</v>
      </c>
      <c r="AE77" s="20"/>
      <c r="AF77" s="8">
        <v>0</v>
      </c>
      <c r="AG77" s="20"/>
      <c r="AH77" s="11">
        <f t="shared" si="6"/>
        <v>8490040</v>
      </c>
      <c r="AI77" s="11"/>
      <c r="AJ77" s="11">
        <v>0</v>
      </c>
      <c r="AK77" s="11"/>
      <c r="AL77" s="8">
        <v>75000</v>
      </c>
      <c r="AM77" s="8"/>
      <c r="AN77" s="8">
        <v>6657922</v>
      </c>
      <c r="AO77" s="8"/>
      <c r="AP77" s="8">
        <v>0</v>
      </c>
      <c r="AQ77" s="8"/>
      <c r="AR77" s="8">
        <f>+'GVFund Rev'!U77+'GVFund Rev'!W77-'GVFund Exp'!AH77-'GVFund Exp'!AL77+AJ77+AN77+AP77-'GV Fund BS'!W77</f>
        <v>0</v>
      </c>
      <c r="AS77" s="11"/>
    </row>
    <row r="78" spans="1:45" s="7" customFormat="1" ht="12.75" customHeight="1" x14ac:dyDescent="0.2">
      <c r="A78" s="6" t="s">
        <v>96</v>
      </c>
      <c r="C78" s="6" t="s">
        <v>15</v>
      </c>
      <c r="E78" s="8">
        <v>7036793</v>
      </c>
      <c r="F78" s="11"/>
      <c r="G78" s="8">
        <v>20211262</v>
      </c>
      <c r="H78" s="11"/>
      <c r="I78" s="8">
        <v>2109326</v>
      </c>
      <c r="J78" s="11"/>
      <c r="K78" s="8">
        <v>2086920</v>
      </c>
      <c r="L78" s="11"/>
      <c r="M78" s="8">
        <v>1856729</v>
      </c>
      <c r="N78" s="11"/>
      <c r="O78" s="8">
        <v>1573073</v>
      </c>
      <c r="P78" s="11"/>
      <c r="Q78" s="8">
        <v>0</v>
      </c>
      <c r="R78" s="11"/>
      <c r="S78" s="8">
        <v>4379165</v>
      </c>
      <c r="T78" s="11"/>
      <c r="U78" s="8">
        <v>0</v>
      </c>
      <c r="V78" s="11"/>
      <c r="W78" s="11"/>
      <c r="X78" s="6"/>
      <c r="Z78" s="6"/>
      <c r="AA78" s="6"/>
      <c r="AB78" s="8">
        <v>2172674</v>
      </c>
      <c r="AC78" s="20"/>
      <c r="AD78" s="8">
        <v>1206322</v>
      </c>
      <c r="AE78" s="20"/>
      <c r="AF78" s="8">
        <v>0</v>
      </c>
      <c r="AG78" s="20"/>
      <c r="AH78" s="11">
        <f t="shared" si="6"/>
        <v>42632264</v>
      </c>
      <c r="AI78" s="11"/>
      <c r="AJ78" s="11">
        <v>0</v>
      </c>
      <c r="AK78" s="11"/>
      <c r="AL78" s="8">
        <v>728460</v>
      </c>
      <c r="AM78" s="8"/>
      <c r="AN78" s="8">
        <v>10136210</v>
      </c>
      <c r="AO78" s="8"/>
      <c r="AP78" s="8">
        <v>0</v>
      </c>
      <c r="AQ78" s="8"/>
      <c r="AR78" s="8">
        <f>+'GVFund Rev'!U78+'GVFund Rev'!W78-'GVFund Exp'!AH78-'GVFund Exp'!AL78+AJ78+AN78+AP78-'GV Fund BS'!W78</f>
        <v>0</v>
      </c>
      <c r="AS78" s="11"/>
    </row>
    <row r="79" spans="1:45" s="7" customFormat="1" ht="12.75" customHeight="1" x14ac:dyDescent="0.2">
      <c r="A79" s="6" t="s">
        <v>97</v>
      </c>
      <c r="C79" s="6" t="s">
        <v>64</v>
      </c>
      <c r="E79" s="8">
        <v>1277074</v>
      </c>
      <c r="F79" s="11"/>
      <c r="G79" s="8">
        <v>5084534</v>
      </c>
      <c r="H79" s="11"/>
      <c r="I79" s="8">
        <v>463851</v>
      </c>
      <c r="J79" s="11"/>
      <c r="K79" s="8">
        <v>5738</v>
      </c>
      <c r="L79" s="11"/>
      <c r="M79" s="8">
        <v>1855062</v>
      </c>
      <c r="N79" s="11"/>
      <c r="O79" s="8">
        <v>367076</v>
      </c>
      <c r="P79" s="11"/>
      <c r="Q79" s="8">
        <v>0</v>
      </c>
      <c r="R79" s="11"/>
      <c r="S79" s="8">
        <v>1253371</v>
      </c>
      <c r="T79" s="11"/>
      <c r="U79" s="8">
        <v>0</v>
      </c>
      <c r="V79" s="11"/>
      <c r="W79" s="11"/>
      <c r="X79" s="6"/>
      <c r="Z79" s="6"/>
      <c r="AA79" s="6"/>
      <c r="AB79" s="8">
        <v>0</v>
      </c>
      <c r="AC79" s="20"/>
      <c r="AD79" s="8">
        <v>0</v>
      </c>
      <c r="AE79" s="20"/>
      <c r="AF79" s="8">
        <v>0</v>
      </c>
      <c r="AG79" s="20"/>
      <c r="AH79" s="11">
        <f t="shared" si="6"/>
        <v>10306706</v>
      </c>
      <c r="AI79" s="11"/>
      <c r="AJ79" s="11">
        <v>0</v>
      </c>
      <c r="AK79" s="11"/>
      <c r="AL79" s="8">
        <v>5028056</v>
      </c>
      <c r="AM79" s="8"/>
      <c r="AN79" s="8">
        <v>13385596</v>
      </c>
      <c r="AO79" s="8"/>
      <c r="AP79" s="8">
        <v>6916</v>
      </c>
      <c r="AQ79" s="8"/>
      <c r="AR79" s="8">
        <f>+'GVFund Rev'!U79+'GVFund Rev'!W79-'GVFund Exp'!AH79-'GVFund Exp'!AL79+AJ79+AN79+AP79-'GV Fund BS'!W79</f>
        <v>0</v>
      </c>
      <c r="AS79" s="11"/>
    </row>
    <row r="80" spans="1:45" s="7" customFormat="1" ht="12.75" customHeight="1" x14ac:dyDescent="0.2">
      <c r="A80" s="6" t="s">
        <v>98</v>
      </c>
      <c r="C80" s="6" t="s">
        <v>25</v>
      </c>
      <c r="E80" s="8">
        <v>12087105</v>
      </c>
      <c r="F80" s="11"/>
      <c r="G80" s="8">
        <v>20379045</v>
      </c>
      <c r="H80" s="11"/>
      <c r="I80" s="8">
        <v>2999577</v>
      </c>
      <c r="J80" s="11"/>
      <c r="K80" s="8">
        <v>275451</v>
      </c>
      <c r="L80" s="11"/>
      <c r="M80" s="8">
        <v>1909461</v>
      </c>
      <c r="N80" s="11"/>
      <c r="O80" s="8">
        <v>1517664</v>
      </c>
      <c r="P80" s="11"/>
      <c r="Q80" s="8">
        <v>2067356</v>
      </c>
      <c r="R80" s="11"/>
      <c r="S80" s="8">
        <v>2658188</v>
      </c>
      <c r="T80" s="11"/>
      <c r="U80" s="8">
        <v>0</v>
      </c>
      <c r="V80" s="11"/>
      <c r="W80" s="11"/>
      <c r="X80" s="6"/>
      <c r="Z80" s="6"/>
      <c r="AA80" s="6"/>
      <c r="AB80" s="8">
        <v>3077574</v>
      </c>
      <c r="AC80" s="20"/>
      <c r="AD80" s="8">
        <v>1086530</v>
      </c>
      <c r="AE80" s="20"/>
      <c r="AF80" s="8">
        <v>17592</v>
      </c>
      <c r="AG80" s="20"/>
      <c r="AH80" s="11">
        <f t="shared" si="6"/>
        <v>48075543</v>
      </c>
      <c r="AI80" s="11"/>
      <c r="AJ80" s="11">
        <v>0</v>
      </c>
      <c r="AK80" s="11"/>
      <c r="AL80" s="8">
        <v>4459675</v>
      </c>
      <c r="AM80" s="8"/>
      <c r="AN80" s="8">
        <v>13187765</v>
      </c>
      <c r="AO80" s="8"/>
      <c r="AP80" s="8">
        <v>0</v>
      </c>
      <c r="AQ80" s="8"/>
      <c r="AR80" s="8">
        <f>+'GVFund Rev'!U80+'GVFund Rev'!W80-'GVFund Exp'!AH80-'GVFund Exp'!AL80+AJ80+AN80+AP80-'GV Fund BS'!W80</f>
        <v>0</v>
      </c>
      <c r="AS80" s="11"/>
    </row>
    <row r="81" spans="1:45" s="7" customFormat="1" ht="12.75" customHeight="1" x14ac:dyDescent="0.2">
      <c r="A81" s="6" t="s">
        <v>99</v>
      </c>
      <c r="C81" s="6" t="s">
        <v>28</v>
      </c>
      <c r="E81" s="8">
        <v>6410454</v>
      </c>
      <c r="F81" s="11"/>
      <c r="G81" s="8">
        <v>12282513</v>
      </c>
      <c r="H81" s="11"/>
      <c r="I81" s="8">
        <v>1349975</v>
      </c>
      <c r="J81" s="11"/>
      <c r="K81" s="8">
        <v>94743</v>
      </c>
      <c r="L81" s="11"/>
      <c r="M81" s="8">
        <v>1703901</v>
      </c>
      <c r="N81" s="11"/>
      <c r="O81" s="8">
        <v>169189</v>
      </c>
      <c r="P81" s="11"/>
      <c r="Q81" s="8">
        <v>0</v>
      </c>
      <c r="R81" s="11"/>
      <c r="S81" s="8">
        <v>3620577</v>
      </c>
      <c r="T81" s="11"/>
      <c r="U81" s="8">
        <v>223589</v>
      </c>
      <c r="V81" s="11"/>
      <c r="W81" s="11"/>
      <c r="X81" s="6"/>
      <c r="Z81" s="6"/>
      <c r="AA81" s="6"/>
      <c r="AB81" s="8">
        <v>1755570</v>
      </c>
      <c r="AC81" s="20"/>
      <c r="AD81" s="8">
        <v>363988</v>
      </c>
      <c r="AE81" s="20"/>
      <c r="AF81" s="8">
        <v>0</v>
      </c>
      <c r="AG81" s="20"/>
      <c r="AH81" s="11">
        <f t="shared" si="6"/>
        <v>27974499</v>
      </c>
      <c r="AI81" s="11"/>
      <c r="AJ81" s="11">
        <v>0</v>
      </c>
      <c r="AK81" s="11"/>
      <c r="AL81" s="8">
        <v>5170028</v>
      </c>
      <c r="AM81" s="8"/>
      <c r="AN81" s="8">
        <v>12074552</v>
      </c>
      <c r="AO81" s="8"/>
      <c r="AP81" s="8">
        <v>0</v>
      </c>
      <c r="AQ81" s="8"/>
      <c r="AR81" s="8">
        <f>+'GVFund Rev'!U81+'GVFund Rev'!W81-'GVFund Exp'!AH81-'GVFund Exp'!AL81+AJ81+AN81+AP81-'GV Fund BS'!W81</f>
        <v>0</v>
      </c>
      <c r="AS81" s="11"/>
    </row>
    <row r="82" spans="1:45" s="7" customFormat="1" ht="12.75" customHeight="1" x14ac:dyDescent="0.2">
      <c r="A82" s="6" t="s">
        <v>100</v>
      </c>
      <c r="C82" s="6" t="s">
        <v>101</v>
      </c>
      <c r="E82" s="8">
        <v>7434531</v>
      </c>
      <c r="F82" s="11"/>
      <c r="G82" s="8">
        <v>14999429</v>
      </c>
      <c r="H82" s="11"/>
      <c r="I82" s="8">
        <v>1304371</v>
      </c>
      <c r="J82" s="11"/>
      <c r="K82" s="8">
        <v>21784</v>
      </c>
      <c r="L82" s="11"/>
      <c r="M82" s="8">
        <v>2870788</v>
      </c>
      <c r="N82" s="11"/>
      <c r="O82" s="8">
        <v>2279421</v>
      </c>
      <c r="P82" s="11"/>
      <c r="Q82" s="8">
        <v>412238</v>
      </c>
      <c r="R82" s="11"/>
      <c r="S82" s="8">
        <v>10835160</v>
      </c>
      <c r="T82" s="11"/>
      <c r="U82" s="8">
        <v>0</v>
      </c>
      <c r="V82" s="11"/>
      <c r="W82" s="11"/>
      <c r="X82" s="6"/>
      <c r="Z82" s="6"/>
      <c r="AA82" s="6"/>
      <c r="AB82" s="8">
        <v>1716763</v>
      </c>
      <c r="AC82" s="20"/>
      <c r="AD82" s="8">
        <v>839474</v>
      </c>
      <c r="AE82" s="20"/>
      <c r="AF82" s="8">
        <v>109811</v>
      </c>
      <c r="AG82" s="20"/>
      <c r="AH82" s="11">
        <f t="shared" si="6"/>
        <v>42823770</v>
      </c>
      <c r="AI82" s="11"/>
      <c r="AJ82" s="11">
        <v>0</v>
      </c>
      <c r="AK82" s="11"/>
      <c r="AL82" s="8">
        <f>6852466+5061472</f>
        <v>11913938</v>
      </c>
      <c r="AM82" s="8"/>
      <c r="AN82" s="8">
        <v>26721973</v>
      </c>
      <c r="AO82" s="8"/>
      <c r="AP82" s="8">
        <v>0</v>
      </c>
      <c r="AQ82" s="8"/>
      <c r="AR82" s="8">
        <f>+'GVFund Rev'!U82+'GVFund Rev'!W82-'GVFund Exp'!AH82-'GVFund Exp'!AL82+AJ82+AN82+AP82-'GV Fund BS'!W82</f>
        <v>0</v>
      </c>
      <c r="AS82" s="11"/>
    </row>
    <row r="83" spans="1:45" s="7" customFormat="1" ht="12.75" customHeight="1" x14ac:dyDescent="0.2">
      <c r="A83" s="6" t="s">
        <v>102</v>
      </c>
      <c r="C83" s="6" t="s">
        <v>11</v>
      </c>
      <c r="E83" s="8">
        <v>2639319</v>
      </c>
      <c r="F83" s="11"/>
      <c r="G83" s="8">
        <v>5920604</v>
      </c>
      <c r="H83" s="11"/>
      <c r="I83" s="8">
        <f>351400+10000</f>
        <v>361400</v>
      </c>
      <c r="J83" s="11"/>
      <c r="K83" s="8">
        <v>118910</v>
      </c>
      <c r="L83" s="11"/>
      <c r="M83" s="8">
        <v>2206244</v>
      </c>
      <c r="N83" s="11"/>
      <c r="O83" s="8">
        <v>367426</v>
      </c>
      <c r="P83" s="11"/>
      <c r="Q83" s="8">
        <v>278183</v>
      </c>
      <c r="R83" s="11"/>
      <c r="S83" s="8">
        <v>1632804</v>
      </c>
      <c r="T83" s="11"/>
      <c r="U83" s="8">
        <v>0</v>
      </c>
      <c r="V83" s="11"/>
      <c r="W83" s="11"/>
      <c r="X83" s="6"/>
      <c r="Z83" s="6"/>
      <c r="AA83" s="6"/>
      <c r="AB83" s="8">
        <v>5357100</v>
      </c>
      <c r="AC83" s="20"/>
      <c r="AD83" s="8">
        <v>259447</v>
      </c>
      <c r="AE83" s="20"/>
      <c r="AF83" s="8">
        <v>87888</v>
      </c>
      <c r="AG83" s="20"/>
      <c r="AH83" s="11">
        <f t="shared" si="6"/>
        <v>19229325</v>
      </c>
      <c r="AI83" s="11"/>
      <c r="AJ83" s="11">
        <v>0</v>
      </c>
      <c r="AK83" s="11"/>
      <c r="AL83" s="8">
        <f>100000+322500</f>
        <v>422500</v>
      </c>
      <c r="AM83" s="8"/>
      <c r="AN83" s="8">
        <v>15816349</v>
      </c>
      <c r="AO83" s="8"/>
      <c r="AP83" s="8">
        <v>-63476</v>
      </c>
      <c r="AQ83" s="8"/>
      <c r="AR83" s="8">
        <f>+'GVFund Rev'!U83+'GVFund Rev'!W83-'GVFund Exp'!AH83-'GVFund Exp'!AL83+AJ83+AN83+AP83-'GV Fund BS'!W83</f>
        <v>0</v>
      </c>
      <c r="AS83" s="11"/>
    </row>
    <row r="84" spans="1:45" s="7" customFormat="1" ht="12.75" customHeight="1" x14ac:dyDescent="0.2">
      <c r="A84" s="6" t="s">
        <v>103</v>
      </c>
      <c r="C84" s="6" t="s">
        <v>25</v>
      </c>
      <c r="E84" s="8">
        <v>1957320</v>
      </c>
      <c r="F84" s="11"/>
      <c r="G84" s="8">
        <v>6473901</v>
      </c>
      <c r="H84" s="11"/>
      <c r="I84" s="8">
        <v>297151</v>
      </c>
      <c r="J84" s="11"/>
      <c r="K84" s="8">
        <v>1505</v>
      </c>
      <c r="L84" s="11"/>
      <c r="M84" s="8">
        <v>1098467</v>
      </c>
      <c r="N84" s="11"/>
      <c r="O84" s="8">
        <v>3216922</v>
      </c>
      <c r="P84" s="11"/>
      <c r="Q84" s="8">
        <v>1136269</v>
      </c>
      <c r="R84" s="11"/>
      <c r="S84" s="8">
        <v>1094730</v>
      </c>
      <c r="T84" s="11"/>
      <c r="U84" s="8">
        <v>0</v>
      </c>
      <c r="V84" s="11"/>
      <c r="W84" s="11"/>
      <c r="X84" s="6"/>
      <c r="Z84" s="6"/>
      <c r="AA84" s="6"/>
      <c r="AB84" s="8">
        <v>992972</v>
      </c>
      <c r="AC84" s="20"/>
      <c r="AD84" s="8">
        <v>686720</v>
      </c>
      <c r="AE84" s="20"/>
      <c r="AF84" s="8">
        <v>277464</v>
      </c>
      <c r="AG84" s="20"/>
      <c r="AH84" s="11">
        <f t="shared" si="6"/>
        <v>17233421</v>
      </c>
      <c r="AI84" s="11"/>
      <c r="AJ84" s="11">
        <v>0</v>
      </c>
      <c r="AK84" s="11"/>
      <c r="AL84" s="8">
        <f>21209265+662500</f>
        <v>21871765</v>
      </c>
      <c r="AM84" s="8"/>
      <c r="AN84" s="8">
        <v>5486946</v>
      </c>
      <c r="AO84" s="8"/>
      <c r="AP84" s="8">
        <v>0</v>
      </c>
      <c r="AQ84" s="8"/>
      <c r="AR84" s="8">
        <f>+'GVFund Rev'!U84+'GVFund Rev'!W84-'GVFund Exp'!AH84-'GVFund Exp'!AL84+AJ84+AN84+AP84-'GV Fund BS'!W84</f>
        <v>0</v>
      </c>
      <c r="AS84" s="11"/>
    </row>
    <row r="85" spans="1:45" s="7" customFormat="1" ht="12.75" customHeight="1" x14ac:dyDescent="0.2">
      <c r="A85" s="6" t="s">
        <v>104</v>
      </c>
      <c r="C85" s="6" t="s">
        <v>105</v>
      </c>
      <c r="E85" s="8">
        <v>8985945</v>
      </c>
      <c r="F85" s="11"/>
      <c r="G85" s="8">
        <v>14918793</v>
      </c>
      <c r="H85" s="11"/>
      <c r="I85" s="8">
        <v>0</v>
      </c>
      <c r="J85" s="11"/>
      <c r="K85" s="8">
        <v>1947627</v>
      </c>
      <c r="L85" s="11"/>
      <c r="M85" s="8">
        <v>2281244</v>
      </c>
      <c r="N85" s="11"/>
      <c r="O85" s="8">
        <v>1221237</v>
      </c>
      <c r="P85" s="11"/>
      <c r="Q85" s="8">
        <v>0</v>
      </c>
      <c r="R85" s="11"/>
      <c r="S85" s="8">
        <v>2961849</v>
      </c>
      <c r="T85" s="11"/>
      <c r="U85" s="8">
        <v>0</v>
      </c>
      <c r="V85" s="11"/>
      <c r="W85" s="11"/>
      <c r="X85" s="6"/>
      <c r="Z85" s="6"/>
      <c r="AA85" s="6"/>
      <c r="AB85" s="8">
        <v>565989</v>
      </c>
      <c r="AC85" s="20"/>
      <c r="AD85" s="8">
        <v>424971</v>
      </c>
      <c r="AE85" s="20"/>
      <c r="AF85" s="8">
        <v>0</v>
      </c>
      <c r="AG85" s="20"/>
      <c r="AH85" s="11">
        <f t="shared" si="6"/>
        <v>33307655</v>
      </c>
      <c r="AI85" s="11"/>
      <c r="AJ85" s="11">
        <v>0</v>
      </c>
      <c r="AK85" s="11"/>
      <c r="AL85" s="8">
        <v>26726780</v>
      </c>
      <c r="AM85" s="8"/>
      <c r="AN85" s="8">
        <v>18905525</v>
      </c>
      <c r="AO85" s="8"/>
      <c r="AP85" s="8">
        <f>-45186+2660</f>
        <v>-42526</v>
      </c>
      <c r="AQ85" s="8"/>
      <c r="AR85" s="8">
        <f>+'GVFund Rev'!U85+'GVFund Rev'!W85-'GVFund Exp'!AH85-'GVFund Exp'!AL85+AJ85+AN85+AP85-'GV Fund BS'!W85</f>
        <v>0</v>
      </c>
      <c r="AS85" s="11"/>
    </row>
    <row r="86" spans="1:45" s="7" customFormat="1" ht="12.75" customHeight="1" x14ac:dyDescent="0.2">
      <c r="A86" s="6" t="s">
        <v>106</v>
      </c>
      <c r="C86" s="6" t="s">
        <v>43</v>
      </c>
      <c r="E86" s="8">
        <v>4179260</v>
      </c>
      <c r="F86" s="11"/>
      <c r="G86" s="8">
        <v>9227480</v>
      </c>
      <c r="H86" s="11"/>
      <c r="I86" s="8">
        <v>615218</v>
      </c>
      <c r="J86" s="11"/>
      <c r="K86" s="8">
        <v>20764</v>
      </c>
      <c r="L86" s="11"/>
      <c r="M86" s="8">
        <v>2148274</v>
      </c>
      <c r="N86" s="11"/>
      <c r="O86" s="8">
        <v>267494</v>
      </c>
      <c r="P86" s="11"/>
      <c r="Q86" s="8">
        <v>0</v>
      </c>
      <c r="R86" s="11"/>
      <c r="S86" s="8">
        <v>3727802</v>
      </c>
      <c r="T86" s="11"/>
      <c r="U86" s="8">
        <v>0</v>
      </c>
      <c r="V86" s="11"/>
      <c r="W86" s="11"/>
      <c r="X86" s="6"/>
      <c r="Z86" s="6"/>
      <c r="AA86" s="6"/>
      <c r="AB86" s="8">
        <v>324132</v>
      </c>
      <c r="AC86" s="20"/>
      <c r="AD86" s="8">
        <v>148699</v>
      </c>
      <c r="AE86" s="20"/>
      <c r="AF86" s="8">
        <v>0</v>
      </c>
      <c r="AG86" s="20"/>
      <c r="AH86" s="11">
        <f t="shared" si="6"/>
        <v>20659123</v>
      </c>
      <c r="AI86" s="11"/>
      <c r="AJ86" s="11">
        <v>0</v>
      </c>
      <c r="AK86" s="11"/>
      <c r="AL86" s="8">
        <v>1101364</v>
      </c>
      <c r="AM86" s="8"/>
      <c r="AN86" s="8">
        <v>6601051</v>
      </c>
      <c r="AO86" s="8"/>
      <c r="AP86" s="8">
        <v>0</v>
      </c>
      <c r="AQ86" s="8"/>
      <c r="AR86" s="8">
        <f>+'GVFund Rev'!U86+'GVFund Rev'!W86-'GVFund Exp'!AH86-'GVFund Exp'!AL86+AJ86+AN86+AP86-'GV Fund BS'!W86</f>
        <v>0</v>
      </c>
      <c r="AS86" s="11"/>
    </row>
    <row r="87" spans="1:45" s="7" customFormat="1" ht="12.75" customHeight="1" x14ac:dyDescent="0.2">
      <c r="A87" s="19"/>
      <c r="B87" s="9"/>
      <c r="C87" s="19"/>
      <c r="D87" s="9"/>
      <c r="E87" s="8"/>
      <c r="F87" s="11"/>
      <c r="G87" s="8"/>
      <c r="H87" s="11"/>
      <c r="I87" s="8"/>
      <c r="J87" s="11"/>
      <c r="K87" s="8"/>
      <c r="L87" s="11"/>
      <c r="M87" s="8"/>
      <c r="N87" s="11"/>
      <c r="O87" s="8"/>
      <c r="P87" s="11"/>
      <c r="Q87" s="8"/>
      <c r="R87" s="11"/>
      <c r="S87" s="8"/>
      <c r="T87" s="11"/>
      <c r="U87" s="8"/>
      <c r="V87" s="11"/>
      <c r="W87" s="11"/>
      <c r="X87" s="6"/>
      <c r="Z87" s="6"/>
      <c r="AA87" s="6"/>
      <c r="AB87" s="8"/>
      <c r="AC87" s="20"/>
      <c r="AD87" s="8"/>
      <c r="AE87" s="20"/>
      <c r="AF87" s="8"/>
      <c r="AG87" s="20"/>
      <c r="AH87" s="11"/>
      <c r="AI87" s="11"/>
      <c r="AJ87" s="8"/>
      <c r="AK87" s="11"/>
      <c r="AL87" s="11" t="s">
        <v>478</v>
      </c>
      <c r="AM87" s="8"/>
      <c r="AN87" s="8"/>
      <c r="AO87" s="8"/>
      <c r="AP87" s="8"/>
      <c r="AQ87" s="8"/>
      <c r="AR87" s="8"/>
      <c r="AS87" s="11"/>
    </row>
    <row r="88" spans="1:45" s="74" customFormat="1" ht="12.75" customHeight="1" x14ac:dyDescent="0.2">
      <c r="A88" s="38" t="s">
        <v>387</v>
      </c>
      <c r="C88" s="75"/>
      <c r="D88" s="10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38"/>
      <c r="R88" s="75"/>
      <c r="S88" s="75"/>
      <c r="T88" s="75"/>
      <c r="U88" s="75"/>
      <c r="V88" s="75"/>
      <c r="W88" s="75"/>
      <c r="X88" s="38" t="s">
        <v>387</v>
      </c>
      <c r="AA88" s="75"/>
      <c r="AB88" s="75"/>
      <c r="AD88" s="38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</row>
    <row r="89" spans="1:45" s="74" customFormat="1" ht="12.75" customHeight="1" x14ac:dyDescent="0.2">
      <c r="A89" s="38" t="s">
        <v>505</v>
      </c>
      <c r="C89" s="75"/>
      <c r="D89" s="10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38"/>
      <c r="R89" s="75"/>
      <c r="S89" s="75"/>
      <c r="T89" s="75"/>
      <c r="U89" s="75"/>
      <c r="V89" s="75"/>
      <c r="W89" s="75"/>
      <c r="X89" s="38" t="s">
        <v>314</v>
      </c>
      <c r="AA89" s="75"/>
      <c r="AB89" s="75"/>
      <c r="AD89" s="38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</row>
    <row r="90" spans="1:45" ht="12.75" customHeight="1" x14ac:dyDescent="0.2">
      <c r="A90" s="75" t="s">
        <v>287</v>
      </c>
      <c r="C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75"/>
      <c r="R90" s="13"/>
      <c r="S90" s="13"/>
      <c r="T90" s="13"/>
      <c r="U90" s="13"/>
      <c r="V90" s="13"/>
      <c r="W90" s="13"/>
      <c r="X90" s="75" t="s">
        <v>287</v>
      </c>
      <c r="AA90" s="13"/>
      <c r="AB90" s="13"/>
      <c r="AD90" s="75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</row>
    <row r="91" spans="1:45" ht="12.75" customHeight="1" x14ac:dyDescent="0.2">
      <c r="A91" s="75" t="s">
        <v>478</v>
      </c>
      <c r="C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75"/>
      <c r="R91" s="13"/>
      <c r="S91" s="13"/>
      <c r="T91" s="13"/>
      <c r="U91" s="13"/>
      <c r="V91" s="13"/>
      <c r="W91" s="13"/>
      <c r="X91" s="75"/>
      <c r="AA91" s="13"/>
      <c r="AB91" s="13"/>
      <c r="AD91" s="75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</row>
    <row r="93" spans="1:45" s="43" customFormat="1" ht="12.75" customHeight="1" x14ac:dyDescent="0.2">
      <c r="A93" s="3"/>
      <c r="C93" s="3"/>
      <c r="E93" s="3"/>
      <c r="F93" s="3"/>
      <c r="G93" s="3" t="s">
        <v>394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Z93" s="3"/>
      <c r="AA93" s="3"/>
      <c r="AB93" s="3"/>
      <c r="AD93" s="3"/>
      <c r="AL93" s="3"/>
      <c r="AM93" s="3"/>
      <c r="AN93" s="3" t="s">
        <v>323</v>
      </c>
      <c r="AO93" s="3"/>
      <c r="AP93" s="43" t="s">
        <v>453</v>
      </c>
      <c r="AQ93" s="3"/>
      <c r="AR93" s="3"/>
    </row>
    <row r="94" spans="1:45" s="43" customFormat="1" ht="12.75" customHeight="1" x14ac:dyDescent="0.2">
      <c r="A94" s="3"/>
      <c r="C94" s="3"/>
      <c r="D94" s="3"/>
      <c r="E94" s="44" t="s">
        <v>294</v>
      </c>
      <c r="F94" s="3"/>
      <c r="G94" s="44" t="s">
        <v>420</v>
      </c>
      <c r="H94" s="3"/>
      <c r="I94" s="3" t="s">
        <v>331</v>
      </c>
      <c r="J94" s="3"/>
      <c r="K94" s="3"/>
      <c r="L94" s="3"/>
      <c r="M94" s="3"/>
      <c r="N94" s="3"/>
      <c r="O94" s="3" t="s">
        <v>304</v>
      </c>
      <c r="P94" s="3"/>
      <c r="Q94" s="3" t="s">
        <v>332</v>
      </c>
      <c r="R94" s="3"/>
      <c r="S94" s="3" t="s">
        <v>3</v>
      </c>
      <c r="T94" s="3"/>
      <c r="U94" s="3" t="s">
        <v>325</v>
      </c>
      <c r="V94" s="3"/>
      <c r="W94" s="3"/>
      <c r="X94" s="3"/>
      <c r="Z94" s="3"/>
      <c r="AA94" s="3"/>
      <c r="AB94" s="3"/>
      <c r="AD94" s="3" t="s">
        <v>342</v>
      </c>
      <c r="AF94" s="43" t="s">
        <v>292</v>
      </c>
      <c r="AH94" s="3" t="s">
        <v>5</v>
      </c>
      <c r="AI94" s="3"/>
      <c r="AJ94" s="3" t="s">
        <v>444</v>
      </c>
      <c r="AK94" s="3"/>
      <c r="AL94" s="3" t="s">
        <v>429</v>
      </c>
      <c r="AM94" s="3"/>
      <c r="AN94" s="3" t="s">
        <v>449</v>
      </c>
      <c r="AO94" s="3"/>
      <c r="AP94" s="3" t="s">
        <v>454</v>
      </c>
      <c r="AQ94" s="3"/>
      <c r="AR94" s="3" t="s">
        <v>425</v>
      </c>
      <c r="AS94" s="3"/>
    </row>
    <row r="95" spans="1:45" s="43" customFormat="1" ht="12.75" customHeight="1" x14ac:dyDescent="0.2">
      <c r="A95" s="45" t="s">
        <v>6</v>
      </c>
      <c r="C95" s="45" t="s">
        <v>7</v>
      </c>
      <c r="D95" s="3"/>
      <c r="E95" s="46" t="s">
        <v>312</v>
      </c>
      <c r="F95" s="3"/>
      <c r="G95" s="46" t="s">
        <v>291</v>
      </c>
      <c r="H95" s="3"/>
      <c r="I95" s="46" t="s">
        <v>333</v>
      </c>
      <c r="J95" s="3"/>
      <c r="K95" s="46" t="s">
        <v>307</v>
      </c>
      <c r="L95" s="3"/>
      <c r="M95" s="46" t="s">
        <v>310</v>
      </c>
      <c r="N95" s="3"/>
      <c r="O95" s="46" t="s">
        <v>334</v>
      </c>
      <c r="P95" s="3"/>
      <c r="Q95" s="46" t="s">
        <v>335</v>
      </c>
      <c r="R95" s="3"/>
      <c r="S95" s="46" t="s">
        <v>336</v>
      </c>
      <c r="T95" s="3"/>
      <c r="U95" s="46" t="s">
        <v>329</v>
      </c>
      <c r="V95" s="3"/>
      <c r="W95" s="3"/>
      <c r="X95" s="45" t="s">
        <v>6</v>
      </c>
      <c r="Z95" s="45" t="s">
        <v>7</v>
      </c>
      <c r="AA95" s="3"/>
      <c r="AB95" s="46" t="s">
        <v>337</v>
      </c>
      <c r="AD95" s="46" t="s">
        <v>338</v>
      </c>
      <c r="AF95" s="89" t="s">
        <v>335</v>
      </c>
      <c r="AH95" s="89" t="s">
        <v>335</v>
      </c>
      <c r="AI95" s="2"/>
      <c r="AJ95" s="89" t="s">
        <v>440</v>
      </c>
      <c r="AK95" s="2"/>
      <c r="AL95" s="45" t="s">
        <v>430</v>
      </c>
      <c r="AM95" s="3"/>
      <c r="AN95" s="45" t="s">
        <v>450</v>
      </c>
      <c r="AO95" s="3"/>
      <c r="AP95" s="45" t="s">
        <v>455</v>
      </c>
      <c r="AQ95" s="3"/>
      <c r="AR95" s="47" t="s">
        <v>426</v>
      </c>
      <c r="AS95" s="2"/>
    </row>
    <row r="96" spans="1:45" s="43" customFormat="1" ht="12.75" customHeight="1" x14ac:dyDescent="0.2">
      <c r="A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Z96" s="3"/>
      <c r="AA96" s="3"/>
      <c r="AB96" s="3"/>
      <c r="AD96" s="3"/>
      <c r="AH96" s="2"/>
      <c r="AI96" s="2"/>
      <c r="AJ96" s="2"/>
      <c r="AK96" s="2"/>
      <c r="AL96" s="88"/>
      <c r="AM96" s="88"/>
      <c r="AN96" s="88"/>
      <c r="AO96" s="88"/>
      <c r="AP96" s="88"/>
      <c r="AQ96" s="88"/>
      <c r="AR96" s="88"/>
      <c r="AS96" s="2"/>
    </row>
    <row r="97" spans="1:45" s="7" customFormat="1" ht="12.75" customHeight="1" x14ac:dyDescent="0.2">
      <c r="A97" s="6" t="s">
        <v>107</v>
      </c>
      <c r="C97" s="6" t="s">
        <v>108</v>
      </c>
      <c r="E97" s="40">
        <v>1484079</v>
      </c>
      <c r="F97" s="22"/>
      <c r="G97" s="40">
        <v>4939700</v>
      </c>
      <c r="H97" s="22"/>
      <c r="I97" s="40">
        <v>781036</v>
      </c>
      <c r="J97" s="22"/>
      <c r="K97" s="40">
        <v>279075</v>
      </c>
      <c r="L97" s="22"/>
      <c r="M97" s="40">
        <v>862778</v>
      </c>
      <c r="N97" s="22"/>
      <c r="O97" s="40">
        <v>103370</v>
      </c>
      <c r="P97" s="22"/>
      <c r="Q97" s="40">
        <v>5670</v>
      </c>
      <c r="R97" s="22"/>
      <c r="S97" s="40">
        <v>753616</v>
      </c>
      <c r="T97" s="22"/>
      <c r="U97" s="40">
        <v>0</v>
      </c>
      <c r="V97" s="22"/>
      <c r="W97" s="22"/>
      <c r="X97" s="19"/>
      <c r="Y97" s="9"/>
      <c r="Z97" s="19"/>
      <c r="AA97" s="19"/>
      <c r="AB97" s="40">
        <v>118089</v>
      </c>
      <c r="AC97" s="21"/>
      <c r="AD97" s="40">
        <v>12789</v>
      </c>
      <c r="AE97" s="21"/>
      <c r="AF97" s="40">
        <v>0</v>
      </c>
      <c r="AG97" s="21"/>
      <c r="AH97" s="22">
        <f t="shared" ref="AH97:AH133" si="7">SUM(E97:AF97)</f>
        <v>9340202</v>
      </c>
      <c r="AI97" s="22"/>
      <c r="AJ97" s="22">
        <v>0</v>
      </c>
      <c r="AK97" s="22"/>
      <c r="AL97" s="40">
        <v>635484</v>
      </c>
      <c r="AM97" s="8"/>
      <c r="AN97" s="8">
        <v>4694920</v>
      </c>
      <c r="AO97" s="8"/>
      <c r="AP97" s="8">
        <v>0</v>
      </c>
      <c r="AQ97" s="8"/>
      <c r="AR97" s="8">
        <f>+'GVFund Rev'!U97+'GVFund Rev'!W97-'GVFund Exp'!AH97-'GVFund Exp'!AL97+AJ97+AN97+AP97-'GV Fund BS'!W97</f>
        <v>0</v>
      </c>
      <c r="AS97" s="11"/>
    </row>
    <row r="98" spans="1:45" s="7" customFormat="1" ht="12.75" customHeight="1" x14ac:dyDescent="0.2">
      <c r="A98" s="6" t="s">
        <v>41</v>
      </c>
      <c r="C98" s="6" t="s">
        <v>109</v>
      </c>
      <c r="E98" s="8">
        <v>2430048</v>
      </c>
      <c r="F98" s="11"/>
      <c r="G98" s="8">
        <f>3505832+1594402+298595</f>
        <v>5398829</v>
      </c>
      <c r="H98" s="11"/>
      <c r="I98" s="8">
        <v>44414</v>
      </c>
      <c r="J98" s="11"/>
      <c r="K98" s="8">
        <v>8567</v>
      </c>
      <c r="L98" s="11"/>
      <c r="M98" s="8">
        <v>1150966</v>
      </c>
      <c r="N98" s="11"/>
      <c r="O98" s="8">
        <v>293064</v>
      </c>
      <c r="P98" s="11"/>
      <c r="Q98" s="8">
        <v>0</v>
      </c>
      <c r="R98" s="11"/>
      <c r="S98" s="8">
        <v>2049678</v>
      </c>
      <c r="T98" s="11"/>
      <c r="U98" s="8">
        <v>0</v>
      </c>
      <c r="V98" s="11"/>
      <c r="W98" s="11"/>
      <c r="X98" s="6"/>
      <c r="Z98" s="6"/>
      <c r="AA98" s="6"/>
      <c r="AB98" s="8">
        <v>789621</v>
      </c>
      <c r="AC98" s="20"/>
      <c r="AD98" s="8">
        <v>243914</v>
      </c>
      <c r="AE98" s="20"/>
      <c r="AF98" s="8">
        <v>93976</v>
      </c>
      <c r="AG98" s="20"/>
      <c r="AH98" s="11">
        <f t="shared" si="7"/>
        <v>12503077</v>
      </c>
      <c r="AI98" s="11"/>
      <c r="AJ98" s="11">
        <v>0</v>
      </c>
      <c r="AK98" s="11"/>
      <c r="AL98" s="8">
        <f>5938729+3606155</f>
        <v>9544884</v>
      </c>
      <c r="AM98" s="8"/>
      <c r="AN98" s="8">
        <v>8400432</v>
      </c>
      <c r="AO98" s="8"/>
      <c r="AP98" s="8">
        <v>0</v>
      </c>
      <c r="AQ98" s="8"/>
      <c r="AR98" s="8">
        <f>+'GVFund Rev'!U98+'GVFund Rev'!W98-'GVFund Exp'!AH98-'GVFund Exp'!AL98+AJ98+AN98+AP98-'GV Fund BS'!W98</f>
        <v>0</v>
      </c>
      <c r="AS98" s="11"/>
    </row>
    <row r="99" spans="1:45" s="7" customFormat="1" ht="12.75" customHeight="1" x14ac:dyDescent="0.2">
      <c r="A99" s="6" t="s">
        <v>110</v>
      </c>
      <c r="C99" s="6" t="s">
        <v>74</v>
      </c>
      <c r="E99" s="8">
        <v>2277585</v>
      </c>
      <c r="F99" s="11"/>
      <c r="G99" s="8">
        <v>6067666</v>
      </c>
      <c r="H99" s="11"/>
      <c r="I99" s="8">
        <f>476597+121723</f>
        <v>598320</v>
      </c>
      <c r="J99" s="11"/>
      <c r="K99" s="8">
        <v>3768</v>
      </c>
      <c r="L99" s="11"/>
      <c r="M99" s="8">
        <v>727660</v>
      </c>
      <c r="N99" s="11"/>
      <c r="O99" s="8">
        <v>1494179</v>
      </c>
      <c r="P99" s="11"/>
      <c r="Q99" s="8">
        <v>0</v>
      </c>
      <c r="R99" s="11"/>
      <c r="S99" s="8">
        <v>797319</v>
      </c>
      <c r="T99" s="11"/>
      <c r="U99" s="8">
        <v>0</v>
      </c>
      <c r="V99" s="11"/>
      <c r="W99" s="11"/>
      <c r="X99" s="6"/>
      <c r="Z99" s="6"/>
      <c r="AA99" s="6"/>
      <c r="AB99" s="8">
        <v>1008810</v>
      </c>
      <c r="AC99" s="20"/>
      <c r="AD99" s="8">
        <v>106466</v>
      </c>
      <c r="AE99" s="20"/>
      <c r="AF99" s="8">
        <v>39979</v>
      </c>
      <c r="AG99" s="20"/>
      <c r="AH99" s="11">
        <f t="shared" si="7"/>
        <v>13121752</v>
      </c>
      <c r="AI99" s="11"/>
      <c r="AJ99" s="11">
        <v>0</v>
      </c>
      <c r="AK99" s="11"/>
      <c r="AL99" s="8">
        <v>1748000</v>
      </c>
      <c r="AM99" s="8"/>
      <c r="AN99" s="8">
        <v>11045731</v>
      </c>
      <c r="AO99" s="8"/>
      <c r="AP99" s="8">
        <v>0</v>
      </c>
      <c r="AQ99" s="8"/>
      <c r="AR99" s="8">
        <f>+'GVFund Rev'!U99+'GVFund Rev'!W99-'GVFund Exp'!AH99-'GVFund Exp'!AL99+AJ99+AN99+AP99-'GV Fund BS'!W99</f>
        <v>0</v>
      </c>
      <c r="AS99" s="11"/>
    </row>
    <row r="100" spans="1:45" s="7" customFormat="1" ht="12.75" hidden="1" customHeight="1" x14ac:dyDescent="0.2">
      <c r="A100" s="6" t="s">
        <v>111</v>
      </c>
      <c r="C100" s="6" t="s">
        <v>41</v>
      </c>
      <c r="E100" s="8">
        <v>3979706</v>
      </c>
      <c r="F100" s="11"/>
      <c r="G100" s="8">
        <v>8583805</v>
      </c>
      <c r="H100" s="11"/>
      <c r="I100" s="8">
        <v>4211122</v>
      </c>
      <c r="J100" s="11"/>
      <c r="K100" s="8">
        <v>215060</v>
      </c>
      <c r="L100" s="11"/>
      <c r="M100" s="8">
        <v>2005668</v>
      </c>
      <c r="N100" s="11"/>
      <c r="O100" s="8">
        <v>2601027</v>
      </c>
      <c r="P100" s="11"/>
      <c r="Q100" s="8">
        <v>2378727</v>
      </c>
      <c r="R100" s="11"/>
      <c r="S100" s="8">
        <v>3132194</v>
      </c>
      <c r="T100" s="11"/>
      <c r="U100" s="8">
        <v>0</v>
      </c>
      <c r="V100" s="11"/>
      <c r="W100" s="11"/>
      <c r="X100" s="6"/>
      <c r="Z100" s="6"/>
      <c r="AA100" s="6"/>
      <c r="AB100" s="8">
        <v>875214</v>
      </c>
      <c r="AC100" s="20"/>
      <c r="AD100" s="8">
        <v>892242</v>
      </c>
      <c r="AE100" s="20"/>
      <c r="AF100" s="8">
        <v>0</v>
      </c>
      <c r="AG100" s="20"/>
      <c r="AH100" s="11">
        <f t="shared" si="7"/>
        <v>28874765</v>
      </c>
      <c r="AI100" s="11"/>
      <c r="AJ100" s="11">
        <v>0</v>
      </c>
      <c r="AK100" s="11"/>
      <c r="AL100" s="8">
        <v>3096136</v>
      </c>
      <c r="AM100" s="8"/>
      <c r="AN100" s="8">
        <v>32527504</v>
      </c>
      <c r="AO100" s="8"/>
      <c r="AP100" s="8">
        <v>0</v>
      </c>
      <c r="AQ100" s="8"/>
      <c r="AR100" s="8">
        <f>+'GVFund Rev'!U100+'GVFund Rev'!W100-'GVFund Exp'!AH100-'GVFund Exp'!AL100+AJ100+AN100+AP100-'GV Fund BS'!W100</f>
        <v>0</v>
      </c>
      <c r="AS100" s="11"/>
    </row>
    <row r="101" spans="1:45" s="7" customFormat="1" ht="12.75" customHeight="1" x14ac:dyDescent="0.2">
      <c r="A101" s="6" t="s">
        <v>483</v>
      </c>
      <c r="C101" s="6" t="s">
        <v>55</v>
      </c>
      <c r="E101" s="8">
        <v>1241895</v>
      </c>
      <c r="F101" s="11"/>
      <c r="G101" s="8">
        <f>1847716+2193436</f>
        <v>4041152</v>
      </c>
      <c r="H101" s="11"/>
      <c r="I101" s="8">
        <v>157830</v>
      </c>
      <c r="J101" s="11"/>
      <c r="K101" s="8">
        <v>485327</v>
      </c>
      <c r="L101" s="11"/>
      <c r="M101" s="8">
        <v>1041997</v>
      </c>
      <c r="N101" s="11"/>
      <c r="O101" s="8">
        <v>185485</v>
      </c>
      <c r="P101" s="11"/>
      <c r="Q101" s="8">
        <v>0</v>
      </c>
      <c r="R101" s="11"/>
      <c r="S101" s="8">
        <v>0</v>
      </c>
      <c r="T101" s="11"/>
      <c r="U101" s="8">
        <v>0</v>
      </c>
      <c r="V101" s="11"/>
      <c r="W101" s="11"/>
      <c r="X101" s="6"/>
      <c r="Z101" s="6"/>
      <c r="AA101" s="6"/>
      <c r="AB101" s="8">
        <v>366121</v>
      </c>
      <c r="AC101" s="20"/>
      <c r="AD101" s="8">
        <v>97242</v>
      </c>
      <c r="AE101" s="20"/>
      <c r="AF101" s="8">
        <v>85000</v>
      </c>
      <c r="AG101" s="20"/>
      <c r="AH101" s="11">
        <f t="shared" si="7"/>
        <v>7702049</v>
      </c>
      <c r="AI101" s="11"/>
      <c r="AJ101" s="11">
        <v>0</v>
      </c>
      <c r="AK101" s="11"/>
      <c r="AL101" s="8">
        <f>680000+2113439</f>
        <v>2793439</v>
      </c>
      <c r="AM101" s="8"/>
      <c r="AN101" s="8">
        <v>7458749</v>
      </c>
      <c r="AO101" s="8"/>
      <c r="AP101" s="8">
        <v>0</v>
      </c>
      <c r="AQ101" s="8"/>
      <c r="AR101" s="8">
        <f>+'GVFund Rev'!U101+'GVFund Rev'!W101-'GVFund Exp'!AH101-'GVFund Exp'!AL101+AJ101+AN101+AP101-'GV Fund BS'!W101</f>
        <v>0</v>
      </c>
      <c r="AS101" s="11"/>
    </row>
    <row r="102" spans="1:45" s="7" customFormat="1" ht="12.75" customHeight="1" x14ac:dyDescent="0.2">
      <c r="A102" s="6" t="s">
        <v>112</v>
      </c>
      <c r="C102" s="6" t="s">
        <v>25</v>
      </c>
      <c r="E102" s="8">
        <v>7538681</v>
      </c>
      <c r="F102" s="11"/>
      <c r="G102" s="8">
        <v>11984076</v>
      </c>
      <c r="H102" s="11"/>
      <c r="I102" s="8">
        <v>469519</v>
      </c>
      <c r="J102" s="11"/>
      <c r="K102" s="8">
        <v>207883</v>
      </c>
      <c r="L102" s="11"/>
      <c r="M102" s="8">
        <v>1636780</v>
      </c>
      <c r="N102" s="11"/>
      <c r="O102" s="8">
        <v>724405</v>
      </c>
      <c r="P102" s="11"/>
      <c r="Q102" s="8">
        <v>2333036</v>
      </c>
      <c r="R102" s="11"/>
      <c r="S102" s="8">
        <v>2275145</v>
      </c>
      <c r="T102" s="11"/>
      <c r="U102" s="8">
        <v>0</v>
      </c>
      <c r="V102" s="11"/>
      <c r="W102" s="11"/>
      <c r="X102" s="6"/>
      <c r="Z102" s="6"/>
      <c r="AA102" s="6"/>
      <c r="AB102" s="8">
        <v>2328111</v>
      </c>
      <c r="AC102" s="20"/>
      <c r="AD102" s="8">
        <v>1203432</v>
      </c>
      <c r="AE102" s="20"/>
      <c r="AF102" s="8">
        <v>137050</v>
      </c>
      <c r="AG102" s="20"/>
      <c r="AH102" s="11">
        <f t="shared" si="7"/>
        <v>30838118</v>
      </c>
      <c r="AI102" s="11"/>
      <c r="AJ102" s="11">
        <v>0</v>
      </c>
      <c r="AK102" s="11"/>
      <c r="AL102" s="8">
        <f>21373+5760425+2584976</f>
        <v>8366774</v>
      </c>
      <c r="AM102" s="8"/>
      <c r="AN102" s="8">
        <v>-2964005</v>
      </c>
      <c r="AO102" s="8"/>
      <c r="AP102" s="8">
        <v>0</v>
      </c>
      <c r="AQ102" s="8"/>
      <c r="AR102" s="8">
        <f>+'GVFund Rev'!U102+'GVFund Rev'!W102-'GVFund Exp'!AH102-'GVFund Exp'!AL102+AJ102+AN102+AP102-'GV Fund BS'!W102</f>
        <v>0</v>
      </c>
      <c r="AS102" s="11"/>
    </row>
    <row r="103" spans="1:45" s="7" customFormat="1" ht="12.75" customHeight="1" x14ac:dyDescent="0.2">
      <c r="A103" s="6" t="s">
        <v>113</v>
      </c>
      <c r="C103" s="6" t="s">
        <v>17</v>
      </c>
      <c r="E103" s="8">
        <v>1266928</v>
      </c>
      <c r="F103" s="11"/>
      <c r="G103" s="8">
        <v>2405816</v>
      </c>
      <c r="H103" s="11"/>
      <c r="I103" s="8">
        <v>552193</v>
      </c>
      <c r="J103" s="11"/>
      <c r="K103" s="8">
        <v>0</v>
      </c>
      <c r="L103" s="11"/>
      <c r="M103" s="8">
        <v>637982</v>
      </c>
      <c r="N103" s="11"/>
      <c r="O103" s="8">
        <v>167573</v>
      </c>
      <c r="P103" s="11"/>
      <c r="Q103" s="8">
        <v>0</v>
      </c>
      <c r="R103" s="11"/>
      <c r="S103" s="8">
        <v>407324</v>
      </c>
      <c r="T103" s="11"/>
      <c r="U103" s="8">
        <v>0</v>
      </c>
      <c r="V103" s="11"/>
      <c r="W103" s="11"/>
      <c r="X103" s="6"/>
      <c r="Z103" s="6"/>
      <c r="AA103" s="6"/>
      <c r="AB103" s="8">
        <v>516173</v>
      </c>
      <c r="AC103" s="20"/>
      <c r="AD103" s="8">
        <v>138368</v>
      </c>
      <c r="AE103" s="20"/>
      <c r="AF103" s="8">
        <v>0</v>
      </c>
      <c r="AG103" s="20"/>
      <c r="AH103" s="11">
        <f t="shared" si="7"/>
        <v>6092357</v>
      </c>
      <c r="AI103" s="11"/>
      <c r="AJ103" s="11">
        <v>0</v>
      </c>
      <c r="AK103" s="11"/>
      <c r="AL103" s="8">
        <v>1029834</v>
      </c>
      <c r="AM103" s="8"/>
      <c r="AN103" s="8">
        <v>2437075</v>
      </c>
      <c r="AO103" s="8"/>
      <c r="AP103" s="8">
        <v>0</v>
      </c>
      <c r="AQ103" s="8"/>
      <c r="AR103" s="8">
        <f>+'GVFund Rev'!U103+'GVFund Rev'!W103-'GVFund Exp'!AH103-'GVFund Exp'!AL103+AJ103+AN103+AP103-'GV Fund BS'!W103</f>
        <v>0</v>
      </c>
      <c r="AS103" s="11"/>
    </row>
    <row r="104" spans="1:45" s="7" customFormat="1" ht="12.75" customHeight="1" x14ac:dyDescent="0.2">
      <c r="A104" s="6" t="s">
        <v>114</v>
      </c>
      <c r="C104" s="6" t="s">
        <v>78</v>
      </c>
      <c r="E104" s="8">
        <v>1841751</v>
      </c>
      <c r="F104" s="11"/>
      <c r="G104" s="8">
        <v>3470732</v>
      </c>
      <c r="H104" s="11"/>
      <c r="I104" s="8">
        <v>540150</v>
      </c>
      <c r="J104" s="11"/>
      <c r="K104" s="8">
        <v>231887</v>
      </c>
      <c r="L104" s="11"/>
      <c r="M104" s="8">
        <v>1020541</v>
      </c>
      <c r="N104" s="11"/>
      <c r="O104" s="8">
        <v>273820</v>
      </c>
      <c r="P104" s="11"/>
      <c r="Q104" s="8">
        <v>1166732</v>
      </c>
      <c r="R104" s="11"/>
      <c r="S104" s="8">
        <v>186749</v>
      </c>
      <c r="T104" s="11"/>
      <c r="U104" s="8">
        <v>0</v>
      </c>
      <c r="V104" s="11"/>
      <c r="W104" s="11"/>
      <c r="X104" s="6"/>
      <c r="Z104" s="6"/>
      <c r="AA104" s="6"/>
      <c r="AB104" s="8">
        <f>74832+3470045</f>
        <v>3544877</v>
      </c>
      <c r="AC104" s="20"/>
      <c r="AD104" s="8">
        <v>165194</v>
      </c>
      <c r="AE104" s="20"/>
      <c r="AF104" s="8">
        <v>0</v>
      </c>
      <c r="AG104" s="20"/>
      <c r="AH104" s="11">
        <f t="shared" si="7"/>
        <v>12442433</v>
      </c>
      <c r="AI104" s="11"/>
      <c r="AJ104" s="11">
        <v>0</v>
      </c>
      <c r="AK104" s="11"/>
      <c r="AL104" s="8">
        <v>0</v>
      </c>
      <c r="AM104" s="8"/>
      <c r="AN104" s="8">
        <v>1058561</v>
      </c>
      <c r="AO104" s="8"/>
      <c r="AP104" s="8">
        <v>0</v>
      </c>
      <c r="AQ104" s="8"/>
      <c r="AR104" s="8">
        <f>+'GVFund Rev'!U104+'GVFund Rev'!W104-'GVFund Exp'!AH104-'GVFund Exp'!AL104+AJ104+AN104+AP104-'GV Fund BS'!W104</f>
        <v>0</v>
      </c>
      <c r="AS104" s="11"/>
    </row>
    <row r="105" spans="1:45" s="7" customFormat="1" ht="12.75" customHeight="1" x14ac:dyDescent="0.2">
      <c r="A105" s="7" t="s">
        <v>115</v>
      </c>
      <c r="C105" s="6" t="s">
        <v>41</v>
      </c>
      <c r="D105" s="7" t="s">
        <v>447</v>
      </c>
      <c r="E105" s="8">
        <v>2381001</v>
      </c>
      <c r="F105" s="11"/>
      <c r="G105" s="8">
        <v>4506905</v>
      </c>
      <c r="H105" s="11"/>
      <c r="I105" s="8">
        <v>1462257</v>
      </c>
      <c r="J105" s="11"/>
      <c r="K105" s="8">
        <v>42352</v>
      </c>
      <c r="L105" s="11"/>
      <c r="M105" s="8">
        <v>606464</v>
      </c>
      <c r="N105" s="11"/>
      <c r="O105" s="8">
        <v>856670</v>
      </c>
      <c r="P105" s="11"/>
      <c r="Q105" s="8">
        <v>721683</v>
      </c>
      <c r="R105" s="11"/>
      <c r="S105" s="8">
        <v>326120</v>
      </c>
      <c r="T105" s="11"/>
      <c r="U105" s="8">
        <v>0</v>
      </c>
      <c r="V105" s="11"/>
      <c r="W105" s="11"/>
      <c r="X105" s="6"/>
      <c r="Z105" s="6"/>
      <c r="AA105" s="6"/>
      <c r="AB105" s="8">
        <v>110473</v>
      </c>
      <c r="AC105" s="20"/>
      <c r="AD105" s="8">
        <v>16930</v>
      </c>
      <c r="AE105" s="20"/>
      <c r="AF105" s="8">
        <v>65700</v>
      </c>
      <c r="AG105" s="20"/>
      <c r="AH105" s="11">
        <f t="shared" si="7"/>
        <v>11096555</v>
      </c>
      <c r="AI105" s="11"/>
      <c r="AJ105" s="11">
        <v>0</v>
      </c>
      <c r="AK105" s="11"/>
      <c r="AL105" s="8">
        <v>0</v>
      </c>
      <c r="AM105" s="8"/>
      <c r="AN105" s="8">
        <v>4543877</v>
      </c>
      <c r="AO105" s="8"/>
      <c r="AP105" s="8">
        <v>0</v>
      </c>
      <c r="AQ105" s="8"/>
      <c r="AR105" s="8">
        <f>+'GVFund Rev'!U105+'GVFund Rev'!W105-'GVFund Exp'!AH105-'GVFund Exp'!AL105+AJ105+AN105+AP105-'GV Fund BS'!W105</f>
        <v>0</v>
      </c>
      <c r="AS105" s="11"/>
    </row>
    <row r="106" spans="1:45" s="7" customFormat="1" ht="12.75" customHeight="1" x14ac:dyDescent="0.2">
      <c r="A106" s="19" t="s">
        <v>116</v>
      </c>
      <c r="B106" s="9"/>
      <c r="C106" s="19" t="s">
        <v>11</v>
      </c>
      <c r="D106" s="9"/>
      <c r="E106" s="8">
        <v>5836313</v>
      </c>
      <c r="F106" s="11"/>
      <c r="G106" s="8">
        <v>7867756</v>
      </c>
      <c r="H106" s="11"/>
      <c r="I106" s="8">
        <v>1063785</v>
      </c>
      <c r="J106" s="11"/>
      <c r="K106" s="8">
        <v>270597</v>
      </c>
      <c r="L106" s="11"/>
      <c r="M106" s="8">
        <v>4570088</v>
      </c>
      <c r="N106" s="11"/>
      <c r="O106" s="8">
        <v>778079</v>
      </c>
      <c r="P106" s="11"/>
      <c r="Q106" s="8">
        <v>0</v>
      </c>
      <c r="R106" s="11"/>
      <c r="S106" s="8">
        <v>1662677</v>
      </c>
      <c r="T106" s="11"/>
      <c r="U106" s="8">
        <v>0</v>
      </c>
      <c r="V106" s="11"/>
      <c r="W106" s="11"/>
      <c r="X106" s="6"/>
      <c r="Z106" s="6"/>
      <c r="AA106" s="6"/>
      <c r="AB106" s="8">
        <v>2005000</v>
      </c>
      <c r="AC106" s="20"/>
      <c r="AD106" s="8">
        <v>1645453</v>
      </c>
      <c r="AE106" s="20"/>
      <c r="AF106" s="8">
        <v>432214</v>
      </c>
      <c r="AG106" s="20"/>
      <c r="AH106" s="11">
        <f t="shared" si="7"/>
        <v>26131962</v>
      </c>
      <c r="AI106" s="11"/>
      <c r="AJ106" s="11">
        <v>0</v>
      </c>
      <c r="AK106" s="11"/>
      <c r="AL106" s="8">
        <f>30068+21558154+7405500</f>
        <v>28993722</v>
      </c>
      <c r="AM106" s="8"/>
      <c r="AN106" s="8">
        <v>48306838</v>
      </c>
      <c r="AO106" s="8"/>
      <c r="AP106" s="8">
        <v>0</v>
      </c>
      <c r="AQ106" s="8"/>
      <c r="AR106" s="8">
        <f>+'GVFund Rev'!U106+'GVFund Rev'!W106-'GVFund Exp'!AH106-'GVFund Exp'!AL106+AJ106+AN106+AP106-'GV Fund BS'!W106</f>
        <v>0</v>
      </c>
      <c r="AS106" s="11"/>
    </row>
    <row r="107" spans="1:45" s="7" customFormat="1" ht="12.75" customHeight="1" x14ac:dyDescent="0.2">
      <c r="A107" s="6" t="s">
        <v>118</v>
      </c>
      <c r="C107" s="6" t="s">
        <v>119</v>
      </c>
      <c r="E107" s="8">
        <v>2000780</v>
      </c>
      <c r="F107" s="11"/>
      <c r="G107" s="8">
        <v>4243955</v>
      </c>
      <c r="H107" s="11"/>
      <c r="I107" s="8">
        <v>250000</v>
      </c>
      <c r="J107" s="11"/>
      <c r="K107" s="8">
        <v>939</v>
      </c>
      <c r="L107" s="11"/>
      <c r="M107" s="8">
        <v>1459563</v>
      </c>
      <c r="N107" s="11"/>
      <c r="O107" s="8">
        <v>210573</v>
      </c>
      <c r="P107" s="11"/>
      <c r="Q107" s="8">
        <v>155964</v>
      </c>
      <c r="R107" s="11"/>
      <c r="S107" s="8">
        <v>1436357</v>
      </c>
      <c r="T107" s="11"/>
      <c r="U107" s="8">
        <v>0</v>
      </c>
      <c r="V107" s="11"/>
      <c r="W107" s="11"/>
      <c r="X107" s="6"/>
      <c r="Z107" s="6"/>
      <c r="AA107" s="6"/>
      <c r="AB107" s="8">
        <v>365841</v>
      </c>
      <c r="AC107" s="20"/>
      <c r="AD107" s="8">
        <v>105864</v>
      </c>
      <c r="AE107" s="20"/>
      <c r="AF107" s="8">
        <v>0</v>
      </c>
      <c r="AG107" s="20"/>
      <c r="AH107" s="11">
        <f t="shared" si="7"/>
        <v>10229836</v>
      </c>
      <c r="AI107" s="11"/>
      <c r="AJ107" s="11">
        <v>0</v>
      </c>
      <c r="AK107" s="11"/>
      <c r="AL107" s="8">
        <v>1355236</v>
      </c>
      <c r="AM107" s="8"/>
      <c r="AN107" s="8">
        <v>5773758</v>
      </c>
      <c r="AO107" s="8"/>
      <c r="AP107" s="8">
        <v>0</v>
      </c>
      <c r="AQ107" s="8"/>
      <c r="AR107" s="8">
        <f>+'GVFund Rev'!U107+'GVFund Rev'!W107-'GVFund Exp'!AH107-'GVFund Exp'!AL107+AJ107+AN107+AP107-'GV Fund BS'!W107</f>
        <v>0</v>
      </c>
      <c r="AS107" s="11"/>
    </row>
    <row r="108" spans="1:45" s="7" customFormat="1" ht="12.75" customHeight="1" x14ac:dyDescent="0.2">
      <c r="A108" s="6" t="s">
        <v>120</v>
      </c>
      <c r="C108" s="6" t="s">
        <v>41</v>
      </c>
      <c r="E108" s="8">
        <f>9255112+4339240</f>
        <v>13594352</v>
      </c>
      <c r="F108" s="11"/>
      <c r="G108" s="8">
        <v>9892977</v>
      </c>
      <c r="H108" s="11"/>
      <c r="I108" s="8">
        <v>1415387</v>
      </c>
      <c r="J108" s="11"/>
      <c r="K108" s="8">
        <v>298971</v>
      </c>
      <c r="L108" s="11"/>
      <c r="M108" s="8">
        <v>1413219</v>
      </c>
      <c r="N108" s="11"/>
      <c r="O108" s="8">
        <v>2026456</v>
      </c>
      <c r="P108" s="11"/>
      <c r="Q108" s="8">
        <v>0</v>
      </c>
      <c r="R108" s="11"/>
      <c r="S108" s="8">
        <v>11272925</v>
      </c>
      <c r="T108" s="11"/>
      <c r="U108" s="8">
        <v>0</v>
      </c>
      <c r="V108" s="11"/>
      <c r="W108" s="11"/>
      <c r="X108" s="6"/>
      <c r="Z108" s="6"/>
      <c r="AA108" s="6"/>
      <c r="AB108" s="8">
        <v>1438980</v>
      </c>
      <c r="AC108" s="20"/>
      <c r="AD108" s="8">
        <v>1535949</v>
      </c>
      <c r="AE108" s="20"/>
      <c r="AF108" s="8">
        <v>0</v>
      </c>
      <c r="AG108" s="20"/>
      <c r="AH108" s="11">
        <f t="shared" si="7"/>
        <v>42889216</v>
      </c>
      <c r="AI108" s="11"/>
      <c r="AJ108" s="11">
        <v>0</v>
      </c>
      <c r="AK108" s="11"/>
      <c r="AL108" s="8">
        <f>1358099+7399605</f>
        <v>8757704</v>
      </c>
      <c r="AM108" s="8"/>
      <c r="AN108" s="8">
        <v>43699536</v>
      </c>
      <c r="AO108" s="8"/>
      <c r="AP108" s="8">
        <v>0</v>
      </c>
      <c r="AQ108" s="8"/>
      <c r="AR108" s="8">
        <f>+'GVFund Rev'!U108+'GVFund Rev'!W108-'GVFund Exp'!AH108-'GVFund Exp'!AL108+AJ108+AN108+AP108-'GV Fund BS'!W108</f>
        <v>0</v>
      </c>
      <c r="AS108" s="11"/>
    </row>
    <row r="109" spans="1:45" s="7" customFormat="1" ht="12.75" customHeight="1" x14ac:dyDescent="0.2">
      <c r="A109" s="6" t="s">
        <v>494</v>
      </c>
      <c r="B109" s="14"/>
      <c r="C109" s="6" t="s">
        <v>41</v>
      </c>
      <c r="E109" s="8">
        <v>5348513</v>
      </c>
      <c r="F109" s="11"/>
      <c r="G109" s="8">
        <v>1689203</v>
      </c>
      <c r="H109" s="11"/>
      <c r="I109" s="8">
        <f>311174+108288</f>
        <v>419462</v>
      </c>
      <c r="J109" s="11"/>
      <c r="K109" s="8">
        <v>45015</v>
      </c>
      <c r="L109" s="11"/>
      <c r="M109" s="8">
        <v>793929</v>
      </c>
      <c r="N109" s="11"/>
      <c r="O109" s="8">
        <v>3424300</v>
      </c>
      <c r="P109" s="11"/>
      <c r="Q109" s="8">
        <v>0</v>
      </c>
      <c r="R109" s="11"/>
      <c r="S109" s="8">
        <v>745566</v>
      </c>
      <c r="T109" s="11"/>
      <c r="U109" s="8">
        <v>0</v>
      </c>
      <c r="V109" s="11"/>
      <c r="W109" s="11"/>
      <c r="X109" s="6"/>
      <c r="Z109" s="6"/>
      <c r="AA109" s="6"/>
      <c r="AB109" s="8">
        <v>2294478</v>
      </c>
      <c r="AC109" s="20"/>
      <c r="AD109" s="8">
        <v>323873</v>
      </c>
      <c r="AE109" s="20"/>
      <c r="AF109" s="8">
        <v>286931</v>
      </c>
      <c r="AG109" s="20"/>
      <c r="AH109" s="11">
        <f t="shared" si="7"/>
        <v>15371270</v>
      </c>
      <c r="AI109" s="11"/>
      <c r="AJ109" s="11"/>
      <c r="AK109" s="11"/>
      <c r="AL109" s="8">
        <f>10304228+874000</f>
        <v>11178228</v>
      </c>
      <c r="AM109" s="8"/>
      <c r="AN109" s="8">
        <v>4214822</v>
      </c>
      <c r="AO109" s="8"/>
      <c r="AP109" s="8">
        <v>0</v>
      </c>
      <c r="AQ109" s="8"/>
      <c r="AR109" s="8">
        <f>+'GVFund Rev'!U109+'GVFund Rev'!W109-'GVFund Exp'!AH109-'GVFund Exp'!AL109+AJ109+AN109+AP109-'GV Fund BS'!W109</f>
        <v>0</v>
      </c>
      <c r="AS109" s="11"/>
    </row>
    <row r="110" spans="1:45" s="7" customFormat="1" ht="12.75" customHeight="1" x14ac:dyDescent="0.2">
      <c r="A110" s="7" t="s">
        <v>43</v>
      </c>
      <c r="C110" s="6" t="s">
        <v>101</v>
      </c>
      <c r="E110" s="8">
        <v>6121906</v>
      </c>
      <c r="F110" s="11"/>
      <c r="G110" s="8">
        <v>30141708</v>
      </c>
      <c r="H110" s="11"/>
      <c r="I110" s="8">
        <v>3315185</v>
      </c>
      <c r="J110" s="11"/>
      <c r="K110" s="8">
        <v>1035886</v>
      </c>
      <c r="L110" s="11"/>
      <c r="M110" s="8">
        <v>3762769</v>
      </c>
      <c r="N110" s="11"/>
      <c r="O110" s="8">
        <v>1973297</v>
      </c>
      <c r="P110" s="11"/>
      <c r="Q110" s="8">
        <v>5696091</v>
      </c>
      <c r="R110" s="11"/>
      <c r="S110" s="8">
        <v>5461124</v>
      </c>
      <c r="T110" s="11"/>
      <c r="U110" s="8">
        <v>0</v>
      </c>
      <c r="V110" s="11"/>
      <c r="W110" s="11"/>
      <c r="X110" s="6"/>
      <c r="Z110" s="6"/>
      <c r="AA110" s="6"/>
      <c r="AB110" s="8">
        <v>2695000</v>
      </c>
      <c r="AC110" s="20"/>
      <c r="AD110" s="8">
        <v>1274719</v>
      </c>
      <c r="AE110" s="20"/>
      <c r="AF110" s="8">
        <v>0</v>
      </c>
      <c r="AG110" s="20"/>
      <c r="AH110" s="11">
        <f t="shared" si="7"/>
        <v>61477685</v>
      </c>
      <c r="AI110" s="11"/>
      <c r="AJ110" s="11">
        <v>0</v>
      </c>
      <c r="AK110" s="11"/>
      <c r="AL110" s="8">
        <v>9122807</v>
      </c>
      <c r="AM110" s="8"/>
      <c r="AN110" s="8">
        <v>27529778</v>
      </c>
      <c r="AO110" s="8"/>
      <c r="AP110" s="8">
        <v>-14897</v>
      </c>
      <c r="AQ110" s="8"/>
      <c r="AR110" s="8">
        <f>+'GVFund Rev'!U110+'GVFund Rev'!W110-'GVFund Exp'!AH110-'GVFund Exp'!AL110+AJ110+AN110+AP110-'GV Fund BS'!W110</f>
        <v>0</v>
      </c>
      <c r="AS110" s="11"/>
    </row>
    <row r="111" spans="1:45" s="7" customFormat="1" ht="12.75" customHeight="1" x14ac:dyDescent="0.2">
      <c r="A111" s="9" t="s">
        <v>121</v>
      </c>
      <c r="B111" s="9"/>
      <c r="C111" s="19" t="s">
        <v>43</v>
      </c>
      <c r="D111" s="9"/>
      <c r="E111" s="8">
        <v>1125019</v>
      </c>
      <c r="F111" s="11"/>
      <c r="G111" s="8">
        <v>6024562</v>
      </c>
      <c r="H111" s="11"/>
      <c r="I111" s="8">
        <v>100612</v>
      </c>
      <c r="J111" s="11"/>
      <c r="K111" s="8">
        <v>306401</v>
      </c>
      <c r="L111" s="11"/>
      <c r="M111" s="8">
        <v>632330</v>
      </c>
      <c r="N111" s="11"/>
      <c r="O111" s="8">
        <v>200297</v>
      </c>
      <c r="P111" s="11"/>
      <c r="Q111" s="8">
        <v>0</v>
      </c>
      <c r="R111" s="11"/>
      <c r="S111" s="8">
        <v>2448443</v>
      </c>
      <c r="T111" s="11"/>
      <c r="U111" s="8">
        <v>0</v>
      </c>
      <c r="V111" s="11"/>
      <c r="W111" s="11"/>
      <c r="X111" s="6"/>
      <c r="Z111" s="6"/>
      <c r="AA111" s="6"/>
      <c r="AB111" s="8">
        <v>627520</v>
      </c>
      <c r="AC111" s="20"/>
      <c r="AD111" s="8">
        <v>247899</v>
      </c>
      <c r="AE111" s="20"/>
      <c r="AF111" s="8">
        <v>0</v>
      </c>
      <c r="AG111" s="20"/>
      <c r="AH111" s="11">
        <f t="shared" si="7"/>
        <v>11713083</v>
      </c>
      <c r="AI111" s="11"/>
      <c r="AJ111" s="11">
        <v>0</v>
      </c>
      <c r="AK111" s="11"/>
      <c r="AL111" s="8">
        <v>2306036</v>
      </c>
      <c r="AM111" s="8"/>
      <c r="AN111" s="8">
        <v>1796959</v>
      </c>
      <c r="AO111" s="8"/>
      <c r="AP111" s="8">
        <v>0</v>
      </c>
      <c r="AQ111" s="8"/>
      <c r="AR111" s="8">
        <f>+'GVFund Rev'!U111+'GVFund Rev'!W111-'GVFund Exp'!AH111-'GVFund Exp'!AL111+AJ111+AN111+AP111-'GV Fund BS'!W111</f>
        <v>0</v>
      </c>
      <c r="AS111" s="11"/>
    </row>
    <row r="112" spans="1:45" s="7" customFormat="1" ht="12.75" customHeight="1" x14ac:dyDescent="0.2">
      <c r="A112" s="6" t="s">
        <v>122</v>
      </c>
      <c r="C112" s="6" t="s">
        <v>123</v>
      </c>
      <c r="E112" s="8">
        <v>1334738</v>
      </c>
      <c r="F112" s="11"/>
      <c r="G112" s="8">
        <v>5006695</v>
      </c>
      <c r="H112" s="11"/>
      <c r="I112" s="8">
        <v>274696</v>
      </c>
      <c r="J112" s="11"/>
      <c r="K112" s="8">
        <v>56500</v>
      </c>
      <c r="L112" s="11"/>
      <c r="M112" s="8">
        <v>4341346</v>
      </c>
      <c r="N112" s="11"/>
      <c r="O112" s="8">
        <v>1158961</v>
      </c>
      <c r="P112" s="11"/>
      <c r="Q112" s="8">
        <v>0</v>
      </c>
      <c r="R112" s="11"/>
      <c r="S112" s="8">
        <v>0</v>
      </c>
      <c r="T112" s="11"/>
      <c r="U112" s="8">
        <v>0</v>
      </c>
      <c r="V112" s="11"/>
      <c r="W112" s="11"/>
      <c r="X112" s="6"/>
      <c r="Z112" s="6"/>
      <c r="AA112" s="6"/>
      <c r="AB112" s="8">
        <v>344037</v>
      </c>
      <c r="AC112" s="20"/>
      <c r="AD112" s="8">
        <v>123368</v>
      </c>
      <c r="AE112" s="20"/>
      <c r="AF112" s="8">
        <v>0</v>
      </c>
      <c r="AG112" s="20"/>
      <c r="AH112" s="11">
        <f t="shared" si="7"/>
        <v>12640341</v>
      </c>
      <c r="AI112" s="11"/>
      <c r="AJ112" s="11">
        <v>0</v>
      </c>
      <c r="AK112" s="11"/>
      <c r="AL112" s="8">
        <f>1301248+806460</f>
        <v>2107708</v>
      </c>
      <c r="AM112" s="8"/>
      <c r="AN112" s="8">
        <v>6413815</v>
      </c>
      <c r="AO112" s="8"/>
      <c r="AP112" s="8">
        <v>-24604</v>
      </c>
      <c r="AQ112" s="8"/>
      <c r="AR112" s="8">
        <f>+'GVFund Rev'!U112+'GVFund Rev'!W112-'GVFund Exp'!AH112-'GVFund Exp'!AL112+AJ112+AN112+AP112-'GV Fund BS'!W112</f>
        <v>0</v>
      </c>
      <c r="AS112" s="11"/>
    </row>
    <row r="113" spans="1:45" s="7" customFormat="1" ht="12.75" customHeight="1" x14ac:dyDescent="0.2">
      <c r="A113" s="6" t="s">
        <v>124</v>
      </c>
      <c r="C113" s="6" t="s">
        <v>25</v>
      </c>
      <c r="E113" s="8">
        <v>3217762</v>
      </c>
      <c r="F113" s="11"/>
      <c r="G113" s="8">
        <f>3678163+2634304</f>
        <v>6312467</v>
      </c>
      <c r="H113" s="11"/>
      <c r="I113" s="8">
        <v>118374</v>
      </c>
      <c r="J113" s="11"/>
      <c r="K113" s="8">
        <v>39167</v>
      </c>
      <c r="L113" s="11"/>
      <c r="M113" s="8">
        <v>1166304</v>
      </c>
      <c r="N113" s="11"/>
      <c r="O113" s="8">
        <v>1000627</v>
      </c>
      <c r="P113" s="11"/>
      <c r="Q113" s="8">
        <v>1990834</v>
      </c>
      <c r="R113" s="11"/>
      <c r="S113" s="8">
        <v>537854</v>
      </c>
      <c r="T113" s="11"/>
      <c r="U113" s="8">
        <v>0</v>
      </c>
      <c r="V113" s="11"/>
      <c r="W113" s="11"/>
      <c r="X113" s="6"/>
      <c r="Z113" s="6"/>
      <c r="AA113" s="6"/>
      <c r="AB113" s="8">
        <v>1208142</v>
      </c>
      <c r="AC113" s="20"/>
      <c r="AD113" s="8">
        <v>395142</v>
      </c>
      <c r="AE113" s="20"/>
      <c r="AF113" s="8">
        <v>0</v>
      </c>
      <c r="AG113" s="20"/>
      <c r="AH113" s="11">
        <f t="shared" si="7"/>
        <v>15986673</v>
      </c>
      <c r="AI113" s="11"/>
      <c r="AJ113" s="11">
        <v>0</v>
      </c>
      <c r="AK113" s="11"/>
      <c r="AL113" s="8">
        <v>1943000</v>
      </c>
      <c r="AM113" s="8"/>
      <c r="AN113" s="8">
        <v>11169021</v>
      </c>
      <c r="AO113" s="8"/>
      <c r="AP113" s="8">
        <v>20803</v>
      </c>
      <c r="AQ113" s="8"/>
      <c r="AR113" s="8">
        <f>+'GVFund Rev'!U113+'GVFund Rev'!W113-'GVFund Exp'!AH113-'GVFund Exp'!AL113+AJ113+AN113+AP113-'GV Fund BS'!W113</f>
        <v>0</v>
      </c>
      <c r="AS113" s="11"/>
    </row>
    <row r="114" spans="1:45" s="7" customFormat="1" ht="12.75" hidden="1" customHeight="1" x14ac:dyDescent="0.2">
      <c r="A114" s="6" t="s">
        <v>125</v>
      </c>
      <c r="C114" s="6" t="s">
        <v>41</v>
      </c>
      <c r="E114" s="8">
        <v>5821506</v>
      </c>
      <c r="F114" s="11"/>
      <c r="G114" s="8">
        <v>7943336</v>
      </c>
      <c r="H114" s="11"/>
      <c r="I114" s="8">
        <v>3301309</v>
      </c>
      <c r="J114" s="11"/>
      <c r="K114" s="8">
        <v>165311</v>
      </c>
      <c r="L114" s="11"/>
      <c r="M114" s="8">
        <v>10472973</v>
      </c>
      <c r="N114" s="11"/>
      <c r="O114" s="8">
        <v>2803019</v>
      </c>
      <c r="P114" s="11"/>
      <c r="Q114" s="8">
        <v>1697650</v>
      </c>
      <c r="R114" s="11"/>
      <c r="S114" s="8">
        <v>0</v>
      </c>
      <c r="T114" s="11"/>
      <c r="U114" s="8">
        <v>0</v>
      </c>
      <c r="V114" s="11"/>
      <c r="W114" s="11"/>
      <c r="X114" s="6"/>
      <c r="Z114" s="6"/>
      <c r="AA114" s="6"/>
      <c r="AB114" s="8">
        <v>2945653</v>
      </c>
      <c r="AC114" s="20"/>
      <c r="AD114" s="8">
        <v>2899735</v>
      </c>
      <c r="AE114" s="20"/>
      <c r="AF114" s="8">
        <v>0</v>
      </c>
      <c r="AG114" s="20"/>
      <c r="AH114" s="11">
        <f t="shared" si="7"/>
        <v>38050492</v>
      </c>
      <c r="AI114" s="11"/>
      <c r="AJ114" s="11">
        <v>0</v>
      </c>
      <c r="AK114" s="11"/>
      <c r="AL114" s="8">
        <v>5300000</v>
      </c>
      <c r="AM114" s="8"/>
      <c r="AN114" s="8">
        <v>17009029</v>
      </c>
      <c r="AO114" s="8"/>
      <c r="AP114" s="8">
        <v>0</v>
      </c>
      <c r="AQ114" s="8"/>
      <c r="AR114" s="8">
        <f>+'GVFund Rev'!U114+'GVFund Rev'!W114-'GVFund Exp'!AH114-'GVFund Exp'!AL114+AJ114+AN114+AP114-'GV Fund BS'!W114</f>
        <v>0</v>
      </c>
      <c r="AS114" s="11"/>
    </row>
    <row r="115" spans="1:45" s="9" customFormat="1" ht="12.75" customHeight="1" x14ac:dyDescent="0.2">
      <c r="A115" s="6" t="s">
        <v>126</v>
      </c>
      <c r="B115" s="7"/>
      <c r="C115" s="6" t="s">
        <v>117</v>
      </c>
      <c r="D115" s="7"/>
      <c r="E115" s="8">
        <f>989896+408890</f>
        <v>1398786</v>
      </c>
      <c r="F115" s="11"/>
      <c r="G115" s="8">
        <v>3113095</v>
      </c>
      <c r="H115" s="11"/>
      <c r="I115" s="8">
        <v>329314</v>
      </c>
      <c r="J115" s="11"/>
      <c r="K115" s="8">
        <v>11750</v>
      </c>
      <c r="L115" s="11"/>
      <c r="M115" s="8">
        <v>373889</v>
      </c>
      <c r="N115" s="11"/>
      <c r="O115" s="8">
        <v>69549</v>
      </c>
      <c r="P115" s="11"/>
      <c r="Q115" s="8">
        <v>0</v>
      </c>
      <c r="R115" s="11"/>
      <c r="S115" s="8">
        <v>127294</v>
      </c>
      <c r="T115" s="11"/>
      <c r="U115" s="8">
        <v>0</v>
      </c>
      <c r="V115" s="11"/>
      <c r="W115" s="11"/>
      <c r="X115" s="6"/>
      <c r="Y115" s="7"/>
      <c r="Z115" s="6"/>
      <c r="AA115" s="6"/>
      <c r="AB115" s="8">
        <v>160508</v>
      </c>
      <c r="AC115" s="20"/>
      <c r="AD115" s="8">
        <v>143007</v>
      </c>
      <c r="AE115" s="20"/>
      <c r="AF115" s="8">
        <v>0</v>
      </c>
      <c r="AG115" s="20"/>
      <c r="AH115" s="11">
        <f t="shared" si="7"/>
        <v>5727192</v>
      </c>
      <c r="AI115" s="11"/>
      <c r="AJ115" s="11">
        <v>0</v>
      </c>
      <c r="AK115" s="11"/>
      <c r="AL115" s="8">
        <v>622965</v>
      </c>
      <c r="AM115" s="8"/>
      <c r="AN115" s="8">
        <v>2239403</v>
      </c>
      <c r="AO115" s="8"/>
      <c r="AP115" s="8">
        <v>0</v>
      </c>
      <c r="AQ115" s="8"/>
      <c r="AR115" s="8">
        <f>+'GVFund Rev'!U115+'GVFund Rev'!W115-'GVFund Exp'!AH115-'GVFund Exp'!AL115+AJ115+AN115+AP115-'GV Fund BS'!W115</f>
        <v>0</v>
      </c>
      <c r="AS115" s="11"/>
    </row>
    <row r="116" spans="1:45" s="7" customFormat="1" ht="12.75" customHeight="1" x14ac:dyDescent="0.2">
      <c r="A116" s="6" t="s">
        <v>127</v>
      </c>
      <c r="C116" s="6" t="s">
        <v>78</v>
      </c>
      <c r="E116" s="8">
        <v>234719</v>
      </c>
      <c r="F116" s="11"/>
      <c r="G116" s="8">
        <v>1609189</v>
      </c>
      <c r="H116" s="11"/>
      <c r="I116" s="8">
        <v>410</v>
      </c>
      <c r="J116" s="11"/>
      <c r="K116" s="8">
        <v>18344</v>
      </c>
      <c r="L116" s="11"/>
      <c r="M116" s="8">
        <v>685208</v>
      </c>
      <c r="N116" s="11"/>
      <c r="O116" s="8">
        <v>20568</v>
      </c>
      <c r="P116" s="11"/>
      <c r="Q116" s="8">
        <v>0</v>
      </c>
      <c r="R116" s="11"/>
      <c r="S116" s="8">
        <v>129150</v>
      </c>
      <c r="T116" s="11"/>
      <c r="U116" s="8">
        <v>0</v>
      </c>
      <c r="V116" s="11"/>
      <c r="W116" s="11"/>
      <c r="X116" s="6"/>
      <c r="Z116" s="6"/>
      <c r="AA116" s="6"/>
      <c r="AB116" s="8">
        <v>2910114</v>
      </c>
      <c r="AC116" s="20"/>
      <c r="AD116" s="8">
        <v>94176</v>
      </c>
      <c r="AE116" s="20"/>
      <c r="AF116" s="8">
        <v>76677</v>
      </c>
      <c r="AG116" s="20"/>
      <c r="AH116" s="11">
        <f t="shared" si="7"/>
        <v>5778555</v>
      </c>
      <c r="AI116" s="11"/>
      <c r="AJ116" s="11">
        <v>0</v>
      </c>
      <c r="AK116" s="11"/>
      <c r="AL116" s="8">
        <v>893052</v>
      </c>
      <c r="AM116" s="8"/>
      <c r="AN116" s="8">
        <v>1277738</v>
      </c>
      <c r="AO116" s="8"/>
      <c r="AP116" s="8">
        <v>0</v>
      </c>
      <c r="AQ116" s="8"/>
      <c r="AR116" s="8">
        <f>+'GVFund Rev'!U116+'GVFund Rev'!W116-'GVFund Exp'!AH116-'GVFund Exp'!AL116+AJ116+AN116+AP116-'GV Fund BS'!W116</f>
        <v>0</v>
      </c>
      <c r="AS116" s="11"/>
    </row>
    <row r="117" spans="1:45" s="7" customFormat="1" ht="12.75" customHeight="1" x14ac:dyDescent="0.2">
      <c r="A117" s="6" t="s">
        <v>128</v>
      </c>
      <c r="C117" s="6" t="s">
        <v>64</v>
      </c>
      <c r="E117" s="8">
        <v>2821669</v>
      </c>
      <c r="F117" s="11"/>
      <c r="G117" s="8">
        <f>8163066+7074257+373973</f>
        <v>15611296</v>
      </c>
      <c r="H117" s="11"/>
      <c r="I117" s="8">
        <v>830014</v>
      </c>
      <c r="J117" s="11"/>
      <c r="K117" s="8">
        <v>0</v>
      </c>
      <c r="L117" s="11"/>
      <c r="M117" s="8">
        <v>2103231</v>
      </c>
      <c r="N117" s="11"/>
      <c r="O117" s="8">
        <v>583637</v>
      </c>
      <c r="P117" s="11"/>
      <c r="Q117" s="8">
        <v>0</v>
      </c>
      <c r="R117" s="11"/>
      <c r="S117" s="8">
        <v>10525258</v>
      </c>
      <c r="T117" s="11"/>
      <c r="U117" s="8">
        <v>0</v>
      </c>
      <c r="V117" s="11"/>
      <c r="W117" s="11"/>
      <c r="X117" s="6"/>
      <c r="Z117" s="6"/>
      <c r="AA117" s="6"/>
      <c r="AB117" s="8">
        <v>1720930</v>
      </c>
      <c r="AC117" s="20"/>
      <c r="AD117" s="8">
        <v>1257693</v>
      </c>
      <c r="AE117" s="20"/>
      <c r="AF117" s="8">
        <v>15000</v>
      </c>
      <c r="AG117" s="20"/>
      <c r="AH117" s="11">
        <f t="shared" si="7"/>
        <v>35468728</v>
      </c>
      <c r="AI117" s="11"/>
      <c r="AJ117" s="11">
        <v>0</v>
      </c>
      <c r="AK117" s="11"/>
      <c r="AL117" s="8">
        <v>8131593</v>
      </c>
      <c r="AM117" s="8"/>
      <c r="AN117" s="8">
        <v>20817172</v>
      </c>
      <c r="AO117" s="8"/>
      <c r="AP117" s="8">
        <v>0</v>
      </c>
      <c r="AQ117" s="8"/>
      <c r="AR117" s="8">
        <f>+'GVFund Rev'!U117+'GVFund Rev'!W117-'GVFund Exp'!AH117-'GVFund Exp'!AL117+AJ117+AN117+AP117-'GV Fund BS'!W117</f>
        <v>0</v>
      </c>
      <c r="AS117" s="11"/>
    </row>
    <row r="118" spans="1:45" s="7" customFormat="1" ht="12.75" customHeight="1" x14ac:dyDescent="0.2">
      <c r="A118" s="6" t="s">
        <v>129</v>
      </c>
      <c r="C118" s="6" t="s">
        <v>11</v>
      </c>
      <c r="E118" s="8">
        <v>4683846</v>
      </c>
      <c r="F118" s="11"/>
      <c r="G118" s="8">
        <v>6657789</v>
      </c>
      <c r="H118" s="11"/>
      <c r="I118" s="8">
        <v>1654868</v>
      </c>
      <c r="J118" s="11"/>
      <c r="K118" s="8">
        <v>1060420</v>
      </c>
      <c r="L118" s="11"/>
      <c r="M118" s="8">
        <v>2596355</v>
      </c>
      <c r="N118" s="11"/>
      <c r="O118" s="8">
        <v>1140814</v>
      </c>
      <c r="P118" s="11"/>
      <c r="Q118" s="8">
        <v>0</v>
      </c>
      <c r="R118" s="11"/>
      <c r="S118" s="8">
        <v>5458375</v>
      </c>
      <c r="T118" s="11"/>
      <c r="U118" s="8">
        <v>0</v>
      </c>
      <c r="V118" s="11"/>
      <c r="W118" s="11"/>
      <c r="X118" s="6"/>
      <c r="Z118" s="6"/>
      <c r="AA118" s="6"/>
      <c r="AB118" s="8">
        <v>3102148</v>
      </c>
      <c r="AC118" s="20"/>
      <c r="AD118" s="8">
        <v>1239296</v>
      </c>
      <c r="AE118" s="20"/>
      <c r="AF118" s="8">
        <v>125861</v>
      </c>
      <c r="AG118" s="20"/>
      <c r="AH118" s="11">
        <f t="shared" si="7"/>
        <v>27719772</v>
      </c>
      <c r="AI118" s="11"/>
      <c r="AJ118" s="11">
        <v>0</v>
      </c>
      <c r="AK118" s="11"/>
      <c r="AL118" s="8">
        <f>9727878+2533301</f>
        <v>12261179</v>
      </c>
      <c r="AM118" s="8"/>
      <c r="AN118" s="8">
        <v>18155857</v>
      </c>
      <c r="AO118" s="8"/>
      <c r="AP118" s="8">
        <v>0</v>
      </c>
      <c r="AQ118" s="8"/>
      <c r="AR118" s="8">
        <f>+'GVFund Rev'!U118+'GVFund Rev'!W118-'GVFund Exp'!AH118-'GVFund Exp'!AL118+AJ118+AN118+AP118-'GV Fund BS'!W118</f>
        <v>0</v>
      </c>
      <c r="AS118" s="11"/>
    </row>
    <row r="119" spans="1:45" s="7" customFormat="1" ht="12.75" customHeight="1" x14ac:dyDescent="0.2">
      <c r="A119" s="6" t="s">
        <v>36</v>
      </c>
      <c r="C119" s="6" t="s">
        <v>130</v>
      </c>
      <c r="E119" s="8">
        <v>1627996</v>
      </c>
      <c r="F119" s="11"/>
      <c r="G119" s="8">
        <f>1567828+1431119</f>
        <v>2998947</v>
      </c>
      <c r="H119" s="11"/>
      <c r="I119" s="8">
        <v>366442</v>
      </c>
      <c r="J119" s="11"/>
      <c r="K119" s="8">
        <v>0</v>
      </c>
      <c r="L119" s="11"/>
      <c r="M119" s="8">
        <v>616728</v>
      </c>
      <c r="N119" s="11"/>
      <c r="O119" s="8">
        <v>463587</v>
      </c>
      <c r="P119" s="11"/>
      <c r="Q119" s="8">
        <v>540313</v>
      </c>
      <c r="R119" s="11"/>
      <c r="S119" s="8">
        <v>711013</v>
      </c>
      <c r="T119" s="11"/>
      <c r="U119" s="8">
        <v>0</v>
      </c>
      <c r="V119" s="11"/>
      <c r="W119" s="11"/>
      <c r="X119" s="6"/>
      <c r="Z119" s="6"/>
      <c r="AA119" s="6"/>
      <c r="AB119" s="8">
        <v>1279042</v>
      </c>
      <c r="AC119" s="20"/>
      <c r="AD119" s="8">
        <v>76733</v>
      </c>
      <c r="AE119" s="20"/>
      <c r="AF119" s="8">
        <v>0</v>
      </c>
      <c r="AG119" s="20"/>
      <c r="AH119" s="11">
        <f t="shared" si="7"/>
        <v>8680801</v>
      </c>
      <c r="AI119" s="11"/>
      <c r="AJ119" s="11">
        <v>0</v>
      </c>
      <c r="AK119" s="11"/>
      <c r="AL119" s="8">
        <v>1939497</v>
      </c>
      <c r="AM119" s="8"/>
      <c r="AN119" s="8">
        <v>2986108</v>
      </c>
      <c r="AO119" s="8"/>
      <c r="AP119" s="8">
        <v>0</v>
      </c>
      <c r="AQ119" s="8"/>
      <c r="AR119" s="8">
        <f>+'GVFund Rev'!U119+'GVFund Rev'!W119-'GVFund Exp'!AH119-'GVFund Exp'!AL119+AJ119+AN119+AP119-'GV Fund BS'!W119</f>
        <v>0</v>
      </c>
      <c r="AS119" s="11"/>
    </row>
    <row r="120" spans="1:45" s="7" customFormat="1" ht="12.75" customHeight="1" x14ac:dyDescent="0.2">
      <c r="A120" s="6" t="s">
        <v>131</v>
      </c>
      <c r="C120" s="6" t="s">
        <v>25</v>
      </c>
      <c r="E120" s="8">
        <v>5689973</v>
      </c>
      <c r="F120" s="11"/>
      <c r="G120" s="8">
        <v>8078230</v>
      </c>
      <c r="H120" s="11"/>
      <c r="I120" s="8">
        <v>2430958</v>
      </c>
      <c r="J120" s="11"/>
      <c r="K120" s="8">
        <v>95769</v>
      </c>
      <c r="L120" s="11"/>
      <c r="M120" s="8">
        <v>2359506</v>
      </c>
      <c r="N120" s="11"/>
      <c r="O120" s="8">
        <v>3297852</v>
      </c>
      <c r="P120" s="11"/>
      <c r="Q120" s="8">
        <v>546855</v>
      </c>
      <c r="R120" s="11"/>
      <c r="S120" s="8">
        <v>5327012</v>
      </c>
      <c r="T120" s="11"/>
      <c r="U120" s="8">
        <v>0</v>
      </c>
      <c r="V120" s="11"/>
      <c r="W120" s="11"/>
      <c r="X120" s="6"/>
      <c r="Z120" s="6"/>
      <c r="AA120" s="6"/>
      <c r="AB120" s="8">
        <v>7348277</v>
      </c>
      <c r="AC120" s="20"/>
      <c r="AD120" s="8">
        <v>924529</v>
      </c>
      <c r="AE120" s="20"/>
      <c r="AF120" s="8">
        <v>39867</v>
      </c>
      <c r="AG120" s="20"/>
      <c r="AH120" s="11">
        <f t="shared" si="7"/>
        <v>36138828</v>
      </c>
      <c r="AI120" s="11"/>
      <c r="AJ120" s="11">
        <v>0</v>
      </c>
      <c r="AK120" s="11"/>
      <c r="AL120" s="8">
        <v>9817000</v>
      </c>
      <c r="AM120" s="8"/>
      <c r="AN120" s="8">
        <v>16275558</v>
      </c>
      <c r="AO120" s="8"/>
      <c r="AP120" s="8">
        <v>0</v>
      </c>
      <c r="AQ120" s="8"/>
      <c r="AR120" s="8">
        <f>+'GVFund Rev'!U120+'GVFund Rev'!W120-'GVFund Exp'!AH120-'GVFund Exp'!AL120+AJ120+AN120+AP120-'GV Fund BS'!W120</f>
        <v>0</v>
      </c>
      <c r="AS120" s="11"/>
    </row>
    <row r="121" spans="1:45" s="7" customFormat="1" ht="12.75" hidden="1" customHeight="1" x14ac:dyDescent="0.2">
      <c r="A121" s="6" t="s">
        <v>476</v>
      </c>
      <c r="C121" s="6" t="s">
        <v>43</v>
      </c>
      <c r="E121" s="8">
        <v>1664214</v>
      </c>
      <c r="F121" s="11"/>
      <c r="G121" s="8">
        <v>4401254</v>
      </c>
      <c r="H121" s="11"/>
      <c r="I121" s="8">
        <v>1535431</v>
      </c>
      <c r="J121" s="11"/>
      <c r="K121" s="8">
        <v>115858</v>
      </c>
      <c r="L121" s="11"/>
      <c r="M121" s="8">
        <v>1410408</v>
      </c>
      <c r="N121" s="11"/>
      <c r="O121" s="8">
        <v>1012532</v>
      </c>
      <c r="P121" s="11"/>
      <c r="Q121" s="8">
        <v>0</v>
      </c>
      <c r="R121" s="11"/>
      <c r="S121" s="8">
        <v>607946</v>
      </c>
      <c r="T121" s="11"/>
      <c r="U121" s="8">
        <v>0</v>
      </c>
      <c r="V121" s="11"/>
      <c r="W121" s="11"/>
      <c r="X121" s="6"/>
      <c r="Z121" s="6"/>
      <c r="AA121" s="6"/>
      <c r="AB121" s="8">
        <v>616025</v>
      </c>
      <c r="AC121" s="20"/>
      <c r="AD121" s="8">
        <v>99463</v>
      </c>
      <c r="AE121" s="20"/>
      <c r="AF121" s="8">
        <v>0</v>
      </c>
      <c r="AG121" s="20"/>
      <c r="AH121" s="11">
        <f t="shared" si="7"/>
        <v>11463131</v>
      </c>
      <c r="AI121" s="11"/>
      <c r="AJ121" s="11">
        <v>0</v>
      </c>
      <c r="AK121" s="11"/>
      <c r="AL121" s="8">
        <v>1531978</v>
      </c>
      <c r="AM121" s="8"/>
      <c r="AN121" s="8">
        <v>13957799</v>
      </c>
      <c r="AO121" s="8"/>
      <c r="AP121" s="8">
        <v>173257</v>
      </c>
      <c r="AQ121" s="8"/>
      <c r="AR121" s="8">
        <f>+'GVFund Rev'!U121+'GVFund Rev'!W121-'GVFund Exp'!AH121-'GVFund Exp'!AL121+AJ121+AN121+AP121-'GV Fund BS'!W121</f>
        <v>0</v>
      </c>
      <c r="AS121" s="11"/>
    </row>
    <row r="122" spans="1:45" s="7" customFormat="1" ht="12.75" customHeight="1" x14ac:dyDescent="0.2">
      <c r="A122" s="6" t="s">
        <v>132</v>
      </c>
      <c r="B122" s="18"/>
      <c r="C122" s="6" t="s">
        <v>133</v>
      </c>
      <c r="E122" s="8">
        <v>1765950</v>
      </c>
      <c r="F122" s="11"/>
      <c r="G122" s="8">
        <v>3103160</v>
      </c>
      <c r="H122" s="11"/>
      <c r="I122" s="8">
        <v>1984667</v>
      </c>
      <c r="J122" s="11"/>
      <c r="K122" s="8">
        <v>225388</v>
      </c>
      <c r="L122" s="11"/>
      <c r="M122" s="8">
        <v>483773</v>
      </c>
      <c r="N122" s="11"/>
      <c r="O122" s="8">
        <v>88954</v>
      </c>
      <c r="P122" s="11"/>
      <c r="Q122" s="8">
        <v>0</v>
      </c>
      <c r="R122" s="11"/>
      <c r="S122" s="8">
        <v>64490</v>
      </c>
      <c r="T122" s="11"/>
      <c r="U122" s="8">
        <v>0</v>
      </c>
      <c r="V122" s="11"/>
      <c r="W122" s="11"/>
      <c r="X122" s="6"/>
      <c r="Z122" s="6"/>
      <c r="AA122" s="6"/>
      <c r="AB122" s="8">
        <v>186401</v>
      </c>
      <c r="AC122" s="20"/>
      <c r="AD122" s="8">
        <v>111387</v>
      </c>
      <c r="AE122" s="20"/>
      <c r="AF122" s="8">
        <v>0</v>
      </c>
      <c r="AG122" s="20"/>
      <c r="AH122" s="11">
        <f t="shared" si="7"/>
        <v>8014170</v>
      </c>
      <c r="AI122" s="11"/>
      <c r="AJ122" s="11"/>
      <c r="AK122" s="11"/>
      <c r="AL122" s="8">
        <v>38204</v>
      </c>
      <c r="AM122" s="8"/>
      <c r="AN122" s="8">
        <v>2235827</v>
      </c>
      <c r="AO122" s="8"/>
      <c r="AP122" s="8">
        <v>0</v>
      </c>
      <c r="AQ122" s="8"/>
      <c r="AR122" s="8">
        <f>+'GVFund Rev'!U122+'GVFund Rev'!W122-'GVFund Exp'!AH122-'GVFund Exp'!AL122+AJ122+AN122+AP122-'GV Fund BS'!W122</f>
        <v>0</v>
      </c>
      <c r="AS122" s="11"/>
    </row>
    <row r="123" spans="1:45" s="7" customFormat="1" ht="12.75" customHeight="1" x14ac:dyDescent="0.2">
      <c r="A123" s="6" t="s">
        <v>134</v>
      </c>
      <c r="C123" s="6" t="s">
        <v>134</v>
      </c>
      <c r="E123" s="8">
        <v>1190446</v>
      </c>
      <c r="F123" s="11"/>
      <c r="G123" s="8">
        <v>2083455</v>
      </c>
      <c r="H123" s="11"/>
      <c r="I123" s="8">
        <v>385060</v>
      </c>
      <c r="J123" s="11"/>
      <c r="K123" s="8">
        <v>335097</v>
      </c>
      <c r="L123" s="11"/>
      <c r="M123" s="8">
        <v>796734</v>
      </c>
      <c r="N123" s="11"/>
      <c r="O123" s="8">
        <v>176901</v>
      </c>
      <c r="P123" s="11"/>
      <c r="Q123" s="8">
        <v>0</v>
      </c>
      <c r="R123" s="11"/>
      <c r="S123" s="8">
        <v>0</v>
      </c>
      <c r="T123" s="11"/>
      <c r="U123" s="8">
        <v>0</v>
      </c>
      <c r="V123" s="11"/>
      <c r="W123" s="11"/>
      <c r="X123" s="6"/>
      <c r="Z123" s="6"/>
      <c r="AA123" s="6"/>
      <c r="AB123" s="8">
        <v>226889</v>
      </c>
      <c r="AC123" s="20"/>
      <c r="AD123" s="8">
        <v>16346</v>
      </c>
      <c r="AE123" s="20"/>
      <c r="AF123" s="8">
        <v>0</v>
      </c>
      <c r="AG123" s="20"/>
      <c r="AH123" s="11">
        <f t="shared" si="7"/>
        <v>5210928</v>
      </c>
      <c r="AI123" s="11"/>
      <c r="AJ123" s="11">
        <v>0</v>
      </c>
      <c r="AK123" s="11"/>
      <c r="AL123" s="8">
        <v>520879</v>
      </c>
      <c r="AM123" s="8"/>
      <c r="AN123" s="8">
        <v>5638026</v>
      </c>
      <c r="AO123" s="8"/>
      <c r="AP123" s="8">
        <v>0</v>
      </c>
      <c r="AQ123" s="8"/>
      <c r="AR123" s="8">
        <f>+'GVFund Rev'!U123+'GVFund Rev'!W123-'GVFund Exp'!AH123-'GVFund Exp'!AL123+AJ123+AN123+AP123-'GV Fund BS'!W123</f>
        <v>0</v>
      </c>
      <c r="AS123" s="11"/>
    </row>
    <row r="124" spans="1:45" s="7" customFormat="1" ht="12.75" customHeight="1" x14ac:dyDescent="0.2">
      <c r="A124" s="6" t="s">
        <v>135</v>
      </c>
      <c r="C124" s="6" t="s">
        <v>20</v>
      </c>
      <c r="E124" s="8">
        <v>2677661</v>
      </c>
      <c r="F124" s="11"/>
      <c r="G124" s="8">
        <v>10263482</v>
      </c>
      <c r="H124" s="11"/>
      <c r="I124" s="8">
        <v>3206393</v>
      </c>
      <c r="J124" s="11"/>
      <c r="K124" s="8">
        <v>621527</v>
      </c>
      <c r="L124" s="11"/>
      <c r="M124" s="8">
        <v>1803687</v>
      </c>
      <c r="N124" s="11"/>
      <c r="O124" s="8">
        <v>1444809</v>
      </c>
      <c r="P124" s="11"/>
      <c r="Q124" s="8">
        <v>0</v>
      </c>
      <c r="R124" s="11"/>
      <c r="S124" s="8">
        <v>3695709</v>
      </c>
      <c r="T124" s="11"/>
      <c r="U124" s="8">
        <v>0</v>
      </c>
      <c r="V124" s="11"/>
      <c r="W124" s="11"/>
      <c r="X124" s="6"/>
      <c r="Z124" s="6"/>
      <c r="AA124" s="6"/>
      <c r="AB124" s="8">
        <v>1428947</v>
      </c>
      <c r="AC124" s="20"/>
      <c r="AD124" s="8">
        <v>132640</v>
      </c>
      <c r="AE124" s="20"/>
      <c r="AF124" s="8">
        <v>62354</v>
      </c>
      <c r="AG124" s="20"/>
      <c r="AH124" s="11">
        <f t="shared" si="7"/>
        <v>25337209</v>
      </c>
      <c r="AI124" s="11"/>
      <c r="AJ124" s="11">
        <v>0</v>
      </c>
      <c r="AK124" s="11"/>
      <c r="AL124" s="8">
        <v>430762</v>
      </c>
      <c r="AM124" s="8"/>
      <c r="AN124" s="8">
        <v>17385553</v>
      </c>
      <c r="AO124" s="8"/>
      <c r="AP124" s="8">
        <v>0</v>
      </c>
      <c r="AQ124" s="8"/>
      <c r="AR124" s="8">
        <f>+'GVFund Rev'!U124+'GVFund Rev'!W124-'GVFund Exp'!AH124-'GVFund Exp'!AL124+AJ124+AN124+AP124-'GV Fund BS'!W124</f>
        <v>0</v>
      </c>
      <c r="AS124" s="11"/>
    </row>
    <row r="125" spans="1:45" s="7" customFormat="1" ht="12.75" hidden="1" customHeight="1" x14ac:dyDescent="0.2">
      <c r="A125" s="6" t="s">
        <v>136</v>
      </c>
      <c r="C125" s="6" t="s">
        <v>137</v>
      </c>
      <c r="E125" s="8"/>
      <c r="F125" s="11"/>
      <c r="G125" s="8"/>
      <c r="H125" s="11"/>
      <c r="I125" s="8"/>
      <c r="J125" s="11"/>
      <c r="K125" s="8"/>
      <c r="L125" s="11"/>
      <c r="M125" s="8"/>
      <c r="N125" s="11"/>
      <c r="O125" s="8"/>
      <c r="P125" s="11"/>
      <c r="Q125" s="8"/>
      <c r="R125" s="11"/>
      <c r="S125" s="8"/>
      <c r="T125" s="11"/>
      <c r="U125" s="8"/>
      <c r="V125" s="11"/>
      <c r="W125" s="11"/>
      <c r="X125" s="6"/>
      <c r="Z125" s="6"/>
      <c r="AA125" s="6"/>
      <c r="AB125" s="8"/>
      <c r="AC125" s="20"/>
      <c r="AD125" s="8"/>
      <c r="AE125" s="20"/>
      <c r="AF125" s="8"/>
      <c r="AG125" s="20"/>
      <c r="AH125" s="11">
        <f t="shared" si="7"/>
        <v>0</v>
      </c>
      <c r="AI125" s="11"/>
      <c r="AJ125" s="11">
        <v>0</v>
      </c>
      <c r="AK125" s="11"/>
      <c r="AL125" s="8"/>
      <c r="AM125" s="8"/>
      <c r="AN125" s="8"/>
      <c r="AO125" s="8"/>
      <c r="AP125" s="8"/>
      <c r="AQ125" s="8"/>
      <c r="AR125" s="8">
        <f>+'GVFund Rev'!U125+'GVFund Rev'!W125-'GVFund Exp'!AH125-'GVFund Exp'!AL125+AJ125+AN125+AP125-'GV Fund BS'!W125</f>
        <v>0</v>
      </c>
      <c r="AS125" s="11"/>
    </row>
    <row r="126" spans="1:45" s="7" customFormat="1" ht="12.75" customHeight="1" x14ac:dyDescent="0.2">
      <c r="A126" s="6" t="s">
        <v>138</v>
      </c>
      <c r="C126" s="6" t="s">
        <v>64</v>
      </c>
      <c r="E126" s="8">
        <v>12553463</v>
      </c>
      <c r="F126" s="11"/>
      <c r="G126" s="8">
        <f>14822534+10794655</f>
        <v>25617189</v>
      </c>
      <c r="H126" s="11"/>
      <c r="I126" s="8">
        <v>0</v>
      </c>
      <c r="J126" s="11"/>
      <c r="K126" s="8">
        <v>0</v>
      </c>
      <c r="L126" s="11"/>
      <c r="M126" s="8">
        <v>8395339</v>
      </c>
      <c r="N126" s="11"/>
      <c r="O126" s="8">
        <v>12551728</v>
      </c>
      <c r="P126" s="11"/>
      <c r="Q126" s="8">
        <v>0</v>
      </c>
      <c r="R126" s="11"/>
      <c r="S126" s="8">
        <v>13270898</v>
      </c>
      <c r="T126" s="11"/>
      <c r="U126" s="8">
        <v>0</v>
      </c>
      <c r="V126" s="11"/>
      <c r="W126" s="11"/>
      <c r="X126" s="6"/>
      <c r="Z126" s="6"/>
      <c r="AA126" s="6"/>
      <c r="AB126" s="8">
        <v>1092888</v>
      </c>
      <c r="AC126" s="20"/>
      <c r="AD126" s="8">
        <v>599394</v>
      </c>
      <c r="AE126" s="20"/>
      <c r="AF126" s="8">
        <v>0</v>
      </c>
      <c r="AG126" s="20"/>
      <c r="AH126" s="11">
        <f t="shared" si="7"/>
        <v>74080899</v>
      </c>
      <c r="AI126" s="11"/>
      <c r="AJ126" s="11">
        <v>0</v>
      </c>
      <c r="AK126" s="11"/>
      <c r="AL126" s="8">
        <v>11903130</v>
      </c>
      <c r="AM126" s="8"/>
      <c r="AN126" s="8">
        <v>63022080</v>
      </c>
      <c r="AO126" s="8"/>
      <c r="AP126" s="8">
        <v>0</v>
      </c>
      <c r="AQ126" s="8"/>
      <c r="AR126" s="8">
        <f>+'GVFund Rev'!U126+'GVFund Rev'!W126-'GVFund Exp'!AH126-'GVFund Exp'!AL126+AJ126+AN126+AP126-'GV Fund BS'!W126</f>
        <v>0</v>
      </c>
      <c r="AS126" s="11"/>
    </row>
    <row r="127" spans="1:45" s="7" customFormat="1" ht="12.75" customHeight="1" x14ac:dyDescent="0.2">
      <c r="A127" s="6" t="s">
        <v>472</v>
      </c>
      <c r="C127" s="6" t="s">
        <v>90</v>
      </c>
      <c r="E127" s="8">
        <v>1911313</v>
      </c>
      <c r="F127" s="11"/>
      <c r="G127" s="8">
        <v>2420937</v>
      </c>
      <c r="H127" s="11"/>
      <c r="I127" s="8">
        <v>100055</v>
      </c>
      <c r="J127" s="11"/>
      <c r="K127" s="8">
        <v>73037</v>
      </c>
      <c r="L127" s="11"/>
      <c r="M127" s="8">
        <v>1518899</v>
      </c>
      <c r="N127" s="11"/>
      <c r="O127" s="8">
        <v>313605</v>
      </c>
      <c r="P127" s="11"/>
      <c r="Q127" s="8">
        <v>0</v>
      </c>
      <c r="R127" s="11"/>
      <c r="S127" s="8">
        <v>164737</v>
      </c>
      <c r="T127" s="11"/>
      <c r="U127" s="8">
        <v>0</v>
      </c>
      <c r="V127" s="11"/>
      <c r="W127" s="11"/>
      <c r="X127" s="6"/>
      <c r="Z127" s="6"/>
      <c r="AA127" s="6"/>
      <c r="AB127" s="8">
        <v>264872</v>
      </c>
      <c r="AC127" s="20"/>
      <c r="AD127" s="8">
        <v>143433</v>
      </c>
      <c r="AE127" s="20"/>
      <c r="AF127" s="8">
        <v>400000</v>
      </c>
      <c r="AG127" s="20"/>
      <c r="AH127" s="11">
        <f t="shared" si="7"/>
        <v>7310888</v>
      </c>
      <c r="AI127" s="11"/>
      <c r="AJ127" s="11">
        <v>0</v>
      </c>
      <c r="AK127" s="11"/>
      <c r="AL127" s="8">
        <f>875000+486669</f>
        <v>1361669</v>
      </c>
      <c r="AM127" s="8"/>
      <c r="AN127" s="8">
        <v>1649147</v>
      </c>
      <c r="AO127" s="8"/>
      <c r="AP127" s="8">
        <v>0</v>
      </c>
      <c r="AQ127" s="8"/>
      <c r="AR127" s="8">
        <f>+'GVFund Rev'!U127+'GVFund Rev'!W127-'GVFund Exp'!AH127-'GVFund Exp'!AL127+AJ127+AN127+AP127-'GV Fund BS'!W127</f>
        <v>0</v>
      </c>
      <c r="AS127" s="11"/>
    </row>
    <row r="128" spans="1:45" s="7" customFormat="1" ht="12.75" customHeight="1" x14ac:dyDescent="0.2">
      <c r="A128" s="19" t="s">
        <v>139</v>
      </c>
      <c r="B128" s="9"/>
      <c r="C128" s="19" t="s">
        <v>25</v>
      </c>
      <c r="D128" s="9"/>
      <c r="E128" s="8">
        <v>9147337</v>
      </c>
      <c r="F128" s="11"/>
      <c r="G128" s="8">
        <f>12000737+9299325</f>
        <v>21300062</v>
      </c>
      <c r="H128" s="11"/>
      <c r="I128" s="8">
        <v>4559327</v>
      </c>
      <c r="J128" s="11"/>
      <c r="K128" s="8">
        <v>1914502</v>
      </c>
      <c r="L128" s="11"/>
      <c r="M128" s="8">
        <v>1768040</v>
      </c>
      <c r="N128" s="11"/>
      <c r="O128" s="8">
        <v>1510669</v>
      </c>
      <c r="P128" s="11"/>
      <c r="Q128" s="8">
        <v>3012214</v>
      </c>
      <c r="R128" s="11"/>
      <c r="S128" s="8">
        <v>3870084</v>
      </c>
      <c r="T128" s="11"/>
      <c r="U128" s="8">
        <v>0</v>
      </c>
      <c r="V128" s="11"/>
      <c r="W128" s="11"/>
      <c r="X128" s="6"/>
      <c r="Z128" s="6"/>
      <c r="AA128" s="6"/>
      <c r="AB128" s="8">
        <v>11002721</v>
      </c>
      <c r="AC128" s="20"/>
      <c r="AD128" s="8">
        <v>1536273</v>
      </c>
      <c r="AE128" s="20"/>
      <c r="AF128" s="8">
        <v>81512</v>
      </c>
      <c r="AG128" s="20"/>
      <c r="AH128" s="11">
        <f t="shared" si="7"/>
        <v>59702741</v>
      </c>
      <c r="AI128" s="11"/>
      <c r="AJ128" s="11">
        <v>0</v>
      </c>
      <c r="AK128" s="11"/>
      <c r="AL128" s="8">
        <f>3497340+4724168</f>
        <v>8221508</v>
      </c>
      <c r="AM128" s="8"/>
      <c r="AN128" s="8">
        <v>15760879</v>
      </c>
      <c r="AO128" s="8"/>
      <c r="AP128" s="8">
        <v>0</v>
      </c>
      <c r="AQ128" s="8"/>
      <c r="AR128" s="8">
        <f>+'GVFund Rev'!U128+'GVFund Rev'!W128-'GVFund Exp'!AH128-'GVFund Exp'!AL128+AJ128+AN128+AP128-'GV Fund BS'!W128</f>
        <v>0</v>
      </c>
      <c r="AS128" s="11"/>
    </row>
    <row r="129" spans="1:46" s="7" customFormat="1" ht="12.75" customHeight="1" x14ac:dyDescent="0.2">
      <c r="A129" s="6" t="s">
        <v>140</v>
      </c>
      <c r="C129" s="6" t="s">
        <v>100</v>
      </c>
      <c r="E129" s="8">
        <v>7290528</v>
      </c>
      <c r="F129" s="11"/>
      <c r="G129" s="8">
        <v>16629053</v>
      </c>
      <c r="H129" s="11"/>
      <c r="I129" s="8">
        <v>827142</v>
      </c>
      <c r="J129" s="11"/>
      <c r="K129" s="8">
        <v>759395</v>
      </c>
      <c r="L129" s="11"/>
      <c r="M129" s="8">
        <v>4309998</v>
      </c>
      <c r="N129" s="11"/>
      <c r="O129" s="8">
        <v>1901633</v>
      </c>
      <c r="P129" s="11"/>
      <c r="Q129" s="8">
        <v>0</v>
      </c>
      <c r="R129" s="11"/>
      <c r="S129" s="8">
        <v>4489551</v>
      </c>
      <c r="T129" s="11"/>
      <c r="U129" s="8">
        <v>0</v>
      </c>
      <c r="V129" s="11"/>
      <c r="W129" s="11"/>
      <c r="X129" s="6"/>
      <c r="Z129" s="6"/>
      <c r="AA129" s="6"/>
      <c r="AB129" s="8">
        <v>769591</v>
      </c>
      <c r="AC129" s="20"/>
      <c r="AD129" s="8">
        <v>332330</v>
      </c>
      <c r="AE129" s="20"/>
      <c r="AF129" s="8">
        <v>0</v>
      </c>
      <c r="AG129" s="20"/>
      <c r="AH129" s="11">
        <f t="shared" si="7"/>
        <v>37309221</v>
      </c>
      <c r="AI129" s="11"/>
      <c r="AJ129" s="11">
        <v>0</v>
      </c>
      <c r="AK129" s="11"/>
      <c r="AL129" s="8">
        <v>1633053</v>
      </c>
      <c r="AM129" s="8"/>
      <c r="AN129" s="8">
        <v>11651079</v>
      </c>
      <c r="AO129" s="8"/>
      <c r="AP129" s="8">
        <v>83775</v>
      </c>
      <c r="AQ129" s="8"/>
      <c r="AR129" s="8">
        <f>+'GVFund Rev'!U129+'GVFund Rev'!W129-'GVFund Exp'!AH129-'GVFund Exp'!AL129+AJ129+AN129+AP129-'GV Fund BS'!W129</f>
        <v>0</v>
      </c>
      <c r="AS129" s="11"/>
    </row>
    <row r="130" spans="1:46" s="7" customFormat="1" ht="12.75" customHeight="1" x14ac:dyDescent="0.2">
      <c r="A130" s="6" t="s">
        <v>141</v>
      </c>
      <c r="C130" s="6" t="s">
        <v>109</v>
      </c>
      <c r="E130" s="8">
        <v>3353208</v>
      </c>
      <c r="F130" s="11"/>
      <c r="G130" s="8">
        <f>4155702+3055494</f>
        <v>7211196</v>
      </c>
      <c r="H130" s="11"/>
      <c r="I130" s="8">
        <v>1010993</v>
      </c>
      <c r="J130" s="11"/>
      <c r="K130" s="8">
        <v>171222</v>
      </c>
      <c r="L130" s="11"/>
      <c r="M130" s="8">
        <v>1146286</v>
      </c>
      <c r="N130" s="11"/>
      <c r="O130" s="8">
        <v>648820</v>
      </c>
      <c r="P130" s="11"/>
      <c r="Q130" s="8">
        <v>0</v>
      </c>
      <c r="R130" s="11"/>
      <c r="S130" s="8">
        <v>3718437</v>
      </c>
      <c r="T130" s="11"/>
      <c r="U130" s="8">
        <v>345607</v>
      </c>
      <c r="V130" s="11"/>
      <c r="W130" s="11"/>
      <c r="X130" s="6"/>
      <c r="Z130" s="6"/>
      <c r="AA130" s="6"/>
      <c r="AB130" s="8">
        <v>466645</v>
      </c>
      <c r="AC130" s="20"/>
      <c r="AD130" s="8">
        <v>220992</v>
      </c>
      <c r="AE130" s="20"/>
      <c r="AF130" s="8">
        <v>0</v>
      </c>
      <c r="AG130" s="20"/>
      <c r="AH130" s="11">
        <f t="shared" si="7"/>
        <v>18293406</v>
      </c>
      <c r="AI130" s="11"/>
      <c r="AJ130" s="11">
        <v>0</v>
      </c>
      <c r="AK130" s="11"/>
      <c r="AL130" s="8">
        <v>662500</v>
      </c>
      <c r="AM130" s="8"/>
      <c r="AN130" s="8">
        <v>18249078</v>
      </c>
      <c r="AO130" s="8"/>
      <c r="AP130" s="8">
        <v>0</v>
      </c>
      <c r="AQ130" s="8"/>
      <c r="AR130" s="8">
        <f>+'GVFund Rev'!U130+'GVFund Rev'!W130-'GVFund Exp'!AH130-'GVFund Exp'!AL130+AJ130+AN130+AP130-'GV Fund BS'!W130</f>
        <v>0</v>
      </c>
      <c r="AS130" s="11"/>
    </row>
    <row r="131" spans="1:46" s="9" customFormat="1" ht="12.75" customHeight="1" x14ac:dyDescent="0.2">
      <c r="A131" s="4" t="s">
        <v>142</v>
      </c>
      <c r="B131" s="10"/>
      <c r="C131" s="4" t="s">
        <v>86</v>
      </c>
      <c r="D131" s="12"/>
      <c r="E131" s="8">
        <v>7791582</v>
      </c>
      <c r="F131" s="11"/>
      <c r="G131" s="8">
        <v>15419926</v>
      </c>
      <c r="H131" s="11"/>
      <c r="I131" s="8">
        <v>3444042</v>
      </c>
      <c r="J131" s="11"/>
      <c r="K131" s="8">
        <v>0</v>
      </c>
      <c r="L131" s="11"/>
      <c r="M131" s="8">
        <v>4440344</v>
      </c>
      <c r="N131" s="11"/>
      <c r="O131" s="8">
        <v>970609</v>
      </c>
      <c r="P131" s="11"/>
      <c r="Q131" s="8">
        <v>0</v>
      </c>
      <c r="R131" s="11"/>
      <c r="S131" s="8">
        <v>3269011</v>
      </c>
      <c r="T131" s="11"/>
      <c r="U131" s="8">
        <v>0</v>
      </c>
      <c r="V131" s="11"/>
      <c r="W131" s="11"/>
      <c r="X131" s="6"/>
      <c r="Y131" s="7"/>
      <c r="Z131" s="6"/>
      <c r="AA131" s="6"/>
      <c r="AB131" s="8">
        <v>1013646</v>
      </c>
      <c r="AC131" s="20"/>
      <c r="AD131" s="8">
        <v>146414</v>
      </c>
      <c r="AE131" s="20"/>
      <c r="AF131" s="8">
        <v>0</v>
      </c>
      <c r="AG131" s="20"/>
      <c r="AH131" s="11">
        <f t="shared" si="7"/>
        <v>36495574</v>
      </c>
      <c r="AI131" s="11"/>
      <c r="AJ131" s="11">
        <v>0</v>
      </c>
      <c r="AK131" s="11"/>
      <c r="AL131" s="8">
        <v>61410</v>
      </c>
      <c r="AM131" s="8"/>
      <c r="AN131" s="8">
        <v>12576796</v>
      </c>
      <c r="AO131" s="8"/>
      <c r="AP131" s="8">
        <v>0</v>
      </c>
      <c r="AQ131" s="8"/>
      <c r="AR131" s="8">
        <f>+'GVFund Rev'!U131+'GVFund Rev'!W131-'GVFund Exp'!AH131-'GVFund Exp'!AL131+AJ131+AN131+AP131-'GV Fund BS'!W131</f>
        <v>0</v>
      </c>
      <c r="AS131" s="11"/>
    </row>
    <row r="132" spans="1:46" s="7" customFormat="1" ht="12.75" customHeight="1" x14ac:dyDescent="0.2">
      <c r="A132" s="6" t="s">
        <v>34</v>
      </c>
      <c r="C132" s="6" t="s">
        <v>143</v>
      </c>
      <c r="E132" s="8">
        <v>623624</v>
      </c>
      <c r="F132" s="11"/>
      <c r="G132" s="8">
        <f>1754948+820700</f>
        <v>2575648</v>
      </c>
      <c r="H132" s="11"/>
      <c r="I132" s="8">
        <v>207348</v>
      </c>
      <c r="J132" s="11"/>
      <c r="K132" s="8">
        <v>328014</v>
      </c>
      <c r="L132" s="11"/>
      <c r="M132" s="8">
        <v>578498</v>
      </c>
      <c r="N132" s="11"/>
      <c r="O132" s="8">
        <v>123790</v>
      </c>
      <c r="P132" s="11"/>
      <c r="Q132" s="8">
        <v>1889</v>
      </c>
      <c r="R132" s="11"/>
      <c r="S132" s="8">
        <v>478947</v>
      </c>
      <c r="T132" s="11"/>
      <c r="U132" s="8">
        <v>0</v>
      </c>
      <c r="V132" s="11"/>
      <c r="W132" s="11"/>
      <c r="X132" s="6"/>
      <c r="Z132" s="6"/>
      <c r="AA132" s="6"/>
      <c r="AB132" s="8">
        <v>129222</v>
      </c>
      <c r="AC132" s="20"/>
      <c r="AD132" s="8">
        <v>14099</v>
      </c>
      <c r="AE132" s="20"/>
      <c r="AF132" s="8">
        <v>0</v>
      </c>
      <c r="AG132" s="20"/>
      <c r="AH132" s="11">
        <f t="shared" si="7"/>
        <v>5061079</v>
      </c>
      <c r="AI132" s="11"/>
      <c r="AJ132" s="11">
        <v>0</v>
      </c>
      <c r="AK132" s="11"/>
      <c r="AL132" s="8">
        <v>10000</v>
      </c>
      <c r="AM132" s="8"/>
      <c r="AN132" s="8">
        <v>2358359</v>
      </c>
      <c r="AO132" s="8"/>
      <c r="AP132" s="8">
        <v>0</v>
      </c>
      <c r="AQ132" s="8"/>
      <c r="AR132" s="8">
        <f>+'GVFund Rev'!U132+'GVFund Rev'!W132-'GVFund Exp'!AH132-'GVFund Exp'!AL132+AJ132+AN132+AP132-'GV Fund BS'!W132</f>
        <v>0</v>
      </c>
      <c r="AS132" s="11"/>
    </row>
    <row r="133" spans="1:46" s="7" customFormat="1" ht="12.75" customHeight="1" x14ac:dyDescent="0.2">
      <c r="A133" s="19" t="s">
        <v>144</v>
      </c>
      <c r="B133" s="9"/>
      <c r="C133" s="19" t="s">
        <v>145</v>
      </c>
      <c r="D133" s="9"/>
      <c r="E133" s="8">
        <v>1321573</v>
      </c>
      <c r="F133" s="11"/>
      <c r="G133" s="8">
        <v>3231940</v>
      </c>
      <c r="H133" s="11"/>
      <c r="I133" s="8">
        <v>344282</v>
      </c>
      <c r="J133" s="11"/>
      <c r="K133" s="8">
        <v>0</v>
      </c>
      <c r="L133" s="11"/>
      <c r="M133" s="8">
        <v>588265</v>
      </c>
      <c r="N133" s="11"/>
      <c r="O133" s="8">
        <v>176223</v>
      </c>
      <c r="P133" s="11"/>
      <c r="Q133" s="8">
        <v>0</v>
      </c>
      <c r="R133" s="11"/>
      <c r="S133" s="8">
        <v>109377</v>
      </c>
      <c r="T133" s="11"/>
      <c r="U133" s="8">
        <v>0</v>
      </c>
      <c r="V133" s="11"/>
      <c r="W133" s="11"/>
      <c r="X133" s="6"/>
      <c r="Z133" s="6"/>
      <c r="AA133" s="6"/>
      <c r="AB133" s="8">
        <v>319150</v>
      </c>
      <c r="AC133" s="20"/>
      <c r="AD133" s="8">
        <v>136990</v>
      </c>
      <c r="AE133" s="20"/>
      <c r="AF133" s="8">
        <v>0</v>
      </c>
      <c r="AG133" s="20"/>
      <c r="AH133" s="11">
        <f t="shared" si="7"/>
        <v>6227800</v>
      </c>
      <c r="AI133" s="11"/>
      <c r="AJ133" s="11">
        <v>0</v>
      </c>
      <c r="AK133" s="11"/>
      <c r="AL133" s="8">
        <v>582447</v>
      </c>
      <c r="AM133" s="8"/>
      <c r="AN133" s="8">
        <v>3796206</v>
      </c>
      <c r="AO133" s="8"/>
      <c r="AP133" s="8">
        <v>0</v>
      </c>
      <c r="AQ133" s="8"/>
      <c r="AR133" s="8">
        <f>+'GVFund Rev'!U133+'GVFund Rev'!W133-'GVFund Exp'!AH133-'GVFund Exp'!AL133+AJ133+AN133+AP133-'GV Fund BS'!W133</f>
        <v>0</v>
      </c>
      <c r="AS133" s="11"/>
    </row>
    <row r="134" spans="1:46" s="9" customFormat="1" ht="12.75" customHeight="1" x14ac:dyDescent="0.2">
      <c r="A134" s="19" t="s">
        <v>15</v>
      </c>
      <c r="C134" s="19" t="s">
        <v>15</v>
      </c>
      <c r="E134" s="11">
        <v>8022727</v>
      </c>
      <c r="F134" s="11"/>
      <c r="G134" s="11">
        <v>20362434</v>
      </c>
      <c r="H134" s="11"/>
      <c r="I134" s="11">
        <f>365273+3500654</f>
        <v>3865927</v>
      </c>
      <c r="J134" s="11"/>
      <c r="K134" s="11">
        <v>2194945</v>
      </c>
      <c r="L134" s="11"/>
      <c r="M134" s="11">
        <v>2712808</v>
      </c>
      <c r="N134" s="11"/>
      <c r="O134" s="11">
        <v>451109</v>
      </c>
      <c r="P134" s="11"/>
      <c r="Q134" s="11">
        <v>0</v>
      </c>
      <c r="R134" s="11"/>
      <c r="S134" s="11">
        <v>3182821</v>
      </c>
      <c r="T134" s="11"/>
      <c r="U134" s="11">
        <v>0</v>
      </c>
      <c r="V134" s="11"/>
      <c r="W134" s="11"/>
      <c r="X134" s="6"/>
      <c r="Y134" s="7"/>
      <c r="Z134" s="6"/>
      <c r="AA134" s="6"/>
      <c r="AB134" s="11">
        <v>4661144</v>
      </c>
      <c r="AC134" s="20"/>
      <c r="AD134" s="11">
        <v>2074141</v>
      </c>
      <c r="AE134" s="20"/>
      <c r="AF134" s="7">
        <f>5545000+127148</f>
        <v>5672148</v>
      </c>
      <c r="AG134" s="20"/>
      <c r="AH134" s="11">
        <f t="shared" ref="AH134:AH145" si="8">SUM(E134:AF134)</f>
        <v>53200204</v>
      </c>
      <c r="AI134" s="11"/>
      <c r="AJ134" s="11">
        <v>0</v>
      </c>
      <c r="AK134" s="11"/>
      <c r="AL134" s="8">
        <f>21803+3934044</f>
        <v>3955847</v>
      </c>
      <c r="AM134" s="8"/>
      <c r="AN134" s="8">
        <v>27407028</v>
      </c>
      <c r="AO134" s="8"/>
      <c r="AP134" s="8">
        <v>0</v>
      </c>
      <c r="AQ134" s="8"/>
      <c r="AR134" s="8">
        <f>+'GVFund Rev'!U134+'GVFund Rev'!W134-'GVFund Exp'!AH134-'GVFund Exp'!AL134+AJ134+AN134+AP134-'GV Fund BS'!W134</f>
        <v>0</v>
      </c>
      <c r="AS134" s="22"/>
    </row>
    <row r="135" spans="1:46" s="7" customFormat="1" ht="12.75" customHeight="1" x14ac:dyDescent="0.2">
      <c r="A135" s="6" t="s">
        <v>146</v>
      </c>
      <c r="C135" s="6" t="s">
        <v>13</v>
      </c>
      <c r="E135" s="8">
        <v>883541</v>
      </c>
      <c r="F135" s="11"/>
      <c r="G135" s="8">
        <v>1878556</v>
      </c>
      <c r="H135" s="11"/>
      <c r="I135" s="8">
        <v>149141</v>
      </c>
      <c r="J135" s="11"/>
      <c r="K135" s="8">
        <v>65093</v>
      </c>
      <c r="L135" s="11"/>
      <c r="M135" s="8">
        <v>440086</v>
      </c>
      <c r="N135" s="11"/>
      <c r="O135" s="8">
        <v>130297</v>
      </c>
      <c r="P135" s="11"/>
      <c r="Q135" s="8">
        <v>0</v>
      </c>
      <c r="R135" s="11"/>
      <c r="S135" s="8">
        <v>2173898</v>
      </c>
      <c r="T135" s="11"/>
      <c r="U135" s="8">
        <v>0</v>
      </c>
      <c r="V135" s="11"/>
      <c r="W135" s="11"/>
      <c r="X135" s="6"/>
      <c r="Z135" s="6"/>
      <c r="AA135" s="6"/>
      <c r="AB135" s="8">
        <v>67415</v>
      </c>
      <c r="AC135" s="20"/>
      <c r="AD135" s="8">
        <v>12798</v>
      </c>
      <c r="AE135" s="20"/>
      <c r="AF135" s="8">
        <v>5873</v>
      </c>
      <c r="AG135" s="20"/>
      <c r="AH135" s="11">
        <f t="shared" si="8"/>
        <v>5806698</v>
      </c>
      <c r="AI135" s="11"/>
      <c r="AJ135" s="11">
        <v>0</v>
      </c>
      <c r="AK135" s="11"/>
      <c r="AL135" s="8">
        <f>232218+415866</f>
        <v>648084</v>
      </c>
      <c r="AM135" s="8"/>
      <c r="AN135" s="8">
        <v>2588113</v>
      </c>
      <c r="AO135" s="8"/>
      <c r="AP135" s="8">
        <v>0</v>
      </c>
      <c r="AQ135" s="8"/>
      <c r="AR135" s="8">
        <f>+'GVFund Rev'!U135+'GVFund Rev'!W135-'GVFund Exp'!AH135-'GVFund Exp'!AL135+AJ135+AN135+AP135-'GV Fund BS'!W135</f>
        <v>0</v>
      </c>
      <c r="AS135" s="64"/>
      <c r="AT135" s="64"/>
    </row>
    <row r="136" spans="1:46" s="7" customFormat="1" ht="12.75" customHeight="1" x14ac:dyDescent="0.2">
      <c r="A136" s="6" t="s">
        <v>147</v>
      </c>
      <c r="C136" s="6" t="s">
        <v>43</v>
      </c>
      <c r="E136" s="8">
        <v>2087152</v>
      </c>
      <c r="F136" s="11"/>
      <c r="G136" s="8">
        <v>4542557</v>
      </c>
      <c r="H136" s="11"/>
      <c r="I136" s="8">
        <v>183688</v>
      </c>
      <c r="J136" s="11"/>
      <c r="K136" s="8">
        <v>0</v>
      </c>
      <c r="L136" s="11"/>
      <c r="M136" s="8">
        <v>646133</v>
      </c>
      <c r="N136" s="11"/>
      <c r="O136" s="8">
        <v>405289</v>
      </c>
      <c r="P136" s="11"/>
      <c r="Q136" s="8">
        <v>0</v>
      </c>
      <c r="R136" s="11"/>
      <c r="S136" s="8">
        <v>226810</v>
      </c>
      <c r="T136" s="11"/>
      <c r="U136" s="8">
        <v>0</v>
      </c>
      <c r="V136" s="11"/>
      <c r="W136" s="11"/>
      <c r="X136" s="6"/>
      <c r="Z136" s="6"/>
      <c r="AA136" s="6"/>
      <c r="AB136" s="8">
        <v>643828</v>
      </c>
      <c r="AC136" s="20"/>
      <c r="AD136" s="8">
        <v>347441</v>
      </c>
      <c r="AE136" s="20"/>
      <c r="AF136" s="8">
        <v>0</v>
      </c>
      <c r="AG136" s="20"/>
      <c r="AH136" s="11">
        <f t="shared" si="8"/>
        <v>9082898</v>
      </c>
      <c r="AI136" s="11"/>
      <c r="AJ136" s="11">
        <v>0</v>
      </c>
      <c r="AK136" s="11"/>
      <c r="AL136" s="8">
        <f>704589+673544</f>
        <v>1378133</v>
      </c>
      <c r="AM136" s="8"/>
      <c r="AN136" s="8">
        <v>5481586</v>
      </c>
      <c r="AO136" s="8"/>
      <c r="AP136" s="8">
        <v>10055</v>
      </c>
      <c r="AQ136" s="8"/>
      <c r="AR136" s="8">
        <f>+'GVFund Rev'!U136+'GVFund Rev'!W136-'GVFund Exp'!AH136-'GVFund Exp'!AL136+AJ136+AN136+AP136-'GV Fund BS'!W136</f>
        <v>0</v>
      </c>
      <c r="AS136" s="11"/>
    </row>
    <row r="137" spans="1:46" s="7" customFormat="1" ht="12.75" customHeight="1" x14ac:dyDescent="0.2">
      <c r="A137" s="6" t="s">
        <v>148</v>
      </c>
      <c r="C137" s="6" t="s">
        <v>25</v>
      </c>
      <c r="E137" s="8">
        <v>4051246</v>
      </c>
      <c r="F137" s="11"/>
      <c r="G137" s="8">
        <v>7724032</v>
      </c>
      <c r="H137" s="11"/>
      <c r="I137" s="8">
        <v>643745</v>
      </c>
      <c r="J137" s="11"/>
      <c r="K137" s="8">
        <v>53764</v>
      </c>
      <c r="L137" s="11"/>
      <c r="M137" s="8">
        <v>1444594</v>
      </c>
      <c r="N137" s="11"/>
      <c r="O137" s="8">
        <v>1299877</v>
      </c>
      <c r="P137" s="11"/>
      <c r="Q137" s="8">
        <v>2774432</v>
      </c>
      <c r="R137" s="11"/>
      <c r="S137" s="8">
        <v>0</v>
      </c>
      <c r="T137" s="11"/>
      <c r="U137" s="8">
        <v>0</v>
      </c>
      <c r="V137" s="11"/>
      <c r="W137" s="11"/>
      <c r="X137" s="6"/>
      <c r="Z137" s="6"/>
      <c r="AA137" s="6"/>
      <c r="AB137" s="8">
        <v>940000</v>
      </c>
      <c r="AC137" s="20"/>
      <c r="AD137" s="8">
        <v>68796</v>
      </c>
      <c r="AE137" s="20"/>
      <c r="AF137" s="8">
        <v>0</v>
      </c>
      <c r="AG137" s="20"/>
      <c r="AH137" s="11">
        <f t="shared" si="8"/>
        <v>19000486</v>
      </c>
      <c r="AI137" s="11"/>
      <c r="AJ137" s="11">
        <v>0</v>
      </c>
      <c r="AK137" s="11"/>
      <c r="AL137" s="8">
        <v>1554859</v>
      </c>
      <c r="AM137" s="8"/>
      <c r="AN137" s="8">
        <v>16729983</v>
      </c>
      <c r="AO137" s="8"/>
      <c r="AP137" s="8">
        <v>-6752</v>
      </c>
      <c r="AQ137" s="8"/>
      <c r="AR137" s="8">
        <f>+'GVFund Rev'!U137+'GVFund Rev'!W137-'GVFund Exp'!AH137-'GVFund Exp'!AL137+AJ137+AN137+AP137-'GV Fund BS'!W137</f>
        <v>0</v>
      </c>
      <c r="AS137" s="11"/>
    </row>
    <row r="138" spans="1:46" s="7" customFormat="1" ht="12.75" customHeight="1" x14ac:dyDescent="0.2">
      <c r="A138" s="6" t="s">
        <v>149</v>
      </c>
      <c r="C138" s="6" t="s">
        <v>11</v>
      </c>
      <c r="E138" s="8">
        <v>2024145</v>
      </c>
      <c r="F138" s="11"/>
      <c r="G138" s="8">
        <v>5194107</v>
      </c>
      <c r="H138" s="11"/>
      <c r="I138" s="8">
        <v>512131</v>
      </c>
      <c r="J138" s="11"/>
      <c r="K138" s="8">
        <v>203547</v>
      </c>
      <c r="L138" s="11"/>
      <c r="M138" s="8">
        <v>1658787</v>
      </c>
      <c r="N138" s="11"/>
      <c r="O138" s="8">
        <v>1540106</v>
      </c>
      <c r="P138" s="11"/>
      <c r="Q138" s="8">
        <v>312452</v>
      </c>
      <c r="R138" s="11"/>
      <c r="S138" s="8">
        <v>8366326</v>
      </c>
      <c r="T138" s="11"/>
      <c r="U138" s="8">
        <v>0</v>
      </c>
      <c r="V138" s="11"/>
      <c r="W138" s="11"/>
      <c r="X138" s="6"/>
      <c r="Z138" s="6"/>
      <c r="AA138" s="6"/>
      <c r="AB138" s="8">
        <v>1297607</v>
      </c>
      <c r="AC138" s="20"/>
      <c r="AD138" s="8">
        <v>372633</v>
      </c>
      <c r="AE138" s="20"/>
      <c r="AF138" s="8">
        <v>0</v>
      </c>
      <c r="AG138" s="20"/>
      <c r="AH138" s="11">
        <f t="shared" si="8"/>
        <v>21481841</v>
      </c>
      <c r="AI138" s="11"/>
      <c r="AJ138" s="11">
        <v>0</v>
      </c>
      <c r="AK138" s="11"/>
      <c r="AL138" s="8">
        <v>2753770</v>
      </c>
      <c r="AM138" s="8"/>
      <c r="AN138" s="8">
        <v>6768886</v>
      </c>
      <c r="AO138" s="8"/>
      <c r="AP138" s="8">
        <v>0</v>
      </c>
      <c r="AQ138" s="8"/>
      <c r="AR138" s="8">
        <f>+'GVFund Rev'!U138+'GVFund Rev'!W138-'GVFund Exp'!AH138-'GVFund Exp'!AL138+AJ138+AN138+AP138-'GV Fund BS'!W138</f>
        <v>0</v>
      </c>
      <c r="AS138" s="11"/>
    </row>
    <row r="139" spans="1:46" s="7" customFormat="1" ht="12.75" customHeight="1" x14ac:dyDescent="0.2">
      <c r="A139" s="6" t="s">
        <v>475</v>
      </c>
      <c r="C139" s="6" t="s">
        <v>43</v>
      </c>
      <c r="E139" s="8">
        <v>917413</v>
      </c>
      <c r="F139" s="11"/>
      <c r="G139" s="8">
        <v>3196270</v>
      </c>
      <c r="H139" s="11"/>
      <c r="I139" s="8">
        <v>110175</v>
      </c>
      <c r="J139" s="11"/>
      <c r="K139" s="8">
        <v>0</v>
      </c>
      <c r="L139" s="11"/>
      <c r="M139" s="8">
        <v>678752</v>
      </c>
      <c r="N139" s="11"/>
      <c r="O139" s="8">
        <v>134013</v>
      </c>
      <c r="P139" s="11"/>
      <c r="Q139" s="8">
        <v>445654</v>
      </c>
      <c r="R139" s="11"/>
      <c r="S139" s="8">
        <v>493453</v>
      </c>
      <c r="T139" s="11"/>
      <c r="U139" s="8">
        <v>0</v>
      </c>
      <c r="V139" s="11"/>
      <c r="W139" s="11"/>
      <c r="X139" s="6"/>
      <c r="Z139" s="6"/>
      <c r="AA139" s="6"/>
      <c r="AB139" s="8">
        <v>0</v>
      </c>
      <c r="AC139" s="20"/>
      <c r="AD139" s="8">
        <v>15833</v>
      </c>
      <c r="AE139" s="20"/>
      <c r="AF139" s="8">
        <v>0</v>
      </c>
      <c r="AG139" s="20"/>
      <c r="AH139" s="11">
        <f t="shared" si="8"/>
        <v>5991563</v>
      </c>
      <c r="AI139" s="11"/>
      <c r="AJ139" s="11">
        <v>0</v>
      </c>
      <c r="AK139" s="11"/>
      <c r="AL139" s="8">
        <v>209500</v>
      </c>
      <c r="AM139" s="8"/>
      <c r="AN139" s="8">
        <v>1542804</v>
      </c>
      <c r="AO139" s="8"/>
      <c r="AP139" s="8">
        <v>0</v>
      </c>
      <c r="AQ139" s="8"/>
      <c r="AR139" s="8">
        <f>+'GVFund Rev'!U139+'GVFund Rev'!W139-'GVFund Exp'!AH139-'GVFund Exp'!AL139+AJ139+AN139+AP139-'GV Fund BS'!W139</f>
        <v>0</v>
      </c>
    </row>
    <row r="140" spans="1:46" s="7" customFormat="1" ht="12.75" customHeight="1" x14ac:dyDescent="0.2">
      <c r="A140" s="6" t="s">
        <v>150</v>
      </c>
      <c r="C140" s="6" t="s">
        <v>151</v>
      </c>
      <c r="E140" s="8">
        <v>16067364</v>
      </c>
      <c r="F140" s="11"/>
      <c r="G140" s="8">
        <v>20896811</v>
      </c>
      <c r="H140" s="11"/>
      <c r="I140" s="8">
        <v>2239762</v>
      </c>
      <c r="J140" s="11"/>
      <c r="K140" s="8">
        <v>2850</v>
      </c>
      <c r="L140" s="11"/>
      <c r="M140" s="8">
        <v>2668509</v>
      </c>
      <c r="N140" s="11"/>
      <c r="O140" s="8">
        <v>188096</v>
      </c>
      <c r="P140" s="11"/>
      <c r="Q140" s="8">
        <v>0</v>
      </c>
      <c r="R140" s="11"/>
      <c r="S140" s="8">
        <v>3105163</v>
      </c>
      <c r="T140" s="11"/>
      <c r="U140" s="8">
        <v>0</v>
      </c>
      <c r="V140" s="11"/>
      <c r="W140" s="11"/>
      <c r="X140" s="6"/>
      <c r="Z140" s="6"/>
      <c r="AA140" s="6"/>
      <c r="AB140" s="8">
        <v>481404</v>
      </c>
      <c r="AC140" s="20"/>
      <c r="AD140" s="8">
        <v>255791</v>
      </c>
      <c r="AE140" s="20"/>
      <c r="AF140" s="8">
        <v>0</v>
      </c>
      <c r="AG140" s="20"/>
      <c r="AH140" s="11">
        <f t="shared" si="8"/>
        <v>45905750</v>
      </c>
      <c r="AI140" s="11"/>
      <c r="AJ140" s="11">
        <v>0</v>
      </c>
      <c r="AK140" s="11"/>
      <c r="AL140" s="8">
        <v>12497498</v>
      </c>
      <c r="AM140" s="8"/>
      <c r="AN140" s="8">
        <v>12855859</v>
      </c>
      <c r="AO140" s="8"/>
      <c r="AP140" s="8">
        <v>23555</v>
      </c>
      <c r="AQ140" s="8"/>
      <c r="AR140" s="8">
        <f>+'GVFund Rev'!U140+'GVFund Rev'!W140-'GVFund Exp'!AH140-'GVFund Exp'!AL140+AJ140+AN140+AP140-'GV Fund BS'!W140</f>
        <v>0</v>
      </c>
      <c r="AS140" s="11"/>
    </row>
    <row r="141" spans="1:46" s="7" customFormat="1" ht="12.75" customHeight="1" x14ac:dyDescent="0.2">
      <c r="A141" s="6" t="s">
        <v>152</v>
      </c>
      <c r="C141" s="6" t="s">
        <v>25</v>
      </c>
      <c r="E141" s="8">
        <v>5170530</v>
      </c>
      <c r="F141" s="11"/>
      <c r="G141" s="8">
        <v>9200047</v>
      </c>
      <c r="H141" s="11"/>
      <c r="I141" s="8">
        <v>691091</v>
      </c>
      <c r="J141" s="11"/>
      <c r="K141" s="8">
        <v>88850</v>
      </c>
      <c r="L141" s="11"/>
      <c r="M141" s="8">
        <v>1025869</v>
      </c>
      <c r="N141" s="11"/>
      <c r="O141" s="8">
        <v>812349</v>
      </c>
      <c r="P141" s="11"/>
      <c r="Q141" s="8">
        <v>511979</v>
      </c>
      <c r="R141" s="11"/>
      <c r="S141" s="8">
        <v>1707730</v>
      </c>
      <c r="T141" s="11"/>
      <c r="U141" s="8">
        <v>0</v>
      </c>
      <c r="V141" s="11"/>
      <c r="W141" s="11"/>
      <c r="X141" s="6"/>
      <c r="Z141" s="6"/>
      <c r="AA141" s="6"/>
      <c r="AB141" s="8">
        <v>815650</v>
      </c>
      <c r="AC141" s="20"/>
      <c r="AD141" s="8">
        <v>607038</v>
      </c>
      <c r="AE141" s="20"/>
      <c r="AF141" s="8">
        <v>0</v>
      </c>
      <c r="AG141" s="20"/>
      <c r="AH141" s="11">
        <f t="shared" si="8"/>
        <v>20631133</v>
      </c>
      <c r="AI141" s="11"/>
      <c r="AJ141" s="11">
        <v>0</v>
      </c>
      <c r="AK141" s="11"/>
      <c r="AL141" s="8">
        <v>2869624</v>
      </c>
      <c r="AM141" s="8"/>
      <c r="AN141" s="8">
        <v>137726</v>
      </c>
      <c r="AO141" s="8"/>
      <c r="AP141" s="8">
        <v>0</v>
      </c>
      <c r="AQ141" s="8"/>
      <c r="AR141" s="8">
        <f>+'GVFund Rev'!U141+'GVFund Rev'!W141-'GVFund Exp'!AH141-'GVFund Exp'!AL141+AJ141+AN141+AP141-'GV Fund BS'!W141</f>
        <v>0</v>
      </c>
      <c r="AS141" s="11"/>
    </row>
    <row r="142" spans="1:46" s="7" customFormat="1" ht="12.75" customHeight="1" x14ac:dyDescent="0.2">
      <c r="A142" s="6" t="s">
        <v>153</v>
      </c>
      <c r="C142" s="6" t="s">
        <v>38</v>
      </c>
      <c r="E142" s="8">
        <f>4080051+991491</f>
        <v>5071542</v>
      </c>
      <c r="F142" s="11"/>
      <c r="G142" s="8">
        <f>3208004+3333370</f>
        <v>6541374</v>
      </c>
      <c r="H142" s="11"/>
      <c r="I142" s="8">
        <v>527361</v>
      </c>
      <c r="J142" s="11"/>
      <c r="K142" s="8">
        <v>846947</v>
      </c>
      <c r="L142" s="11"/>
      <c r="M142" s="8">
        <v>2318993</v>
      </c>
      <c r="N142" s="11"/>
      <c r="O142" s="8">
        <v>775469</v>
      </c>
      <c r="P142" s="11"/>
      <c r="Q142" s="8">
        <v>0</v>
      </c>
      <c r="R142" s="11"/>
      <c r="S142" s="8">
        <v>3280211</v>
      </c>
      <c r="T142" s="11"/>
      <c r="U142" s="8">
        <v>1935768</v>
      </c>
      <c r="V142" s="11"/>
      <c r="W142" s="11"/>
      <c r="X142" s="6"/>
      <c r="Z142" s="6"/>
      <c r="AA142" s="6"/>
      <c r="AB142" s="8">
        <v>84379</v>
      </c>
      <c r="AC142" s="20"/>
      <c r="AD142" s="8">
        <v>83777</v>
      </c>
      <c r="AE142" s="20"/>
      <c r="AF142" s="8">
        <f>415117+9285</f>
        <v>424402</v>
      </c>
      <c r="AG142" s="20"/>
      <c r="AH142" s="11">
        <f t="shared" si="8"/>
        <v>21890223</v>
      </c>
      <c r="AI142" s="11"/>
      <c r="AJ142" s="11">
        <v>0</v>
      </c>
      <c r="AK142" s="11"/>
      <c r="AL142" s="8">
        <f>3033000+143155</f>
        <v>3176155</v>
      </c>
      <c r="AM142" s="8"/>
      <c r="AN142" s="8">
        <v>7697002</v>
      </c>
      <c r="AO142" s="8"/>
      <c r="AP142" s="8">
        <v>0</v>
      </c>
      <c r="AQ142" s="8"/>
      <c r="AR142" s="8">
        <f>+'GVFund Rev'!U142+'GVFund Rev'!W142-'GVFund Exp'!AH142-'GVFund Exp'!AL142+AJ142+AN142+AP142-'GV Fund BS'!W142</f>
        <v>0</v>
      </c>
      <c r="AS142" s="11"/>
    </row>
    <row r="143" spans="1:46" s="7" customFormat="1" ht="12.75" customHeight="1" x14ac:dyDescent="0.2">
      <c r="A143" s="6" t="s">
        <v>154</v>
      </c>
      <c r="C143" s="6" t="s">
        <v>154</v>
      </c>
      <c r="E143" s="8">
        <f>1014527+4577172</f>
        <v>5591699</v>
      </c>
      <c r="F143" s="11"/>
      <c r="G143" s="8">
        <f>5492807+4812830+297776</f>
        <v>10603413</v>
      </c>
      <c r="H143" s="11"/>
      <c r="I143" s="8">
        <v>1401447</v>
      </c>
      <c r="J143" s="11"/>
      <c r="K143" s="8">
        <v>447638</v>
      </c>
      <c r="L143" s="11"/>
      <c r="M143" s="8">
        <f>1578161+2793121</f>
        <v>4371282</v>
      </c>
      <c r="N143" s="11"/>
      <c r="O143" s="8">
        <v>932545</v>
      </c>
      <c r="P143" s="11"/>
      <c r="Q143" s="8">
        <v>0</v>
      </c>
      <c r="R143" s="11"/>
      <c r="S143" s="8">
        <v>0</v>
      </c>
      <c r="T143" s="11"/>
      <c r="U143" s="8">
        <v>0</v>
      </c>
      <c r="V143" s="11"/>
      <c r="W143" s="11"/>
      <c r="X143" s="6"/>
      <c r="Z143" s="6"/>
      <c r="AA143" s="6"/>
      <c r="AB143" s="8">
        <v>397628</v>
      </c>
      <c r="AC143" s="20"/>
      <c r="AD143" s="8">
        <v>175472</v>
      </c>
      <c r="AE143" s="20"/>
      <c r="AF143" s="8">
        <v>0</v>
      </c>
      <c r="AG143" s="20"/>
      <c r="AH143" s="11">
        <f t="shared" si="8"/>
        <v>23921124</v>
      </c>
      <c r="AI143" s="11"/>
      <c r="AJ143" s="11">
        <v>0</v>
      </c>
      <c r="AK143" s="11"/>
      <c r="AL143" s="8">
        <v>3882289</v>
      </c>
      <c r="AM143" s="8"/>
      <c r="AN143" s="8">
        <v>5341660</v>
      </c>
      <c r="AO143" s="8"/>
      <c r="AP143" s="8">
        <v>0</v>
      </c>
      <c r="AQ143" s="8"/>
      <c r="AR143" s="8">
        <f>+'GVFund Rev'!U143+'GVFund Rev'!W143-'GVFund Exp'!AH143-'GVFund Exp'!AL143+AJ143+AN143+AP143-'GV Fund BS'!W143</f>
        <v>0</v>
      </c>
      <c r="AS143" s="11"/>
    </row>
    <row r="144" spans="1:46" s="7" customFormat="1" ht="12.75" customHeight="1" x14ac:dyDescent="0.2">
      <c r="A144" s="6" t="s">
        <v>155</v>
      </c>
      <c r="C144" s="6" t="s">
        <v>31</v>
      </c>
      <c r="E144" s="8">
        <v>640055</v>
      </c>
      <c r="F144" s="11"/>
      <c r="G144" s="8">
        <v>3182752</v>
      </c>
      <c r="H144" s="11"/>
      <c r="I144" s="8">
        <v>266158</v>
      </c>
      <c r="J144" s="11"/>
      <c r="K144" s="8">
        <v>68299</v>
      </c>
      <c r="L144" s="11"/>
      <c r="M144" s="8">
        <v>574283</v>
      </c>
      <c r="N144" s="11"/>
      <c r="O144" s="8">
        <v>47209</v>
      </c>
      <c r="P144" s="11"/>
      <c r="Q144" s="8">
        <v>0</v>
      </c>
      <c r="R144" s="11"/>
      <c r="S144" s="8">
        <v>441262</v>
      </c>
      <c r="T144" s="11"/>
      <c r="U144" s="8">
        <v>0</v>
      </c>
      <c r="V144" s="11"/>
      <c r="W144" s="11"/>
      <c r="X144" s="6"/>
      <c r="Z144" s="6"/>
      <c r="AA144" s="6"/>
      <c r="AB144" s="8">
        <v>72932</v>
      </c>
      <c r="AC144" s="20"/>
      <c r="AD144" s="8">
        <v>12829</v>
      </c>
      <c r="AE144" s="20"/>
      <c r="AF144" s="8">
        <v>17341</v>
      </c>
      <c r="AG144" s="20"/>
      <c r="AH144" s="11">
        <f t="shared" si="8"/>
        <v>5323120</v>
      </c>
      <c r="AI144" s="11"/>
      <c r="AJ144" s="11">
        <v>0</v>
      </c>
      <c r="AK144" s="11"/>
      <c r="AL144" s="8">
        <v>167628</v>
      </c>
      <c r="AM144" s="8"/>
      <c r="AN144" s="8">
        <v>2357485</v>
      </c>
      <c r="AO144" s="8"/>
      <c r="AP144" s="8">
        <v>0</v>
      </c>
      <c r="AQ144" s="8"/>
      <c r="AR144" s="8">
        <f>+'GVFund Rev'!U144+'GVFund Rev'!W144-'GVFund Exp'!AH144-'GVFund Exp'!AL144+AJ144+AN144+AP144-'GV Fund BS'!W144</f>
        <v>0</v>
      </c>
      <c r="AS144" s="11"/>
    </row>
    <row r="145" spans="1:45" s="7" customFormat="1" ht="12.75" customHeight="1" x14ac:dyDescent="0.2">
      <c r="A145" s="6" t="s">
        <v>156</v>
      </c>
      <c r="C145" s="6" t="s">
        <v>157</v>
      </c>
      <c r="E145" s="8">
        <v>2939961</v>
      </c>
      <c r="F145" s="11"/>
      <c r="G145" s="8">
        <f>3990734+4098715+1755826</f>
        <v>9845275</v>
      </c>
      <c r="H145" s="11"/>
      <c r="I145" s="8">
        <v>1494944</v>
      </c>
      <c r="J145" s="11"/>
      <c r="K145" s="8">
        <v>343835</v>
      </c>
      <c r="L145" s="11"/>
      <c r="M145" s="8">
        <v>1904039</v>
      </c>
      <c r="N145" s="11"/>
      <c r="O145" s="8">
        <v>246112</v>
      </c>
      <c r="P145" s="11"/>
      <c r="Q145" s="8">
        <v>0</v>
      </c>
      <c r="R145" s="11"/>
      <c r="S145" s="8">
        <v>13848613</v>
      </c>
      <c r="T145" s="11"/>
      <c r="U145" s="8">
        <v>0</v>
      </c>
      <c r="V145" s="11"/>
      <c r="W145" s="11"/>
      <c r="X145" s="6"/>
      <c r="Z145" s="6"/>
      <c r="AA145" s="6"/>
      <c r="AB145" s="8">
        <v>1030000</v>
      </c>
      <c r="AC145" s="20"/>
      <c r="AD145" s="8">
        <v>1058167</v>
      </c>
      <c r="AE145" s="20"/>
      <c r="AF145" s="8">
        <v>0</v>
      </c>
      <c r="AG145" s="20"/>
      <c r="AH145" s="11">
        <f t="shared" si="8"/>
        <v>32710946</v>
      </c>
      <c r="AI145" s="11"/>
      <c r="AJ145" s="11">
        <v>0</v>
      </c>
      <c r="AK145" s="11"/>
      <c r="AL145" s="8">
        <v>7817696</v>
      </c>
      <c r="AM145" s="8"/>
      <c r="AN145" s="8">
        <v>14369915</v>
      </c>
      <c r="AO145" s="8"/>
      <c r="AP145" s="8">
        <v>0</v>
      </c>
      <c r="AQ145" s="8"/>
      <c r="AR145" s="8">
        <f>+'GVFund Rev'!U145+'GVFund Rev'!W145-'GVFund Exp'!AH145-'GVFund Exp'!AL145+AJ145+AN145+AP145-'GV Fund BS'!W145</f>
        <v>0</v>
      </c>
      <c r="AS145" s="11"/>
    </row>
    <row r="146" spans="1:45" s="9" customFormat="1" ht="12.75" customHeight="1" x14ac:dyDescent="0.2">
      <c r="A146" s="19" t="s">
        <v>158</v>
      </c>
      <c r="C146" s="19" t="s">
        <v>109</v>
      </c>
      <c r="E146" s="11">
        <v>8245266</v>
      </c>
      <c r="F146" s="11"/>
      <c r="G146" s="11">
        <v>11717593</v>
      </c>
      <c r="H146" s="11"/>
      <c r="I146" s="11">
        <v>2423239</v>
      </c>
      <c r="J146" s="11"/>
      <c r="K146" s="11">
        <v>0</v>
      </c>
      <c r="L146" s="11"/>
      <c r="M146" s="11">
        <v>3084414</v>
      </c>
      <c r="N146" s="11"/>
      <c r="O146" s="11">
        <v>1722418</v>
      </c>
      <c r="P146" s="11"/>
      <c r="Q146" s="11">
        <v>277539</v>
      </c>
      <c r="R146" s="11"/>
      <c r="S146" s="11">
        <v>9189762</v>
      </c>
      <c r="T146" s="11"/>
      <c r="U146" s="11">
        <v>0</v>
      </c>
      <c r="V146" s="11"/>
      <c r="W146" s="11"/>
      <c r="X146" s="6"/>
      <c r="Y146" s="7"/>
      <c r="Z146" s="6"/>
      <c r="AA146" s="6"/>
      <c r="AB146" s="11">
        <v>3080000</v>
      </c>
      <c r="AC146" s="20"/>
      <c r="AD146" s="11">
        <v>1791037</v>
      </c>
      <c r="AE146" s="20"/>
      <c r="AF146" s="7">
        <v>0</v>
      </c>
      <c r="AG146" s="20"/>
      <c r="AH146" s="11">
        <f t="shared" ref="AH146" si="9">SUM(E146:AF146)</f>
        <v>41531268</v>
      </c>
      <c r="AI146" s="11"/>
      <c r="AJ146" s="11">
        <v>0</v>
      </c>
      <c r="AK146" s="11"/>
      <c r="AL146" s="8">
        <v>2824865</v>
      </c>
      <c r="AM146" s="8"/>
      <c r="AN146" s="8">
        <v>41856687</v>
      </c>
      <c r="AO146" s="8"/>
      <c r="AP146" s="8">
        <v>-47681</v>
      </c>
      <c r="AQ146" s="8"/>
      <c r="AR146" s="8">
        <f>+'GVFund Rev'!U146+'GVFund Rev'!W146-'GVFund Exp'!AH146-'GVFund Exp'!AL146+AJ146+AN146+AP146-'GV Fund BS'!W146</f>
        <v>0</v>
      </c>
      <c r="AS146" s="22"/>
    </row>
    <row r="147" spans="1:45" s="7" customFormat="1" ht="12.75" customHeight="1" x14ac:dyDescent="0.2">
      <c r="A147" s="6" t="s">
        <v>159</v>
      </c>
      <c r="C147" s="6" t="s">
        <v>13</v>
      </c>
      <c r="E147" s="8">
        <v>6607229</v>
      </c>
      <c r="F147" s="11"/>
      <c r="G147" s="8">
        <v>9683392</v>
      </c>
      <c r="H147" s="11"/>
      <c r="I147" s="8">
        <f>835528+30872</f>
        <v>866400</v>
      </c>
      <c r="J147" s="11"/>
      <c r="K147" s="8">
        <v>596031</v>
      </c>
      <c r="L147" s="11"/>
      <c r="M147" s="8">
        <v>2404970</v>
      </c>
      <c r="N147" s="11"/>
      <c r="O147" s="8">
        <v>3140758</v>
      </c>
      <c r="P147" s="11"/>
      <c r="Q147" s="8">
        <v>4060</v>
      </c>
      <c r="R147" s="11"/>
      <c r="S147" s="8">
        <v>1187714</v>
      </c>
      <c r="T147" s="11"/>
      <c r="U147" s="8">
        <v>0</v>
      </c>
      <c r="V147" s="11"/>
      <c r="W147" s="11"/>
      <c r="X147" s="6"/>
      <c r="Z147" s="6"/>
      <c r="AA147" s="6"/>
      <c r="AB147" s="8">
        <v>1560987</v>
      </c>
      <c r="AC147" s="20"/>
      <c r="AD147" s="8">
        <v>743117</v>
      </c>
      <c r="AE147" s="20"/>
      <c r="AF147" s="8">
        <v>188195</v>
      </c>
      <c r="AG147" s="20"/>
      <c r="AH147" s="11">
        <f t="shared" ref="AH147:AH167" si="10">SUM(E147:AF147)</f>
        <v>26982853</v>
      </c>
      <c r="AI147" s="11"/>
      <c r="AJ147" s="11">
        <v>0</v>
      </c>
      <c r="AK147" s="11"/>
      <c r="AL147" s="8">
        <f>8244540+72265+1649337</f>
        <v>9966142</v>
      </c>
      <c r="AM147" s="8"/>
      <c r="AN147" s="8">
        <v>4899658</v>
      </c>
      <c r="AO147" s="8"/>
      <c r="AP147" s="8">
        <v>0</v>
      </c>
      <c r="AQ147" s="8"/>
      <c r="AR147" s="8">
        <f>+'GVFund Rev'!U147+'GVFund Rev'!W147-'GVFund Exp'!AH147-'GVFund Exp'!AL147+AJ147+AN147+AP147-'GV Fund BS'!W147</f>
        <v>0</v>
      </c>
      <c r="AS147" s="11"/>
    </row>
    <row r="148" spans="1:45" s="9" customFormat="1" ht="12.75" customHeight="1" x14ac:dyDescent="0.2">
      <c r="A148" s="19" t="s">
        <v>160</v>
      </c>
      <c r="C148" s="19" t="s">
        <v>161</v>
      </c>
      <c r="E148" s="8">
        <v>5217972</v>
      </c>
      <c r="F148" s="11"/>
      <c r="G148" s="8">
        <v>9846036</v>
      </c>
      <c r="H148" s="11"/>
      <c r="I148" s="8">
        <v>1784568</v>
      </c>
      <c r="J148" s="11"/>
      <c r="K148" s="8">
        <v>171781</v>
      </c>
      <c r="L148" s="11"/>
      <c r="M148" s="8">
        <v>2968471</v>
      </c>
      <c r="N148" s="11"/>
      <c r="O148" s="8">
        <v>1788381</v>
      </c>
      <c r="P148" s="11"/>
      <c r="Q148" s="8">
        <v>1112702</v>
      </c>
      <c r="R148" s="11"/>
      <c r="S148" s="8">
        <v>1814700</v>
      </c>
      <c r="T148" s="11"/>
      <c r="U148" s="8">
        <v>0</v>
      </c>
      <c r="V148" s="11"/>
      <c r="W148" s="11"/>
      <c r="X148" s="6"/>
      <c r="Y148" s="7"/>
      <c r="Z148" s="6"/>
      <c r="AA148" s="6"/>
      <c r="AB148" s="8">
        <v>5102578</v>
      </c>
      <c r="AC148" s="20"/>
      <c r="AD148" s="8">
        <v>969618</v>
      </c>
      <c r="AE148" s="20"/>
      <c r="AF148" s="8">
        <v>0</v>
      </c>
      <c r="AG148" s="20"/>
      <c r="AH148" s="11">
        <f t="shared" si="10"/>
        <v>30776807</v>
      </c>
      <c r="AI148" s="11"/>
      <c r="AJ148" s="11">
        <v>0</v>
      </c>
      <c r="AK148" s="11"/>
      <c r="AL148" s="8">
        <v>7941398</v>
      </c>
      <c r="AM148" s="40"/>
      <c r="AN148" s="40">
        <v>34517437</v>
      </c>
      <c r="AO148" s="40"/>
      <c r="AP148" s="40">
        <v>4746</v>
      </c>
      <c r="AQ148" s="40"/>
      <c r="AR148" s="40">
        <f>+'GVFund Rev'!U148+'GVFund Rev'!W148-'GVFund Exp'!AH148-'GVFund Exp'!AL148+AJ148+AN148+AP148-'GV Fund BS'!W148</f>
        <v>0</v>
      </c>
      <c r="AS148" s="22"/>
    </row>
    <row r="149" spans="1:45" s="7" customFormat="1" ht="12.75" customHeight="1" x14ac:dyDescent="0.2">
      <c r="A149" s="6" t="s">
        <v>162</v>
      </c>
      <c r="C149" s="6" t="s">
        <v>25</v>
      </c>
      <c r="E149" s="8">
        <v>3001424</v>
      </c>
      <c r="F149" s="11"/>
      <c r="G149" s="8">
        <v>11447446</v>
      </c>
      <c r="H149" s="11"/>
      <c r="I149" s="8">
        <v>893241</v>
      </c>
      <c r="J149" s="11"/>
      <c r="K149" s="8">
        <v>336586</v>
      </c>
      <c r="L149" s="11"/>
      <c r="M149" s="8">
        <v>3520018</v>
      </c>
      <c r="N149" s="11"/>
      <c r="O149" s="8">
        <v>1707899</v>
      </c>
      <c r="P149" s="11"/>
      <c r="Q149" s="8">
        <v>717255</v>
      </c>
      <c r="R149" s="11"/>
      <c r="S149" s="8">
        <v>0</v>
      </c>
      <c r="T149" s="11"/>
      <c r="U149" s="8">
        <v>0</v>
      </c>
      <c r="V149" s="11"/>
      <c r="W149" s="11"/>
      <c r="X149" s="6"/>
      <c r="Z149" s="6"/>
      <c r="AA149" s="6"/>
      <c r="AB149" s="8">
        <v>978602</v>
      </c>
      <c r="AC149" s="20"/>
      <c r="AD149" s="8">
        <v>31413</v>
      </c>
      <c r="AE149" s="20"/>
      <c r="AF149" s="8">
        <v>0</v>
      </c>
      <c r="AG149" s="20"/>
      <c r="AH149" s="11">
        <f t="shared" si="10"/>
        <v>22633884</v>
      </c>
      <c r="AI149" s="11"/>
      <c r="AJ149" s="11">
        <v>0</v>
      </c>
      <c r="AK149" s="11"/>
      <c r="AL149" s="8">
        <f>1875000+1096500</f>
        <v>2971500</v>
      </c>
      <c r="AM149" s="8"/>
      <c r="AN149" s="8">
        <v>18072157</v>
      </c>
      <c r="AO149" s="8"/>
      <c r="AP149" s="8">
        <v>-26733</v>
      </c>
      <c r="AQ149" s="8"/>
      <c r="AR149" s="8">
        <f>+'GVFund Rev'!U149+'GVFund Rev'!W149-'GVFund Exp'!AH149-'GVFund Exp'!AL149+AJ149+AN149+AP149-'GV Fund BS'!W149</f>
        <v>0</v>
      </c>
      <c r="AS149" s="11"/>
    </row>
    <row r="150" spans="1:45" s="7" customFormat="1" ht="12.75" customHeight="1" x14ac:dyDescent="0.2">
      <c r="A150" s="6" t="s">
        <v>51</v>
      </c>
      <c r="C150" s="6" t="s">
        <v>51</v>
      </c>
      <c r="E150" s="8">
        <v>7064353</v>
      </c>
      <c r="F150" s="11"/>
      <c r="G150" s="8">
        <v>7133728</v>
      </c>
      <c r="H150" s="11"/>
      <c r="I150" s="8">
        <v>827037</v>
      </c>
      <c r="J150" s="11"/>
      <c r="K150" s="8">
        <v>196462</v>
      </c>
      <c r="L150" s="11"/>
      <c r="M150" s="8">
        <v>8466847</v>
      </c>
      <c r="N150" s="11"/>
      <c r="O150" s="8">
        <v>1332619</v>
      </c>
      <c r="P150" s="11"/>
      <c r="Q150" s="8">
        <v>75853</v>
      </c>
      <c r="R150" s="11"/>
      <c r="S150" s="8">
        <v>202669</v>
      </c>
      <c r="T150" s="11"/>
      <c r="U150" s="8">
        <v>0</v>
      </c>
      <c r="V150" s="11"/>
      <c r="W150" s="11"/>
      <c r="X150" s="6"/>
      <c r="Z150" s="6"/>
      <c r="AA150" s="6"/>
      <c r="AB150" s="8">
        <v>749240</v>
      </c>
      <c r="AC150" s="20"/>
      <c r="AD150" s="8">
        <v>729685</v>
      </c>
      <c r="AE150" s="20"/>
      <c r="AF150" s="8">
        <v>14682</v>
      </c>
      <c r="AG150" s="20"/>
      <c r="AH150" s="11">
        <f t="shared" si="10"/>
        <v>26793175</v>
      </c>
      <c r="AI150" s="11"/>
      <c r="AJ150" s="11">
        <v>0</v>
      </c>
      <c r="AK150" s="11"/>
      <c r="AL150" s="8">
        <v>22114</v>
      </c>
      <c r="AM150" s="8"/>
      <c r="AN150" s="8">
        <v>48979289</v>
      </c>
      <c r="AO150" s="8"/>
      <c r="AP150" s="8">
        <v>0</v>
      </c>
      <c r="AQ150" s="8"/>
      <c r="AR150" s="8">
        <f>+'GVFund Rev'!U150+'GVFund Rev'!W150-'GVFund Exp'!AH150-'GVFund Exp'!AL150+AJ150+AN150+AP150-'GV Fund BS'!W150</f>
        <v>0</v>
      </c>
      <c r="AS150" s="11"/>
    </row>
    <row r="151" spans="1:45" s="7" customFormat="1" ht="12.75" customHeight="1" x14ac:dyDescent="0.2">
      <c r="A151" s="6" t="s">
        <v>163</v>
      </c>
      <c r="C151" s="6" t="s">
        <v>90</v>
      </c>
      <c r="E151" s="8">
        <v>6850550</v>
      </c>
      <c r="F151" s="11"/>
      <c r="G151" s="8">
        <f>12477041+11778452</f>
        <v>24255493</v>
      </c>
      <c r="H151" s="11"/>
      <c r="I151" s="8">
        <f>2652103+1728800</f>
        <v>4380903</v>
      </c>
      <c r="J151" s="11"/>
      <c r="K151" s="8">
        <v>0</v>
      </c>
      <c r="L151" s="11"/>
      <c r="M151" s="8">
        <v>11864164</v>
      </c>
      <c r="N151" s="11"/>
      <c r="O151" s="8">
        <v>7239371</v>
      </c>
      <c r="P151" s="11"/>
      <c r="Q151" s="8">
        <v>0</v>
      </c>
      <c r="R151" s="11"/>
      <c r="S151" s="8">
        <v>2383744</v>
      </c>
      <c r="T151" s="11"/>
      <c r="U151" s="8">
        <v>0</v>
      </c>
      <c r="V151" s="11"/>
      <c r="W151" s="11"/>
      <c r="X151" s="6"/>
      <c r="Z151" s="6"/>
      <c r="AA151" s="6"/>
      <c r="AB151" s="8">
        <v>2630509</v>
      </c>
      <c r="AC151" s="20"/>
      <c r="AD151" s="8">
        <v>1365090</v>
      </c>
      <c r="AE151" s="20"/>
      <c r="AF151" s="8">
        <v>0</v>
      </c>
      <c r="AG151" s="20"/>
      <c r="AH151" s="11">
        <f t="shared" si="10"/>
        <v>60969824</v>
      </c>
      <c r="AI151" s="11"/>
      <c r="AJ151" s="11">
        <v>0</v>
      </c>
      <c r="AK151" s="11"/>
      <c r="AL151" s="8">
        <v>908428</v>
      </c>
      <c r="AM151" s="8"/>
      <c r="AN151" s="8">
        <v>31984792</v>
      </c>
      <c r="AO151" s="8"/>
      <c r="AP151" s="8">
        <v>825</v>
      </c>
      <c r="AQ151" s="8"/>
      <c r="AR151" s="8">
        <f>+'GVFund Rev'!U151+'GVFund Rev'!W151-'GVFund Exp'!AH151-'GVFund Exp'!AL151+AJ151+AN151+AP151-'GV Fund BS'!W151</f>
        <v>0</v>
      </c>
      <c r="AS151" s="11"/>
    </row>
    <row r="152" spans="1:45" s="7" customFormat="1" ht="12.75" customHeight="1" x14ac:dyDescent="0.2">
      <c r="A152" s="6" t="s">
        <v>164</v>
      </c>
      <c r="C152" s="6" t="s">
        <v>90</v>
      </c>
      <c r="E152" s="8">
        <v>668828</v>
      </c>
      <c r="F152" s="11"/>
      <c r="G152" s="8">
        <v>2159077</v>
      </c>
      <c r="H152" s="11"/>
      <c r="I152" s="8">
        <v>0</v>
      </c>
      <c r="J152" s="11"/>
      <c r="K152" s="8">
        <v>57773</v>
      </c>
      <c r="L152" s="11"/>
      <c r="M152" s="8">
        <v>502637</v>
      </c>
      <c r="N152" s="11"/>
      <c r="O152" s="8">
        <v>48992</v>
      </c>
      <c r="P152" s="11"/>
      <c r="Q152" s="8">
        <v>383378</v>
      </c>
      <c r="R152" s="11"/>
      <c r="S152" s="8">
        <v>294491</v>
      </c>
      <c r="T152" s="11"/>
      <c r="U152" s="8">
        <v>0</v>
      </c>
      <c r="V152" s="11"/>
      <c r="W152" s="11"/>
      <c r="X152" s="6"/>
      <c r="Z152" s="6"/>
      <c r="AA152" s="6"/>
      <c r="AB152" s="8">
        <v>1657610</v>
      </c>
      <c r="AC152" s="20"/>
      <c r="AD152" s="8">
        <v>31515</v>
      </c>
      <c r="AE152" s="20"/>
      <c r="AF152" s="8">
        <v>334</v>
      </c>
      <c r="AG152" s="20"/>
      <c r="AH152" s="11">
        <f t="shared" si="10"/>
        <v>5804635</v>
      </c>
      <c r="AI152" s="11"/>
      <c r="AJ152" s="11">
        <v>0</v>
      </c>
      <c r="AK152" s="11"/>
      <c r="AL152" s="8">
        <v>213400</v>
      </c>
      <c r="AM152" s="8"/>
      <c r="AN152" s="8">
        <v>1684635</v>
      </c>
      <c r="AO152" s="8"/>
      <c r="AP152" s="8">
        <v>0</v>
      </c>
      <c r="AQ152" s="8"/>
      <c r="AR152" s="8">
        <f>+'GVFund Rev'!U152+'GVFund Rev'!W152-'GVFund Exp'!AH152-'GVFund Exp'!AL152+AJ152+AN152+AP152-'GV Fund BS'!W152</f>
        <v>0</v>
      </c>
      <c r="AS152" s="11"/>
    </row>
    <row r="153" spans="1:45" s="7" customFormat="1" ht="12.75" customHeight="1" x14ac:dyDescent="0.2">
      <c r="A153" s="6" t="s">
        <v>165</v>
      </c>
      <c r="C153" s="6" t="s">
        <v>64</v>
      </c>
      <c r="E153" s="8">
        <v>5002683</v>
      </c>
      <c r="F153" s="11"/>
      <c r="G153" s="8">
        <v>9261018</v>
      </c>
      <c r="H153" s="11"/>
      <c r="I153" s="8">
        <v>1027211</v>
      </c>
      <c r="J153" s="11"/>
      <c r="K153" s="8">
        <v>9052</v>
      </c>
      <c r="L153" s="11"/>
      <c r="M153" s="8">
        <v>1019658</v>
      </c>
      <c r="N153" s="11"/>
      <c r="O153" s="8">
        <v>2282885</v>
      </c>
      <c r="P153" s="11"/>
      <c r="Q153" s="8">
        <v>1229390</v>
      </c>
      <c r="R153" s="11"/>
      <c r="S153" s="8">
        <v>4790010</v>
      </c>
      <c r="T153" s="11"/>
      <c r="U153" s="8">
        <v>0</v>
      </c>
      <c r="V153" s="11"/>
      <c r="W153" s="11"/>
      <c r="X153" s="6"/>
      <c r="Z153" s="6"/>
      <c r="AA153" s="6"/>
      <c r="AB153" s="8">
        <v>675271</v>
      </c>
      <c r="AC153" s="20"/>
      <c r="AD153" s="8">
        <v>201209</v>
      </c>
      <c r="AE153" s="20"/>
      <c r="AF153" s="8">
        <v>117707</v>
      </c>
      <c r="AG153" s="20"/>
      <c r="AH153" s="11">
        <f t="shared" si="10"/>
        <v>25616094</v>
      </c>
      <c r="AI153" s="11"/>
      <c r="AJ153" s="11">
        <v>0</v>
      </c>
      <c r="AK153" s="11"/>
      <c r="AL153" s="8">
        <v>1937542</v>
      </c>
      <c r="AM153" s="8"/>
      <c r="AN153" s="8">
        <v>14064974</v>
      </c>
      <c r="AO153" s="8"/>
      <c r="AP153" s="8">
        <v>0</v>
      </c>
      <c r="AQ153" s="8"/>
      <c r="AR153" s="8">
        <f>+'GVFund Rev'!U153+'GVFund Rev'!W153-'GVFund Exp'!AH153-'GVFund Exp'!AL153+AJ153+AN153+AP153-'GV Fund BS'!W153</f>
        <v>0</v>
      </c>
      <c r="AS153" s="11"/>
    </row>
    <row r="154" spans="1:45" s="7" customFormat="1" ht="12.75" customHeight="1" x14ac:dyDescent="0.2">
      <c r="A154" s="7" t="s">
        <v>166</v>
      </c>
      <c r="C154" s="7" t="s">
        <v>25</v>
      </c>
      <c r="E154" s="8">
        <v>6692911</v>
      </c>
      <c r="F154" s="11"/>
      <c r="G154" s="8">
        <f>4791329+3687452+60051</f>
        <v>8538832</v>
      </c>
      <c r="H154" s="11"/>
      <c r="I154" s="8">
        <f>546761+323904</f>
        <v>870665</v>
      </c>
      <c r="J154" s="11"/>
      <c r="K154" s="8">
        <v>307505</v>
      </c>
      <c r="L154" s="11"/>
      <c r="M154" s="8">
        <v>1671530</v>
      </c>
      <c r="N154" s="11"/>
      <c r="O154" s="8">
        <v>2742285</v>
      </c>
      <c r="P154" s="11"/>
      <c r="Q154" s="8">
        <v>1075455</v>
      </c>
      <c r="R154" s="11"/>
      <c r="S154" s="8">
        <v>1324813</v>
      </c>
      <c r="T154" s="11"/>
      <c r="U154" s="8">
        <v>0</v>
      </c>
      <c r="V154" s="11"/>
      <c r="W154" s="11"/>
      <c r="X154" s="6"/>
      <c r="Z154" s="6"/>
      <c r="AA154" s="6"/>
      <c r="AB154" s="8">
        <v>1647732</v>
      </c>
      <c r="AC154" s="20"/>
      <c r="AD154" s="8">
        <v>335900</v>
      </c>
      <c r="AE154" s="20"/>
      <c r="AF154" s="8">
        <v>0</v>
      </c>
      <c r="AG154" s="20"/>
      <c r="AH154" s="11">
        <f t="shared" si="10"/>
        <v>25207628</v>
      </c>
      <c r="AI154" s="11"/>
      <c r="AJ154" s="11">
        <v>0</v>
      </c>
      <c r="AK154" s="11"/>
      <c r="AL154" s="8">
        <v>925000</v>
      </c>
      <c r="AM154" s="8"/>
      <c r="AN154" s="8">
        <v>8443339</v>
      </c>
      <c r="AO154" s="8"/>
      <c r="AP154" s="8">
        <v>0</v>
      </c>
      <c r="AQ154" s="8"/>
      <c r="AR154" s="8">
        <f>+'GVFund Rev'!U154+'GVFund Rev'!W154-'GVFund Exp'!AH154-'GVFund Exp'!AL154+AJ154+AN154+AP154-'GV Fund BS'!W154</f>
        <v>0</v>
      </c>
      <c r="AS154" s="11"/>
    </row>
    <row r="155" spans="1:45" s="7" customFormat="1" ht="12.75" customHeight="1" x14ac:dyDescent="0.2">
      <c r="A155" s="6" t="s">
        <v>167</v>
      </c>
      <c r="C155" s="6" t="s">
        <v>101</v>
      </c>
      <c r="E155" s="8">
        <v>3747182</v>
      </c>
      <c r="F155" s="11"/>
      <c r="G155" s="8">
        <v>24434844</v>
      </c>
      <c r="H155" s="11"/>
      <c r="I155" s="8">
        <v>14177215</v>
      </c>
      <c r="J155" s="11"/>
      <c r="K155" s="8">
        <v>726586</v>
      </c>
      <c r="L155" s="11"/>
      <c r="M155" s="8">
        <v>5091188</v>
      </c>
      <c r="N155" s="11"/>
      <c r="O155" s="8">
        <v>908172</v>
      </c>
      <c r="P155" s="11"/>
      <c r="Q155" s="8">
        <v>2531394</v>
      </c>
      <c r="R155" s="11"/>
      <c r="S155" s="8">
        <v>0</v>
      </c>
      <c r="T155" s="11"/>
      <c r="U155" s="8">
        <v>0</v>
      </c>
      <c r="V155" s="11"/>
      <c r="W155" s="11"/>
      <c r="X155" s="6"/>
      <c r="Z155" s="6"/>
      <c r="AA155" s="6"/>
      <c r="AB155" s="8">
        <v>2414037</v>
      </c>
      <c r="AC155" s="20"/>
      <c r="AD155" s="8">
        <v>1328806</v>
      </c>
      <c r="AE155" s="20"/>
      <c r="AF155" s="8">
        <v>0</v>
      </c>
      <c r="AG155" s="20"/>
      <c r="AH155" s="11">
        <f t="shared" si="10"/>
        <v>55359424</v>
      </c>
      <c r="AI155" s="11"/>
      <c r="AJ155" s="11">
        <v>0</v>
      </c>
      <c r="AK155" s="11"/>
      <c r="AL155" s="8">
        <v>99000</v>
      </c>
      <c r="AM155" s="8"/>
      <c r="AN155" s="8">
        <v>24176630</v>
      </c>
      <c r="AO155" s="8"/>
      <c r="AP155" s="8">
        <v>0</v>
      </c>
      <c r="AQ155" s="8"/>
      <c r="AR155" s="8">
        <f>+'GVFund Rev'!U155+'GVFund Rev'!W155-'GVFund Exp'!AH155-'GVFund Exp'!AL155+AJ155+AN155+AP155-'GV Fund BS'!W155</f>
        <v>0</v>
      </c>
      <c r="AS155" s="11"/>
    </row>
    <row r="156" spans="1:45" s="7" customFormat="1" ht="12.75" customHeight="1" x14ac:dyDescent="0.2">
      <c r="A156" s="6" t="s">
        <v>168</v>
      </c>
      <c r="C156" s="6" t="s">
        <v>169</v>
      </c>
      <c r="E156" s="8">
        <v>1071264</v>
      </c>
      <c r="F156" s="11"/>
      <c r="G156" s="8">
        <v>3821295</v>
      </c>
      <c r="H156" s="11"/>
      <c r="I156" s="8">
        <v>0</v>
      </c>
      <c r="J156" s="11"/>
      <c r="K156" s="8">
        <v>469190</v>
      </c>
      <c r="L156" s="11"/>
      <c r="M156" s="8">
        <v>880851</v>
      </c>
      <c r="N156" s="11"/>
      <c r="O156" s="8">
        <v>163059</v>
      </c>
      <c r="P156" s="11"/>
      <c r="Q156" s="8">
        <v>0</v>
      </c>
      <c r="R156" s="11"/>
      <c r="S156" s="8">
        <v>348890</v>
      </c>
      <c r="T156" s="11"/>
      <c r="U156" s="8">
        <v>30740</v>
      </c>
      <c r="V156" s="11"/>
      <c r="W156" s="11"/>
      <c r="X156" s="6"/>
      <c r="Z156" s="6"/>
      <c r="AA156" s="6"/>
      <c r="AB156" s="8">
        <v>300000</v>
      </c>
      <c r="AC156" s="20"/>
      <c r="AD156" s="8">
        <v>125723</v>
      </c>
      <c r="AE156" s="20"/>
      <c r="AF156" s="8">
        <v>0</v>
      </c>
      <c r="AG156" s="20"/>
      <c r="AH156" s="11">
        <f t="shared" si="10"/>
        <v>7211012</v>
      </c>
      <c r="AI156" s="11"/>
      <c r="AJ156" s="11">
        <v>0</v>
      </c>
      <c r="AK156" s="11"/>
      <c r="AL156" s="8">
        <v>322150</v>
      </c>
      <c r="AM156" s="8"/>
      <c r="AN156" s="8">
        <v>5734902</v>
      </c>
      <c r="AO156" s="8"/>
      <c r="AP156" s="8">
        <v>0</v>
      </c>
      <c r="AQ156" s="8"/>
      <c r="AR156" s="8">
        <f>+'GVFund Rev'!U156+'GVFund Rev'!W156-'GVFund Exp'!AH156-'GVFund Exp'!AL156+AJ156+AN156+AP156-'GV Fund BS'!W156</f>
        <v>0</v>
      </c>
      <c r="AS156" s="11"/>
    </row>
    <row r="157" spans="1:45" s="7" customFormat="1" ht="12.75" customHeight="1" x14ac:dyDescent="0.2">
      <c r="A157" s="6" t="s">
        <v>170</v>
      </c>
      <c r="C157" s="6" t="s">
        <v>101</v>
      </c>
      <c r="E157" s="8">
        <v>1821488</v>
      </c>
      <c r="F157" s="11"/>
      <c r="G157" s="8">
        <v>6800480</v>
      </c>
      <c r="H157" s="11"/>
      <c r="I157" s="8">
        <v>0</v>
      </c>
      <c r="J157" s="11"/>
      <c r="K157" s="8">
        <v>0</v>
      </c>
      <c r="L157" s="11"/>
      <c r="M157" s="8">
        <v>1313344</v>
      </c>
      <c r="N157" s="11"/>
      <c r="O157" s="8">
        <v>190326</v>
      </c>
      <c r="P157" s="11"/>
      <c r="Q157" s="8">
        <f>34457+1588445</f>
        <v>1622902</v>
      </c>
      <c r="R157" s="11"/>
      <c r="S157" s="8">
        <v>697870</v>
      </c>
      <c r="T157" s="11"/>
      <c r="U157" s="8">
        <v>1259569</v>
      </c>
      <c r="V157" s="11"/>
      <c r="W157" s="11"/>
      <c r="X157" s="6"/>
      <c r="Z157" s="6"/>
      <c r="AA157" s="6"/>
      <c r="AB157" s="8">
        <v>1076564</v>
      </c>
      <c r="AC157" s="20"/>
      <c r="AD157" s="8">
        <v>501506</v>
      </c>
      <c r="AE157" s="20"/>
      <c r="AF157" s="8">
        <v>0</v>
      </c>
      <c r="AG157" s="20"/>
      <c r="AH157" s="11">
        <f t="shared" si="10"/>
        <v>15284049</v>
      </c>
      <c r="AI157" s="11"/>
      <c r="AJ157" s="11">
        <v>0</v>
      </c>
      <c r="AK157" s="11"/>
      <c r="AL157" s="8">
        <v>6505613</v>
      </c>
      <c r="AM157" s="8"/>
      <c r="AN157" s="8">
        <v>8578654</v>
      </c>
      <c r="AO157" s="8"/>
      <c r="AP157" s="8">
        <v>0</v>
      </c>
      <c r="AQ157" s="8"/>
      <c r="AR157" s="8">
        <f>+'GVFund Rev'!U157+'GVFund Rev'!W157-'GVFund Exp'!AH157-'GVFund Exp'!AL157+AJ157+AN157+AP157-'GV Fund BS'!W157</f>
        <v>0</v>
      </c>
      <c r="AS157" s="11"/>
    </row>
    <row r="158" spans="1:45" s="7" customFormat="1" ht="12.75" customHeight="1" x14ac:dyDescent="0.2">
      <c r="A158" s="6" t="s">
        <v>64</v>
      </c>
      <c r="C158" s="6" t="s">
        <v>43</v>
      </c>
      <c r="E158" s="8">
        <v>3680703</v>
      </c>
      <c r="F158" s="11"/>
      <c r="G158" s="8">
        <v>5257367</v>
      </c>
      <c r="H158" s="11"/>
      <c r="I158" s="8">
        <v>423326</v>
      </c>
      <c r="J158" s="11"/>
      <c r="K158" s="8">
        <v>0</v>
      </c>
      <c r="L158" s="11"/>
      <c r="M158" s="8">
        <v>1393153</v>
      </c>
      <c r="N158" s="11"/>
      <c r="O158" s="8">
        <v>1173520</v>
      </c>
      <c r="P158" s="11"/>
      <c r="Q158" s="8">
        <v>0</v>
      </c>
      <c r="R158" s="11"/>
      <c r="S158" s="8">
        <v>2140335</v>
      </c>
      <c r="T158" s="11"/>
      <c r="U158" s="8">
        <v>0</v>
      </c>
      <c r="V158" s="11"/>
      <c r="W158" s="11"/>
      <c r="X158" s="6"/>
      <c r="Z158" s="6"/>
      <c r="AA158" s="6"/>
      <c r="AB158" s="8">
        <v>615883</v>
      </c>
      <c r="AC158" s="20"/>
      <c r="AD158" s="8">
        <v>124949</v>
      </c>
      <c r="AE158" s="20"/>
      <c r="AF158" s="8">
        <v>0</v>
      </c>
      <c r="AG158" s="20"/>
      <c r="AH158" s="11">
        <f t="shared" si="10"/>
        <v>14809236</v>
      </c>
      <c r="AI158" s="11"/>
      <c r="AJ158" s="11">
        <v>0</v>
      </c>
      <c r="AK158" s="11"/>
      <c r="AL158" s="8">
        <v>2482510</v>
      </c>
      <c r="AM158" s="8"/>
      <c r="AN158" s="8">
        <v>29075223</v>
      </c>
      <c r="AO158" s="8"/>
      <c r="AP158" s="8">
        <v>0</v>
      </c>
      <c r="AQ158" s="8"/>
      <c r="AR158" s="8">
        <f>+'GVFund Rev'!U158+'GVFund Rev'!W158-'GVFund Exp'!AH158-'GVFund Exp'!AL158+AJ158+AN158+AP158-'GV Fund BS'!W158</f>
        <v>0</v>
      </c>
      <c r="AS158" s="11"/>
    </row>
    <row r="159" spans="1:45" s="7" customFormat="1" ht="12.75" customHeight="1" x14ac:dyDescent="0.2">
      <c r="A159" s="6" t="s">
        <v>171</v>
      </c>
      <c r="C159" s="6" t="s">
        <v>64</v>
      </c>
      <c r="E159" s="8">
        <v>3314053</v>
      </c>
      <c r="F159" s="11"/>
      <c r="G159" s="8">
        <v>7783685</v>
      </c>
      <c r="H159" s="11"/>
      <c r="I159" s="8">
        <v>473161</v>
      </c>
      <c r="J159" s="11"/>
      <c r="K159" s="8">
        <v>206032</v>
      </c>
      <c r="L159" s="11"/>
      <c r="M159" s="8">
        <v>2250792</v>
      </c>
      <c r="N159" s="11"/>
      <c r="O159" s="8">
        <v>870458</v>
      </c>
      <c r="P159" s="11"/>
      <c r="Q159" s="8">
        <v>307931</v>
      </c>
      <c r="R159" s="11"/>
      <c r="S159" s="8">
        <f>9574+135167+165944+70841</f>
        <v>381526</v>
      </c>
      <c r="T159" s="11"/>
      <c r="U159" s="8">
        <v>0</v>
      </c>
      <c r="V159" s="11"/>
      <c r="W159" s="11"/>
      <c r="X159" s="6"/>
      <c r="Z159" s="6"/>
      <c r="AA159" s="6"/>
      <c r="AB159" s="8">
        <v>231535</v>
      </c>
      <c r="AC159" s="20"/>
      <c r="AD159" s="8">
        <v>299671</v>
      </c>
      <c r="AE159" s="20"/>
      <c r="AF159" s="8">
        <v>0</v>
      </c>
      <c r="AG159" s="20"/>
      <c r="AH159" s="11">
        <f t="shared" si="10"/>
        <v>16118844</v>
      </c>
      <c r="AI159" s="11"/>
      <c r="AJ159" s="11">
        <v>0</v>
      </c>
      <c r="AK159" s="11"/>
      <c r="AL159" s="8">
        <v>2000000</v>
      </c>
      <c r="AM159" s="8"/>
      <c r="AN159" s="8">
        <v>14052851</v>
      </c>
      <c r="AO159" s="8"/>
      <c r="AP159" s="8">
        <v>0</v>
      </c>
      <c r="AQ159" s="8"/>
      <c r="AR159" s="8">
        <f>+'GVFund Rev'!U159+'GVFund Rev'!W159-'GVFund Exp'!AH159-'GVFund Exp'!AL159+AJ159+AN159+AP159-'GV Fund BS'!W159</f>
        <v>0</v>
      </c>
      <c r="AS159" s="11"/>
    </row>
    <row r="160" spans="1:45" s="9" customFormat="1" ht="12.75" customHeight="1" x14ac:dyDescent="0.2">
      <c r="A160" s="6" t="s">
        <v>172</v>
      </c>
      <c r="B160" s="7"/>
      <c r="C160" s="6" t="s">
        <v>43</v>
      </c>
      <c r="D160" s="7"/>
      <c r="E160" s="8">
        <v>558660</v>
      </c>
      <c r="F160" s="11"/>
      <c r="G160" s="8">
        <v>1732455</v>
      </c>
      <c r="H160" s="11"/>
      <c r="I160" s="8">
        <v>77332</v>
      </c>
      <c r="J160" s="11"/>
      <c r="K160" s="8">
        <v>0</v>
      </c>
      <c r="L160" s="11"/>
      <c r="M160" s="8">
        <f>464524+615557</f>
        <v>1080081</v>
      </c>
      <c r="N160" s="11"/>
      <c r="O160" s="8">
        <v>158502</v>
      </c>
      <c r="P160" s="11"/>
      <c r="Q160" s="8">
        <v>0</v>
      </c>
      <c r="R160" s="11"/>
      <c r="S160" s="8">
        <v>80627</v>
      </c>
      <c r="T160" s="11"/>
      <c r="U160" s="8">
        <v>0</v>
      </c>
      <c r="V160" s="11"/>
      <c r="W160" s="11"/>
      <c r="X160" s="6"/>
      <c r="Y160" s="7"/>
      <c r="Z160" s="6"/>
      <c r="AA160" s="6"/>
      <c r="AB160" s="8">
        <v>59729</v>
      </c>
      <c r="AC160" s="20"/>
      <c r="AD160" s="8">
        <v>76583</v>
      </c>
      <c r="AE160" s="20"/>
      <c r="AF160" s="8">
        <v>0</v>
      </c>
      <c r="AG160" s="20"/>
      <c r="AH160" s="11">
        <f t="shared" si="10"/>
        <v>3823969</v>
      </c>
      <c r="AI160" s="11"/>
      <c r="AJ160" s="11">
        <v>0</v>
      </c>
      <c r="AK160" s="11"/>
      <c r="AL160" s="8">
        <v>230200</v>
      </c>
      <c r="AM160" s="8"/>
      <c r="AN160" s="8">
        <v>369158</v>
      </c>
      <c r="AO160" s="8"/>
      <c r="AP160" s="8">
        <v>0</v>
      </c>
      <c r="AQ160" s="8"/>
      <c r="AR160" s="8">
        <f>+'GVFund Rev'!U160+'GVFund Rev'!W160-'GVFund Exp'!AH160-'GVFund Exp'!AL160+AJ160+AN160+AP160-'GV Fund BS'!W160</f>
        <v>0</v>
      </c>
      <c r="AS160" s="11"/>
    </row>
    <row r="161" spans="1:45" s="7" customFormat="1" ht="12.75" customHeight="1" x14ac:dyDescent="0.2">
      <c r="A161" s="6" t="s">
        <v>173</v>
      </c>
      <c r="C161" s="6" t="s">
        <v>174</v>
      </c>
      <c r="E161" s="8">
        <v>6627844</v>
      </c>
      <c r="F161" s="11"/>
      <c r="G161" s="8">
        <v>5548197</v>
      </c>
      <c r="H161" s="11"/>
      <c r="I161" s="8">
        <v>528995</v>
      </c>
      <c r="J161" s="11"/>
      <c r="K161" s="8">
        <v>707922</v>
      </c>
      <c r="L161" s="11"/>
      <c r="M161" s="8">
        <v>4286766</v>
      </c>
      <c r="N161" s="11"/>
      <c r="O161" s="8">
        <v>700979</v>
      </c>
      <c r="P161" s="11"/>
      <c r="Q161" s="8">
        <v>0</v>
      </c>
      <c r="R161" s="11"/>
      <c r="S161" s="8">
        <v>0</v>
      </c>
      <c r="T161" s="11"/>
      <c r="U161" s="8">
        <v>0</v>
      </c>
      <c r="V161" s="11"/>
      <c r="W161" s="11"/>
      <c r="X161" s="6"/>
      <c r="Z161" s="6"/>
      <c r="AA161" s="6"/>
      <c r="AB161" s="8">
        <v>492452</v>
      </c>
      <c r="AC161" s="20"/>
      <c r="AD161" s="8">
        <v>351905</v>
      </c>
      <c r="AE161" s="20"/>
      <c r="AF161" s="8">
        <v>0</v>
      </c>
      <c r="AG161" s="20"/>
      <c r="AH161" s="11">
        <f t="shared" si="10"/>
        <v>19245060</v>
      </c>
      <c r="AI161" s="11"/>
      <c r="AJ161" s="11">
        <v>0</v>
      </c>
      <c r="AK161" s="11"/>
      <c r="AL161" s="8">
        <f>1600053+1275651</f>
        <v>2875704</v>
      </c>
      <c r="AM161" s="8"/>
      <c r="AN161" s="8">
        <v>8314389</v>
      </c>
      <c r="AO161" s="8"/>
      <c r="AP161" s="8">
        <v>-5234</v>
      </c>
      <c r="AQ161" s="8"/>
      <c r="AR161" s="8">
        <f>+'GVFund Rev'!U161+'GVFund Rev'!W161-'GVFund Exp'!AH161-'GVFund Exp'!AL161+AJ161+AN161+AP161-'GV Fund BS'!W161</f>
        <v>0</v>
      </c>
      <c r="AS161" s="11"/>
    </row>
    <row r="162" spans="1:45" s="7" customFormat="1" ht="12.75" customHeight="1" x14ac:dyDescent="0.2">
      <c r="A162" s="6" t="s">
        <v>175</v>
      </c>
      <c r="C162" s="6" t="s">
        <v>11</v>
      </c>
      <c r="E162" s="8">
        <v>659242</v>
      </c>
      <c r="F162" s="11"/>
      <c r="G162" s="8">
        <v>1659341</v>
      </c>
      <c r="H162" s="11"/>
      <c r="I162" s="8">
        <v>0</v>
      </c>
      <c r="J162" s="11"/>
      <c r="K162" s="8">
        <v>39527</v>
      </c>
      <c r="L162" s="11"/>
      <c r="M162" s="8">
        <v>488419</v>
      </c>
      <c r="N162" s="11"/>
      <c r="O162" s="8">
        <v>41349</v>
      </c>
      <c r="P162" s="11"/>
      <c r="Q162" s="8">
        <v>0</v>
      </c>
      <c r="R162" s="11"/>
      <c r="S162" s="8">
        <v>104296</v>
      </c>
      <c r="T162" s="11"/>
      <c r="U162" s="8">
        <v>0</v>
      </c>
      <c r="V162" s="11"/>
      <c r="W162" s="11"/>
      <c r="X162" s="6"/>
      <c r="Z162" s="6"/>
      <c r="AA162" s="6"/>
      <c r="AB162" s="8">
        <v>202753</v>
      </c>
      <c r="AC162" s="20"/>
      <c r="AD162" s="8">
        <v>23466</v>
      </c>
      <c r="AE162" s="20"/>
      <c r="AF162" s="8">
        <v>160192</v>
      </c>
      <c r="AG162" s="20"/>
      <c r="AH162" s="11">
        <f t="shared" si="10"/>
        <v>3378585</v>
      </c>
      <c r="AI162" s="11"/>
      <c r="AJ162" s="11">
        <v>0</v>
      </c>
      <c r="AK162" s="11"/>
      <c r="AL162" s="8">
        <v>23413</v>
      </c>
      <c r="AM162" s="8"/>
      <c r="AN162" s="8">
        <v>3819599</v>
      </c>
      <c r="AO162" s="8"/>
      <c r="AP162" s="8">
        <v>0</v>
      </c>
      <c r="AQ162" s="8"/>
      <c r="AR162" s="8">
        <f>+'GVFund Rev'!U162+'GVFund Rev'!W162-'GVFund Exp'!AH162-'GVFund Exp'!AL162+AJ162+AN162+AP162-'GV Fund BS'!W162</f>
        <v>0</v>
      </c>
      <c r="AS162" s="11"/>
    </row>
    <row r="163" spans="1:45" s="7" customFormat="1" ht="12.75" customHeight="1" x14ac:dyDescent="0.2">
      <c r="A163" s="6" t="s">
        <v>176</v>
      </c>
      <c r="C163" s="6" t="s">
        <v>177</v>
      </c>
      <c r="E163" s="8">
        <v>1009104</v>
      </c>
      <c r="F163" s="11"/>
      <c r="G163" s="8">
        <v>3216671</v>
      </c>
      <c r="H163" s="11"/>
      <c r="I163" s="11">
        <v>378447</v>
      </c>
      <c r="J163" s="11"/>
      <c r="K163" s="8">
        <v>98178</v>
      </c>
      <c r="L163" s="11"/>
      <c r="M163" s="8">
        <v>530317</v>
      </c>
      <c r="N163" s="11"/>
      <c r="O163" s="8">
        <v>809897</v>
      </c>
      <c r="P163" s="11"/>
      <c r="Q163" s="8">
        <v>0</v>
      </c>
      <c r="R163" s="11"/>
      <c r="S163" s="8">
        <v>1095962</v>
      </c>
      <c r="T163" s="11"/>
      <c r="U163" s="8">
        <v>0</v>
      </c>
      <c r="V163" s="11"/>
      <c r="W163" s="11"/>
      <c r="X163" s="6"/>
      <c r="Z163" s="6"/>
      <c r="AA163" s="6"/>
      <c r="AB163" s="8">
        <v>138951</v>
      </c>
      <c r="AC163" s="20"/>
      <c r="AD163" s="8">
        <v>64594</v>
      </c>
      <c r="AE163" s="20"/>
      <c r="AF163" s="8">
        <v>0</v>
      </c>
      <c r="AG163" s="20"/>
      <c r="AH163" s="11">
        <f t="shared" si="10"/>
        <v>7342121</v>
      </c>
      <c r="AI163" s="11"/>
      <c r="AJ163" s="11">
        <v>0</v>
      </c>
      <c r="AK163" s="11"/>
      <c r="AL163" s="8">
        <v>2179589</v>
      </c>
      <c r="AM163" s="8"/>
      <c r="AN163" s="8">
        <v>5116147</v>
      </c>
      <c r="AO163" s="8"/>
      <c r="AP163" s="8">
        <v>75319</v>
      </c>
      <c r="AQ163" s="8"/>
      <c r="AR163" s="8">
        <f>+'GVFund Rev'!U163+'GVFund Rev'!W163-'GVFund Exp'!AH163-'GVFund Exp'!AL163+AJ163+AN163+AP163-'GV Fund BS'!W163</f>
        <v>0</v>
      </c>
      <c r="AS163" s="11"/>
    </row>
    <row r="164" spans="1:45" s="7" customFormat="1" ht="12.75" customHeight="1" x14ac:dyDescent="0.2">
      <c r="A164" s="6" t="s">
        <v>178</v>
      </c>
      <c r="C164" s="6" t="s">
        <v>18</v>
      </c>
      <c r="E164" s="8">
        <v>532254</v>
      </c>
      <c r="F164" s="11"/>
      <c r="G164" s="8">
        <f>894981+395275</f>
        <v>1290256</v>
      </c>
      <c r="H164" s="11"/>
      <c r="I164" s="8">
        <v>350961</v>
      </c>
      <c r="J164" s="11"/>
      <c r="K164" s="8">
        <v>0</v>
      </c>
      <c r="L164" s="11"/>
      <c r="M164" s="8">
        <v>430401</v>
      </c>
      <c r="N164" s="11"/>
      <c r="O164" s="8">
        <v>226708</v>
      </c>
      <c r="P164" s="11"/>
      <c r="Q164" s="8">
        <v>0</v>
      </c>
      <c r="R164" s="11"/>
      <c r="S164" s="8">
        <v>306630</v>
      </c>
      <c r="T164" s="11"/>
      <c r="U164" s="8">
        <v>0</v>
      </c>
      <c r="V164" s="11"/>
      <c r="W164" s="11"/>
      <c r="X164" s="6"/>
      <c r="Z164" s="6"/>
      <c r="AA164" s="6"/>
      <c r="AB164" s="8">
        <v>230580</v>
      </c>
      <c r="AC164" s="20"/>
      <c r="AD164" s="8">
        <v>18665</v>
      </c>
      <c r="AE164" s="20"/>
      <c r="AF164" s="8">
        <v>125000</v>
      </c>
      <c r="AG164" s="20"/>
      <c r="AH164" s="11">
        <f t="shared" si="10"/>
        <v>3511455</v>
      </c>
      <c r="AI164" s="11"/>
      <c r="AJ164" s="11">
        <v>0</v>
      </c>
      <c r="AK164" s="11"/>
      <c r="AL164" s="8">
        <v>0</v>
      </c>
      <c r="AM164" s="8"/>
      <c r="AN164" s="8">
        <v>3033923</v>
      </c>
      <c r="AO164" s="8"/>
      <c r="AP164" s="8">
        <v>0</v>
      </c>
      <c r="AQ164" s="8"/>
      <c r="AR164" s="8">
        <f>+'GVFund Rev'!U164+'GVFund Rev'!W164-'GVFund Exp'!AH164-'GVFund Exp'!AL164+AJ164+AN164+AP164-'GV Fund BS'!W164</f>
        <v>0</v>
      </c>
      <c r="AS164" s="11"/>
    </row>
    <row r="165" spans="1:45" s="7" customFormat="1" ht="12.75" customHeight="1" x14ac:dyDescent="0.2">
      <c r="A165" s="7" t="s">
        <v>495</v>
      </c>
      <c r="B165" s="10"/>
      <c r="C165" s="7" t="s">
        <v>41</v>
      </c>
      <c r="E165" s="8">
        <v>4430567</v>
      </c>
      <c r="F165" s="11"/>
      <c r="G165" s="8">
        <v>2950474</v>
      </c>
      <c r="H165" s="11"/>
      <c r="I165" s="8">
        <f>1586083+8403000</f>
        <v>9989083</v>
      </c>
      <c r="J165" s="11"/>
      <c r="K165" s="8">
        <v>0</v>
      </c>
      <c r="L165" s="11"/>
      <c r="M165" s="8">
        <v>2112402</v>
      </c>
      <c r="N165" s="11"/>
      <c r="O165" s="8">
        <v>0</v>
      </c>
      <c r="P165" s="11"/>
      <c r="Q165" s="8">
        <v>0</v>
      </c>
      <c r="R165" s="11"/>
      <c r="S165" s="8">
        <v>4825975</v>
      </c>
      <c r="T165" s="11"/>
      <c r="U165" s="8">
        <v>0</v>
      </c>
      <c r="V165" s="11"/>
      <c r="W165" s="11"/>
      <c r="X165" s="6"/>
      <c r="Z165" s="6"/>
      <c r="AA165" s="6"/>
      <c r="AB165" s="8">
        <v>1897034</v>
      </c>
      <c r="AC165" s="20"/>
      <c r="AD165" s="8">
        <v>1254359</v>
      </c>
      <c r="AE165" s="20"/>
      <c r="AF165" s="8">
        <v>139796</v>
      </c>
      <c r="AG165" s="20"/>
      <c r="AH165" s="11">
        <f t="shared" si="10"/>
        <v>27599690</v>
      </c>
      <c r="AI165" s="11"/>
      <c r="AJ165" s="11"/>
      <c r="AK165" s="11"/>
      <c r="AL165" s="8">
        <f>11516641+5082674</f>
        <v>16599315</v>
      </c>
      <c r="AM165" s="8"/>
      <c r="AN165" s="8">
        <v>23663444</v>
      </c>
      <c r="AO165" s="8"/>
      <c r="AP165" s="8">
        <v>0</v>
      </c>
      <c r="AQ165" s="8"/>
      <c r="AR165" s="8">
        <f>+'GVFund Rev'!U165+'GVFund Rev'!W165-'GVFund Exp'!AH165-'GVFund Exp'!AL165+AJ165+AN165+AP165-'GV Fund BS'!W165</f>
        <v>0</v>
      </c>
      <c r="AS165" s="11"/>
    </row>
    <row r="166" spans="1:45" s="7" customFormat="1" ht="12.75" customHeight="1" x14ac:dyDescent="0.2">
      <c r="A166" s="6" t="s">
        <v>180</v>
      </c>
      <c r="C166" s="6" t="s">
        <v>181</v>
      </c>
      <c r="E166" s="8">
        <v>687953</v>
      </c>
      <c r="F166" s="11"/>
      <c r="G166" s="8">
        <v>593941</v>
      </c>
      <c r="H166" s="11"/>
      <c r="I166" s="8">
        <v>36690</v>
      </c>
      <c r="J166" s="11"/>
      <c r="K166" s="8">
        <v>754640</v>
      </c>
      <c r="L166" s="11"/>
      <c r="M166" s="8">
        <v>259294</v>
      </c>
      <c r="N166" s="11"/>
      <c r="O166" s="11">
        <v>70710</v>
      </c>
      <c r="P166" s="11"/>
      <c r="Q166" s="8">
        <v>0</v>
      </c>
      <c r="R166" s="11"/>
      <c r="S166" s="8">
        <v>357638</v>
      </c>
      <c r="T166" s="11"/>
      <c r="U166" s="8">
        <v>0</v>
      </c>
      <c r="V166" s="11"/>
      <c r="W166" s="11"/>
      <c r="X166" s="6"/>
      <c r="Z166" s="6"/>
      <c r="AA166" s="6"/>
      <c r="AB166" s="8">
        <v>140230</v>
      </c>
      <c r="AC166" s="20"/>
      <c r="AD166" s="8">
        <v>125900</v>
      </c>
      <c r="AE166" s="20"/>
      <c r="AF166" s="8">
        <v>909</v>
      </c>
      <c r="AG166" s="20"/>
      <c r="AH166" s="11">
        <f t="shared" si="10"/>
        <v>3027905</v>
      </c>
      <c r="AI166" s="11"/>
      <c r="AJ166" s="11">
        <v>0</v>
      </c>
      <c r="AK166" s="11"/>
      <c r="AL166" s="8">
        <v>231310</v>
      </c>
      <c r="AM166" s="8"/>
      <c r="AN166" s="8">
        <v>1482607</v>
      </c>
      <c r="AO166" s="8"/>
      <c r="AP166" s="8">
        <v>0</v>
      </c>
      <c r="AQ166" s="8"/>
      <c r="AR166" s="8">
        <f>+'GVFund Rev'!U166+'GVFund Rev'!W166-'GVFund Exp'!AH166-'GVFund Exp'!AL166+AJ166+AN166+AP166-'GV Fund BS'!W166</f>
        <v>0</v>
      </c>
      <c r="AS166" s="11"/>
    </row>
    <row r="167" spans="1:45" s="7" customFormat="1" ht="12.75" customHeight="1" x14ac:dyDescent="0.2">
      <c r="A167" s="19" t="s">
        <v>481</v>
      </c>
      <c r="B167" s="9"/>
      <c r="C167" s="19" t="s">
        <v>11</v>
      </c>
      <c r="D167" s="9"/>
      <c r="E167" s="8">
        <v>791955</v>
      </c>
      <c r="F167" s="11"/>
      <c r="G167" s="8">
        <v>3847698</v>
      </c>
      <c r="H167" s="11"/>
      <c r="I167" s="8">
        <v>115800</v>
      </c>
      <c r="J167" s="11"/>
      <c r="K167" s="8">
        <v>125005</v>
      </c>
      <c r="L167" s="11"/>
      <c r="M167" s="8">
        <v>917347</v>
      </c>
      <c r="N167" s="11"/>
      <c r="O167" s="8">
        <v>65508</v>
      </c>
      <c r="P167" s="11"/>
      <c r="Q167" s="8">
        <v>0</v>
      </c>
      <c r="R167" s="11"/>
      <c r="S167" s="8">
        <v>352693</v>
      </c>
      <c r="T167" s="11"/>
      <c r="U167" s="8">
        <v>0</v>
      </c>
      <c r="V167" s="11"/>
      <c r="W167" s="11"/>
      <c r="X167" s="6"/>
      <c r="Z167" s="6"/>
      <c r="AA167" s="6"/>
      <c r="AB167" s="8">
        <v>28465</v>
      </c>
      <c r="AC167" s="20"/>
      <c r="AD167" s="8">
        <v>2649</v>
      </c>
      <c r="AE167" s="20"/>
      <c r="AF167" s="8">
        <v>0</v>
      </c>
      <c r="AG167" s="20"/>
      <c r="AH167" s="11">
        <f t="shared" si="10"/>
        <v>6247120</v>
      </c>
      <c r="AI167" s="11"/>
      <c r="AJ167" s="11">
        <v>0</v>
      </c>
      <c r="AK167" s="11"/>
      <c r="AL167" s="8">
        <v>850000</v>
      </c>
      <c r="AM167" s="8"/>
      <c r="AN167" s="8">
        <v>3204170</v>
      </c>
      <c r="AO167" s="8"/>
      <c r="AP167" s="8">
        <v>0</v>
      </c>
      <c r="AQ167" s="8"/>
      <c r="AR167" s="8">
        <f>+'GVFund Rev'!U167+'GVFund Rev'!W167-'GVFund Exp'!AH167-'GVFund Exp'!AL167+AJ167+AN167+AP167-'GV Fund BS'!W167</f>
        <v>0</v>
      </c>
      <c r="AS167" s="11"/>
    </row>
    <row r="168" spans="1:45" s="7" customFormat="1" ht="12.75" customHeight="1" x14ac:dyDescent="0.2">
      <c r="A168" s="6"/>
      <c r="C168" s="6"/>
      <c r="E168" s="8"/>
      <c r="F168" s="11"/>
      <c r="G168" s="8"/>
      <c r="H168" s="11"/>
      <c r="I168" s="8"/>
      <c r="J168" s="11"/>
      <c r="K168" s="8"/>
      <c r="L168" s="11"/>
      <c r="M168" s="8"/>
      <c r="N168" s="11"/>
      <c r="O168" s="8"/>
      <c r="P168" s="11"/>
      <c r="Q168" s="8"/>
      <c r="R168" s="11"/>
      <c r="S168" s="8"/>
      <c r="T168" s="11"/>
      <c r="U168" s="8"/>
      <c r="V168" s="11"/>
      <c r="W168" s="11"/>
      <c r="X168" s="6"/>
      <c r="Z168" s="6"/>
      <c r="AA168" s="6"/>
      <c r="AB168" s="8"/>
      <c r="AC168" s="20"/>
      <c r="AD168" s="8"/>
      <c r="AE168" s="20"/>
      <c r="AF168" s="8"/>
      <c r="AG168" s="20"/>
      <c r="AH168" s="11"/>
      <c r="AI168" s="11"/>
      <c r="AJ168" s="11"/>
      <c r="AK168" s="11"/>
      <c r="AL168" s="11" t="s">
        <v>478</v>
      </c>
      <c r="AM168" s="8"/>
      <c r="AN168" s="8"/>
      <c r="AO168" s="8"/>
      <c r="AP168" s="8"/>
      <c r="AQ168" s="8"/>
      <c r="AR168" s="8"/>
      <c r="AS168" s="11"/>
    </row>
    <row r="169" spans="1:45" s="7" customFormat="1" ht="12.75" customHeight="1" x14ac:dyDescent="0.2">
      <c r="A169" s="19" t="s">
        <v>182</v>
      </c>
      <c r="B169" s="9"/>
      <c r="C169" s="19" t="s">
        <v>87</v>
      </c>
      <c r="D169" s="9"/>
      <c r="E169" s="40">
        <v>3576681</v>
      </c>
      <c r="F169" s="22"/>
      <c r="G169" s="40">
        <v>4947022</v>
      </c>
      <c r="H169" s="22"/>
      <c r="I169" s="40">
        <v>118808</v>
      </c>
      <c r="J169" s="22"/>
      <c r="K169" s="40">
        <v>689432</v>
      </c>
      <c r="L169" s="22"/>
      <c r="M169" s="40">
        <v>1328974</v>
      </c>
      <c r="N169" s="22"/>
      <c r="O169" s="40">
        <v>763350</v>
      </c>
      <c r="P169" s="22"/>
      <c r="Q169" s="40">
        <v>0</v>
      </c>
      <c r="R169" s="22"/>
      <c r="S169" s="40">
        <v>1142274</v>
      </c>
      <c r="T169" s="22"/>
      <c r="U169" s="40">
        <v>0</v>
      </c>
      <c r="V169" s="22"/>
      <c r="W169" s="22"/>
      <c r="X169" s="19"/>
      <c r="Y169" s="9"/>
      <c r="Z169" s="19"/>
      <c r="AA169" s="19"/>
      <c r="AB169" s="40">
        <v>169159</v>
      </c>
      <c r="AC169" s="21"/>
      <c r="AD169" s="40">
        <v>80894</v>
      </c>
      <c r="AE169" s="21"/>
      <c r="AF169" s="40">
        <v>0</v>
      </c>
      <c r="AG169" s="21"/>
      <c r="AH169" s="22">
        <f t="shared" ref="AH169:AH185" si="11">SUM(E169:AF169)</f>
        <v>12816594</v>
      </c>
      <c r="AI169" s="22"/>
      <c r="AJ169" s="22">
        <v>0</v>
      </c>
      <c r="AK169" s="22"/>
      <c r="AL169" s="40">
        <v>14769</v>
      </c>
      <c r="AM169" s="8"/>
      <c r="AN169" s="8">
        <v>5433909</v>
      </c>
      <c r="AO169" s="8"/>
      <c r="AP169" s="8">
        <v>0</v>
      </c>
      <c r="AQ169" s="8"/>
      <c r="AR169" s="8">
        <f>+'GVFund Rev'!U169+'GVFund Rev'!W169-'GVFund Exp'!AH169-'GVFund Exp'!AL169+AJ169+AN169+AP169-'GV Fund BS'!W169</f>
        <v>0</v>
      </c>
      <c r="AS169" s="11"/>
    </row>
    <row r="170" spans="1:45" s="7" customFormat="1" ht="12.75" customHeight="1" x14ac:dyDescent="0.2">
      <c r="A170" s="6" t="s">
        <v>179</v>
      </c>
      <c r="C170" s="6" t="s">
        <v>123</v>
      </c>
      <c r="E170" s="8">
        <v>10259639</v>
      </c>
      <c r="F170" s="11"/>
      <c r="G170" s="8">
        <v>18462490</v>
      </c>
      <c r="H170" s="11"/>
      <c r="I170" s="8">
        <v>2160549</v>
      </c>
      <c r="J170" s="11"/>
      <c r="K170" s="8">
        <v>1751877</v>
      </c>
      <c r="L170" s="11"/>
      <c r="M170" s="8">
        <v>4377197</v>
      </c>
      <c r="N170" s="11"/>
      <c r="O170" s="8">
        <v>652138</v>
      </c>
      <c r="P170" s="11"/>
      <c r="Q170" s="8">
        <v>0</v>
      </c>
      <c r="R170" s="11"/>
      <c r="S170" s="8">
        <v>3614008</v>
      </c>
      <c r="T170" s="11"/>
      <c r="U170" s="8">
        <v>0</v>
      </c>
      <c r="V170" s="11"/>
      <c r="W170" s="11"/>
      <c r="X170" s="6"/>
      <c r="Z170" s="6"/>
      <c r="AA170" s="6"/>
      <c r="AB170" s="8">
        <v>894321</v>
      </c>
      <c r="AC170" s="20"/>
      <c r="AD170" s="8">
        <v>736336</v>
      </c>
      <c r="AE170" s="20"/>
      <c r="AF170" s="8">
        <v>0</v>
      </c>
      <c r="AG170" s="20"/>
      <c r="AH170" s="11">
        <f t="shared" si="11"/>
        <v>42908555</v>
      </c>
      <c r="AI170" s="11"/>
      <c r="AJ170" s="11">
        <v>0</v>
      </c>
      <c r="AK170" s="11"/>
      <c r="AL170" s="8">
        <v>2862443</v>
      </c>
      <c r="AM170" s="8"/>
      <c r="AN170" s="8">
        <v>16593293</v>
      </c>
      <c r="AO170" s="8"/>
      <c r="AP170" s="8">
        <v>-152852</v>
      </c>
      <c r="AQ170" s="8"/>
      <c r="AR170" s="8">
        <f>+'GVFund Rev'!U170+'GVFund Rev'!W170-'GVFund Exp'!AH170-'GVFund Exp'!AL170+AJ170+AN170+AP170-'GV Fund BS'!W170</f>
        <v>0</v>
      </c>
      <c r="AS170" s="11"/>
    </row>
    <row r="171" spans="1:45" s="7" customFormat="1" ht="12.75" customHeight="1" x14ac:dyDescent="0.2">
      <c r="A171" s="6" t="s">
        <v>183</v>
      </c>
      <c r="C171" s="6" t="s">
        <v>78</v>
      </c>
      <c r="E171" s="8">
        <v>1983774</v>
      </c>
      <c r="F171" s="11"/>
      <c r="G171" s="8">
        <v>8292095</v>
      </c>
      <c r="H171" s="11"/>
      <c r="I171" s="8">
        <v>865818</v>
      </c>
      <c r="J171" s="11"/>
      <c r="K171" s="8">
        <v>612743</v>
      </c>
      <c r="L171" s="11"/>
      <c r="M171" s="8">
        <v>1617694</v>
      </c>
      <c r="N171" s="11"/>
      <c r="O171" s="8">
        <v>591231</v>
      </c>
      <c r="P171" s="11"/>
      <c r="Q171" s="8">
        <v>156149</v>
      </c>
      <c r="R171" s="11"/>
      <c r="S171" s="8">
        <v>3022889</v>
      </c>
      <c r="T171" s="11"/>
      <c r="U171" s="8">
        <v>0</v>
      </c>
      <c r="V171" s="11"/>
      <c r="W171" s="11"/>
      <c r="X171" s="6"/>
      <c r="Z171" s="6"/>
      <c r="AA171" s="6"/>
      <c r="AB171" s="8">
        <v>131920</v>
      </c>
      <c r="AC171" s="20"/>
      <c r="AD171" s="8">
        <v>131430</v>
      </c>
      <c r="AE171" s="20"/>
      <c r="AF171" s="8">
        <v>0</v>
      </c>
      <c r="AG171" s="20"/>
      <c r="AH171" s="11">
        <f t="shared" si="11"/>
        <v>17405743</v>
      </c>
      <c r="AI171" s="11"/>
      <c r="AJ171" s="11">
        <v>0</v>
      </c>
      <c r="AK171" s="11"/>
      <c r="AL171" s="8">
        <v>5805918</v>
      </c>
      <c r="AM171" s="8"/>
      <c r="AN171" s="8">
        <v>11754939</v>
      </c>
      <c r="AO171" s="8"/>
      <c r="AP171" s="8">
        <v>0</v>
      </c>
      <c r="AQ171" s="8"/>
      <c r="AR171" s="8">
        <f>+'GVFund Rev'!U171+'GVFund Rev'!W171-'GVFund Exp'!AH171-'GVFund Exp'!AL171+AJ171+AN171+AP171-'GV Fund BS'!W171</f>
        <v>0</v>
      </c>
      <c r="AS171" s="11"/>
    </row>
    <row r="172" spans="1:45" s="7" customFormat="1" ht="12.75" customHeight="1" x14ac:dyDescent="0.2">
      <c r="A172" s="6" t="s">
        <v>184</v>
      </c>
      <c r="C172" s="6" t="s">
        <v>13</v>
      </c>
      <c r="E172" s="8">
        <v>1810943</v>
      </c>
      <c r="F172" s="11"/>
      <c r="G172" s="8">
        <f>3102962+617881</f>
        <v>3720843</v>
      </c>
      <c r="H172" s="11"/>
      <c r="I172" s="8">
        <v>437425</v>
      </c>
      <c r="J172" s="11"/>
      <c r="K172" s="8">
        <v>1612523</v>
      </c>
      <c r="L172" s="11"/>
      <c r="M172" s="8">
        <v>1584937</v>
      </c>
      <c r="N172" s="11"/>
      <c r="O172" s="8">
        <v>684494</v>
      </c>
      <c r="P172" s="11"/>
      <c r="Q172" s="8">
        <v>347093</v>
      </c>
      <c r="R172" s="11"/>
      <c r="S172" s="8">
        <v>4275228</v>
      </c>
      <c r="T172" s="11"/>
      <c r="U172" s="8">
        <v>0</v>
      </c>
      <c r="V172" s="11"/>
      <c r="W172" s="11"/>
      <c r="X172" s="6"/>
      <c r="Z172" s="6"/>
      <c r="AA172" s="6"/>
      <c r="AB172" s="8">
        <v>214952</v>
      </c>
      <c r="AC172" s="20"/>
      <c r="AD172" s="8">
        <v>101984</v>
      </c>
      <c r="AE172" s="20"/>
      <c r="AF172" s="8">
        <v>0</v>
      </c>
      <c r="AG172" s="20"/>
      <c r="AH172" s="11">
        <f t="shared" si="11"/>
        <v>14790422</v>
      </c>
      <c r="AI172" s="11"/>
      <c r="AJ172" s="11">
        <v>0</v>
      </c>
      <c r="AK172" s="11"/>
      <c r="AL172" s="8">
        <v>2590122</v>
      </c>
      <c r="AM172" s="8"/>
      <c r="AN172" s="8">
        <v>9150179</v>
      </c>
      <c r="AO172" s="8"/>
      <c r="AP172" s="8">
        <v>0</v>
      </c>
      <c r="AQ172" s="8"/>
      <c r="AR172" s="8">
        <f>+'GVFund Rev'!U172+'GVFund Rev'!W172-'GVFund Exp'!AH172-'GVFund Exp'!AL172+AJ172+AN172+AP172-'GV Fund BS'!W172</f>
        <v>0</v>
      </c>
      <c r="AS172" s="11"/>
    </row>
    <row r="173" spans="1:45" s="7" customFormat="1" ht="12.75" customHeight="1" x14ac:dyDescent="0.2">
      <c r="A173" s="6" t="s">
        <v>185</v>
      </c>
      <c r="C173" s="6" t="s">
        <v>25</v>
      </c>
      <c r="E173" s="8">
        <v>3409976</v>
      </c>
      <c r="F173" s="11"/>
      <c r="G173" s="8">
        <v>12436324</v>
      </c>
      <c r="H173" s="11"/>
      <c r="I173" s="8">
        <v>738357</v>
      </c>
      <c r="J173" s="11"/>
      <c r="K173" s="8">
        <v>513659</v>
      </c>
      <c r="L173" s="11"/>
      <c r="M173" s="8">
        <v>6243266</v>
      </c>
      <c r="N173" s="11"/>
      <c r="O173" s="8">
        <v>2198920</v>
      </c>
      <c r="P173" s="11"/>
      <c r="Q173" s="8">
        <v>2100931</v>
      </c>
      <c r="R173" s="11"/>
      <c r="S173" s="8">
        <v>833444</v>
      </c>
      <c r="T173" s="11"/>
      <c r="U173" s="8">
        <v>0</v>
      </c>
      <c r="V173" s="11"/>
      <c r="W173" s="11"/>
      <c r="X173" s="6"/>
      <c r="Z173" s="6"/>
      <c r="AA173" s="6"/>
      <c r="AB173" s="8">
        <v>4770492</v>
      </c>
      <c r="AC173" s="20"/>
      <c r="AD173" s="8">
        <v>1183155</v>
      </c>
      <c r="AE173" s="20"/>
      <c r="AF173" s="8">
        <v>23250</v>
      </c>
      <c r="AG173" s="20"/>
      <c r="AH173" s="11">
        <f t="shared" si="11"/>
        <v>34451774</v>
      </c>
      <c r="AI173" s="11"/>
      <c r="AJ173" s="11">
        <v>0</v>
      </c>
      <c r="AK173" s="11"/>
      <c r="AL173" s="8">
        <v>2297666</v>
      </c>
      <c r="AM173" s="8"/>
      <c r="AN173" s="8">
        <v>17139121</v>
      </c>
      <c r="AO173" s="8"/>
      <c r="AP173" s="8">
        <v>0</v>
      </c>
      <c r="AQ173" s="8"/>
      <c r="AR173" s="8">
        <f>+'GVFund Rev'!U173+'GVFund Rev'!W173-'GVFund Exp'!AH173-'GVFund Exp'!AL173+AJ173+AN173+AP173-'GV Fund BS'!W173</f>
        <v>0</v>
      </c>
      <c r="AS173" s="11"/>
    </row>
    <row r="174" spans="1:45" s="7" customFormat="1" ht="12.75" customHeight="1" x14ac:dyDescent="0.2">
      <c r="A174" s="7" t="s">
        <v>187</v>
      </c>
      <c r="C174" s="7" t="s">
        <v>15</v>
      </c>
      <c r="E174" s="8">
        <v>6253077</v>
      </c>
      <c r="F174" s="11"/>
      <c r="G174" s="8">
        <v>10568473</v>
      </c>
      <c r="H174" s="11"/>
      <c r="I174" s="8">
        <v>1171310</v>
      </c>
      <c r="J174" s="11"/>
      <c r="K174" s="8">
        <v>399957</v>
      </c>
      <c r="L174" s="11"/>
      <c r="M174" s="8">
        <v>2686807</v>
      </c>
      <c r="N174" s="11"/>
      <c r="O174" s="8">
        <v>391488</v>
      </c>
      <c r="P174" s="11"/>
      <c r="Q174" s="8">
        <v>0</v>
      </c>
      <c r="R174" s="11"/>
      <c r="S174" s="8">
        <v>1297825</v>
      </c>
      <c r="T174" s="11"/>
      <c r="U174" s="8">
        <v>0</v>
      </c>
      <c r="V174" s="11"/>
      <c r="W174" s="11"/>
      <c r="X174" s="6"/>
      <c r="Z174" s="6"/>
      <c r="AA174" s="6"/>
      <c r="AB174" s="8">
        <v>3016891</v>
      </c>
      <c r="AC174" s="20"/>
      <c r="AD174" s="8">
        <v>231647</v>
      </c>
      <c r="AE174" s="20"/>
      <c r="AF174" s="8">
        <v>24707</v>
      </c>
      <c r="AG174" s="20"/>
      <c r="AH174" s="11">
        <f t="shared" si="11"/>
        <v>26042182</v>
      </c>
      <c r="AI174" s="11"/>
      <c r="AJ174" s="11">
        <v>0</v>
      </c>
      <c r="AK174" s="11"/>
      <c r="AL174" s="8">
        <v>1125000</v>
      </c>
      <c r="AM174" s="8"/>
      <c r="AN174" s="8">
        <v>9171546</v>
      </c>
      <c r="AO174" s="8"/>
      <c r="AP174" s="8">
        <v>0</v>
      </c>
      <c r="AQ174" s="8"/>
      <c r="AR174" s="8">
        <f>+'GVFund Rev'!U174+'GVFund Rev'!W174-'GVFund Exp'!AH174-'GVFund Exp'!AL174+AJ174+AN174+AP174-'GV Fund BS'!W174</f>
        <v>0</v>
      </c>
      <c r="AS174" s="11"/>
    </row>
    <row r="175" spans="1:45" s="7" customFormat="1" ht="12.75" customHeight="1" x14ac:dyDescent="0.2">
      <c r="A175" s="19" t="s">
        <v>186</v>
      </c>
      <c r="B175" s="9"/>
      <c r="C175" s="19" t="s">
        <v>25</v>
      </c>
      <c r="D175" s="9"/>
      <c r="E175" s="8">
        <v>2691838</v>
      </c>
      <c r="F175" s="11"/>
      <c r="G175" s="8">
        <v>11409327</v>
      </c>
      <c r="H175" s="11"/>
      <c r="I175" s="8">
        <v>767707</v>
      </c>
      <c r="J175" s="11"/>
      <c r="K175" s="8">
        <v>555440</v>
      </c>
      <c r="L175" s="11"/>
      <c r="M175" s="8">
        <v>2938870</v>
      </c>
      <c r="N175" s="11"/>
      <c r="O175" s="8">
        <v>1464225</v>
      </c>
      <c r="P175" s="11"/>
      <c r="Q175" s="8">
        <v>2024211</v>
      </c>
      <c r="R175" s="11"/>
      <c r="S175" s="8">
        <v>5852944</v>
      </c>
      <c r="T175" s="11"/>
      <c r="U175" s="8">
        <v>0</v>
      </c>
      <c r="V175" s="11"/>
      <c r="W175" s="11"/>
      <c r="X175" s="6"/>
      <c r="Z175" s="6"/>
      <c r="AA175" s="6"/>
      <c r="AB175" s="8">
        <v>15885456</v>
      </c>
      <c r="AC175" s="20"/>
      <c r="AD175" s="8">
        <v>796576</v>
      </c>
      <c r="AE175" s="20"/>
      <c r="AF175" s="8">
        <v>45000</v>
      </c>
      <c r="AG175" s="20"/>
      <c r="AH175" s="11">
        <f t="shared" si="11"/>
        <v>44431594</v>
      </c>
      <c r="AI175" s="11"/>
      <c r="AJ175" s="11">
        <v>0</v>
      </c>
      <c r="AK175" s="11"/>
      <c r="AL175" s="8">
        <v>4626084</v>
      </c>
      <c r="AM175" s="8"/>
      <c r="AN175" s="8">
        <v>18280725</v>
      </c>
      <c r="AO175" s="8"/>
      <c r="AP175" s="8">
        <v>0</v>
      </c>
      <c r="AQ175" s="8"/>
      <c r="AR175" s="8">
        <f>+'GVFund Rev'!U175+'GVFund Rev'!W175-'GVFund Exp'!AH175-'GVFund Exp'!AL175+AJ175+AN175+AP175-'GV Fund BS'!W175</f>
        <v>0</v>
      </c>
      <c r="AS175" s="11"/>
    </row>
    <row r="176" spans="1:45" s="7" customFormat="1" ht="12.75" customHeight="1" x14ac:dyDescent="0.2">
      <c r="A176" s="6" t="s">
        <v>188</v>
      </c>
      <c r="C176" s="6" t="s">
        <v>45</v>
      </c>
      <c r="E176" s="8">
        <v>1423482</v>
      </c>
      <c r="F176" s="11"/>
      <c r="G176" s="8">
        <v>2496622</v>
      </c>
      <c r="H176" s="11"/>
      <c r="I176" s="8">
        <v>100996</v>
      </c>
      <c r="J176" s="11"/>
      <c r="K176" s="8">
        <v>6695</v>
      </c>
      <c r="L176" s="11"/>
      <c r="M176" s="8">
        <v>447831</v>
      </c>
      <c r="N176" s="11"/>
      <c r="O176" s="8">
        <v>52933</v>
      </c>
      <c r="P176" s="11"/>
      <c r="Q176" s="8">
        <v>84886</v>
      </c>
      <c r="R176" s="11"/>
      <c r="S176" s="8">
        <v>1782475</v>
      </c>
      <c r="T176" s="11"/>
      <c r="U176" s="8">
        <v>0</v>
      </c>
      <c r="V176" s="11"/>
      <c r="W176" s="11"/>
      <c r="X176" s="6"/>
      <c r="Z176" s="6"/>
      <c r="AA176" s="6"/>
      <c r="AB176" s="8">
        <v>124390</v>
      </c>
      <c r="AC176" s="20"/>
      <c r="AD176" s="8">
        <v>81767</v>
      </c>
      <c r="AE176" s="20"/>
      <c r="AF176" s="8">
        <v>0</v>
      </c>
      <c r="AG176" s="20"/>
      <c r="AH176" s="11">
        <f t="shared" si="11"/>
        <v>6602077</v>
      </c>
      <c r="AI176" s="11"/>
      <c r="AJ176" s="11">
        <v>0</v>
      </c>
      <c r="AK176" s="11"/>
      <c r="AL176" s="8">
        <v>105000</v>
      </c>
      <c r="AM176" s="8"/>
      <c r="AN176" s="8">
        <v>7526193</v>
      </c>
      <c r="AO176" s="8"/>
      <c r="AP176" s="8">
        <v>11268</v>
      </c>
      <c r="AQ176" s="8"/>
      <c r="AR176" s="8">
        <f>+'GVFund Rev'!U176+'GVFund Rev'!W176-'GVFund Exp'!AH176-'GVFund Exp'!AL176+AJ176+AN176+AP176-'GV Fund BS'!W176</f>
        <v>0</v>
      </c>
      <c r="AS176" s="11"/>
    </row>
    <row r="177" spans="1:45" s="7" customFormat="1" ht="12.75" customHeight="1" x14ac:dyDescent="0.2">
      <c r="A177" s="6" t="s">
        <v>189</v>
      </c>
      <c r="C177" s="6" t="s">
        <v>11</v>
      </c>
      <c r="E177" s="8">
        <v>1798467</v>
      </c>
      <c r="F177" s="11"/>
      <c r="G177" s="8">
        <v>3222091</v>
      </c>
      <c r="H177" s="11"/>
      <c r="I177" s="8">
        <v>181650</v>
      </c>
      <c r="J177" s="11"/>
      <c r="K177" s="8">
        <v>112933</v>
      </c>
      <c r="L177" s="11"/>
      <c r="M177" s="8">
        <v>1163451</v>
      </c>
      <c r="N177" s="11"/>
      <c r="O177" s="8">
        <v>92904</v>
      </c>
      <c r="P177" s="11"/>
      <c r="Q177" s="8">
        <v>0</v>
      </c>
      <c r="R177" s="11"/>
      <c r="S177" s="8">
        <v>392174</v>
      </c>
      <c r="T177" s="11"/>
      <c r="U177" s="8">
        <v>0</v>
      </c>
      <c r="V177" s="11"/>
      <c r="W177" s="11"/>
      <c r="X177" s="6"/>
      <c r="Z177" s="6"/>
      <c r="AA177" s="6"/>
      <c r="AB177" s="8">
        <v>1675000</v>
      </c>
      <c r="AC177" s="20"/>
      <c r="AD177" s="8">
        <v>237315</v>
      </c>
      <c r="AE177" s="20"/>
      <c r="AF177" s="8">
        <f>143432+40087</f>
        <v>183519</v>
      </c>
      <c r="AG177" s="20"/>
      <c r="AH177" s="11">
        <f t="shared" si="11"/>
        <v>9059504</v>
      </c>
      <c r="AI177" s="11"/>
      <c r="AJ177" s="11">
        <v>0</v>
      </c>
      <c r="AK177" s="11"/>
      <c r="AL177" s="8">
        <f>2280827+928519</f>
        <v>3209346</v>
      </c>
      <c r="AM177" s="8"/>
      <c r="AN177" s="8">
        <v>6147166</v>
      </c>
      <c r="AO177" s="8"/>
      <c r="AP177" s="8">
        <v>0</v>
      </c>
      <c r="AQ177" s="8"/>
      <c r="AR177" s="8">
        <f>+'GVFund Rev'!U177+'GVFund Rev'!W177-'GVFund Exp'!AH177-'GVFund Exp'!AL177+AJ177+AN177+AP177-'GV Fund BS'!W177</f>
        <v>0</v>
      </c>
      <c r="AS177" s="11"/>
    </row>
    <row r="178" spans="1:45" s="7" customFormat="1" ht="12.75" customHeight="1" x14ac:dyDescent="0.2">
      <c r="A178" s="19" t="s">
        <v>190</v>
      </c>
      <c r="B178" s="9"/>
      <c r="C178" s="19" t="s">
        <v>36</v>
      </c>
      <c r="D178" s="9"/>
      <c r="E178" s="8">
        <v>2035975</v>
      </c>
      <c r="F178" s="11"/>
      <c r="G178" s="8">
        <v>4691753</v>
      </c>
      <c r="H178" s="11"/>
      <c r="I178" s="8">
        <v>640055</v>
      </c>
      <c r="J178" s="11"/>
      <c r="K178" s="8">
        <v>142536</v>
      </c>
      <c r="L178" s="11"/>
      <c r="M178" s="8">
        <v>628079</v>
      </c>
      <c r="N178" s="11"/>
      <c r="O178" s="8">
        <v>1516985</v>
      </c>
      <c r="P178" s="11"/>
      <c r="Q178" s="8">
        <v>0</v>
      </c>
      <c r="R178" s="11"/>
      <c r="S178" s="8">
        <v>1937201</v>
      </c>
      <c r="T178" s="11"/>
      <c r="U178" s="8">
        <v>0</v>
      </c>
      <c r="V178" s="11"/>
      <c r="W178" s="11"/>
      <c r="X178" s="6"/>
      <c r="Z178" s="6"/>
      <c r="AA178" s="6"/>
      <c r="AB178" s="8">
        <v>231358</v>
      </c>
      <c r="AC178" s="20"/>
      <c r="AD178" s="8">
        <v>48053</v>
      </c>
      <c r="AE178" s="20"/>
      <c r="AF178" s="8">
        <v>0</v>
      </c>
      <c r="AG178" s="20"/>
      <c r="AH178" s="11">
        <f t="shared" si="11"/>
        <v>11871995</v>
      </c>
      <c r="AI178" s="11"/>
      <c r="AJ178" s="11">
        <v>0</v>
      </c>
      <c r="AK178" s="11"/>
      <c r="AL178" s="8">
        <v>643203</v>
      </c>
      <c r="AM178" s="8"/>
      <c r="AN178" s="8">
        <v>12161230</v>
      </c>
      <c r="AO178" s="8"/>
      <c r="AP178" s="8">
        <v>0</v>
      </c>
      <c r="AQ178" s="8"/>
      <c r="AR178" s="8">
        <f>+'GVFund Rev'!U178+'GVFund Rev'!W178-'GVFund Exp'!AH178-'GVFund Exp'!AL178+AJ178+AN178+AP178-'GV Fund BS'!W178</f>
        <v>0</v>
      </c>
      <c r="AS178" s="11"/>
    </row>
    <row r="179" spans="1:45" s="7" customFormat="1" ht="12.75" customHeight="1" x14ac:dyDescent="0.2">
      <c r="A179" s="6" t="s">
        <v>191</v>
      </c>
      <c r="C179" s="6" t="s">
        <v>43</v>
      </c>
      <c r="E179" s="8">
        <v>3463020</v>
      </c>
      <c r="F179" s="11"/>
      <c r="G179" s="8">
        <f>6282289+7302047</f>
        <v>13584336</v>
      </c>
      <c r="H179" s="11"/>
      <c r="I179" s="8">
        <v>108732</v>
      </c>
      <c r="J179" s="11"/>
      <c r="K179" s="8">
        <v>991908</v>
      </c>
      <c r="L179" s="11"/>
      <c r="M179" s="8">
        <v>887628</v>
      </c>
      <c r="N179" s="11"/>
      <c r="O179" s="8">
        <v>566164</v>
      </c>
      <c r="P179" s="11"/>
      <c r="Q179" s="8">
        <v>7482</v>
      </c>
      <c r="R179" s="11"/>
      <c r="S179" s="8">
        <v>402158</v>
      </c>
      <c r="T179" s="11"/>
      <c r="U179" s="8">
        <v>488199</v>
      </c>
      <c r="V179" s="11"/>
      <c r="W179" s="11"/>
      <c r="X179" s="6"/>
      <c r="Z179" s="6"/>
      <c r="AA179" s="6"/>
      <c r="AB179" s="8">
        <v>747304</v>
      </c>
      <c r="AC179" s="20"/>
      <c r="AD179" s="8">
        <v>1159661</v>
      </c>
      <c r="AE179" s="20"/>
      <c r="AF179" s="8">
        <v>0</v>
      </c>
      <c r="AG179" s="20"/>
      <c r="AH179" s="11">
        <f t="shared" si="11"/>
        <v>22406592</v>
      </c>
      <c r="AI179" s="11"/>
      <c r="AJ179" s="11">
        <v>0</v>
      </c>
      <c r="AK179" s="11"/>
      <c r="AL179" s="8">
        <v>877908</v>
      </c>
      <c r="AM179" s="8"/>
      <c r="AN179" s="8">
        <v>2602028</v>
      </c>
      <c r="AO179" s="8"/>
      <c r="AP179" s="8">
        <v>0</v>
      </c>
      <c r="AQ179" s="8"/>
      <c r="AR179" s="8">
        <f>+'GVFund Rev'!U179+'GVFund Rev'!W179-'GVFund Exp'!AH179-'GVFund Exp'!AL179+AJ179+AN179+AP179-'GV Fund BS'!W179</f>
        <v>0</v>
      </c>
      <c r="AS179" s="20"/>
    </row>
    <row r="180" spans="1:45" s="7" customFormat="1" ht="12.75" customHeight="1" x14ac:dyDescent="0.2">
      <c r="A180" s="6" t="s">
        <v>192</v>
      </c>
      <c r="C180" s="6" t="s">
        <v>64</v>
      </c>
      <c r="E180" s="8">
        <v>2101276</v>
      </c>
      <c r="F180" s="11"/>
      <c r="G180" s="8">
        <v>5213258</v>
      </c>
      <c r="H180" s="11"/>
      <c r="I180" s="8">
        <v>1896830</v>
      </c>
      <c r="J180" s="11"/>
      <c r="K180" s="8">
        <v>114363</v>
      </c>
      <c r="L180" s="11"/>
      <c r="M180" s="8">
        <v>972676</v>
      </c>
      <c r="N180" s="11"/>
      <c r="O180" s="8">
        <v>1011267</v>
      </c>
      <c r="P180" s="11"/>
      <c r="Q180" s="8">
        <v>0</v>
      </c>
      <c r="R180" s="11"/>
      <c r="S180" s="8">
        <v>365679</v>
      </c>
      <c r="T180" s="11"/>
      <c r="U180" s="8">
        <v>0</v>
      </c>
      <c r="V180" s="11"/>
      <c r="W180" s="11"/>
      <c r="X180" s="6"/>
      <c r="Z180" s="6"/>
      <c r="AA180" s="6"/>
      <c r="AB180" s="8">
        <v>13546</v>
      </c>
      <c r="AC180" s="20"/>
      <c r="AD180" s="8">
        <v>49343</v>
      </c>
      <c r="AE180" s="20"/>
      <c r="AF180" s="8">
        <v>0</v>
      </c>
      <c r="AG180" s="20"/>
      <c r="AH180" s="11">
        <f t="shared" si="11"/>
        <v>11738238</v>
      </c>
      <c r="AI180" s="11"/>
      <c r="AJ180" s="11">
        <v>0</v>
      </c>
      <c r="AK180" s="11"/>
      <c r="AL180" s="8">
        <v>1291153</v>
      </c>
      <c r="AM180" s="8"/>
      <c r="AN180" s="8">
        <v>8283142</v>
      </c>
      <c r="AO180" s="8"/>
      <c r="AP180" s="8">
        <v>0</v>
      </c>
      <c r="AQ180" s="8"/>
      <c r="AR180" s="8">
        <f>+'GVFund Rev'!U180+'GVFund Rev'!W180-'GVFund Exp'!AH180-'GVFund Exp'!AL180+AJ180+AN180+AP180-'GV Fund BS'!W180</f>
        <v>0</v>
      </c>
      <c r="AS180" s="11"/>
    </row>
    <row r="181" spans="1:45" s="7" customFormat="1" ht="12.75" customHeight="1" x14ac:dyDescent="0.2">
      <c r="A181" s="6" t="s">
        <v>193</v>
      </c>
      <c r="C181" s="6" t="s">
        <v>15</v>
      </c>
      <c r="E181" s="8">
        <v>3189525</v>
      </c>
      <c r="F181" s="11"/>
      <c r="G181" s="8">
        <v>3276931</v>
      </c>
      <c r="H181" s="11"/>
      <c r="I181" s="8">
        <v>702407</v>
      </c>
      <c r="J181" s="11"/>
      <c r="K181" s="8">
        <v>107649</v>
      </c>
      <c r="L181" s="11"/>
      <c r="M181" s="8">
        <v>746205</v>
      </c>
      <c r="N181" s="11"/>
      <c r="O181" s="8">
        <v>651985</v>
      </c>
      <c r="P181" s="11"/>
      <c r="Q181" s="8">
        <v>247611</v>
      </c>
      <c r="R181" s="11"/>
      <c r="S181" s="8">
        <v>2067833</v>
      </c>
      <c r="T181" s="11"/>
      <c r="U181" s="8">
        <v>0</v>
      </c>
      <c r="V181" s="11"/>
      <c r="W181" s="11"/>
      <c r="X181" s="6"/>
      <c r="Z181" s="6"/>
      <c r="AA181" s="6"/>
      <c r="AB181" s="8">
        <v>500541</v>
      </c>
      <c r="AC181" s="20"/>
      <c r="AD181" s="8">
        <v>326337</v>
      </c>
      <c r="AE181" s="20"/>
      <c r="AF181" s="8">
        <v>0</v>
      </c>
      <c r="AG181" s="20"/>
      <c r="AH181" s="11">
        <f t="shared" si="11"/>
        <v>11817024</v>
      </c>
      <c r="AI181" s="11"/>
      <c r="AJ181" s="11">
        <v>0</v>
      </c>
      <c r="AK181" s="11"/>
      <c r="AL181" s="8">
        <v>1146443</v>
      </c>
      <c r="AM181" s="8"/>
      <c r="AN181" s="8">
        <v>14010600</v>
      </c>
      <c r="AO181" s="8"/>
      <c r="AP181" s="8">
        <v>-3034</v>
      </c>
      <c r="AQ181" s="8"/>
      <c r="AR181" s="8">
        <f>+'GVFund Rev'!U181+'GVFund Rev'!W181-'GVFund Exp'!AH181-'GVFund Exp'!AL181+AJ181+AN181+AP181-'GV Fund BS'!W181</f>
        <v>0</v>
      </c>
      <c r="AS181" s="11"/>
    </row>
    <row r="182" spans="1:45" s="9" customFormat="1" ht="12.75" hidden="1" customHeight="1" x14ac:dyDescent="0.2">
      <c r="A182" s="19" t="s">
        <v>194</v>
      </c>
      <c r="C182" s="19" t="s">
        <v>25</v>
      </c>
      <c r="E182" s="8">
        <v>1144873</v>
      </c>
      <c r="F182" s="11"/>
      <c r="G182" s="8">
        <v>2749769</v>
      </c>
      <c r="H182" s="11"/>
      <c r="I182" s="8">
        <f>311465+414608</f>
        <v>726073</v>
      </c>
      <c r="J182" s="11"/>
      <c r="K182" s="8">
        <v>94274</v>
      </c>
      <c r="L182" s="11"/>
      <c r="M182" s="8">
        <v>746407</v>
      </c>
      <c r="N182" s="11"/>
      <c r="O182" s="8">
        <v>150248</v>
      </c>
      <c r="P182" s="11"/>
      <c r="Q182" s="8">
        <v>0</v>
      </c>
      <c r="R182" s="11"/>
      <c r="S182" s="8">
        <v>779684</v>
      </c>
      <c r="T182" s="11"/>
      <c r="U182" s="8">
        <v>0</v>
      </c>
      <c r="V182" s="11"/>
      <c r="W182" s="11"/>
      <c r="X182" s="6"/>
      <c r="Y182" s="7"/>
      <c r="Z182" s="6"/>
      <c r="AA182" s="6"/>
      <c r="AB182" s="8">
        <v>2610678</v>
      </c>
      <c r="AC182" s="20"/>
      <c r="AD182" s="8">
        <v>185207</v>
      </c>
      <c r="AE182" s="20"/>
      <c r="AF182" s="8">
        <v>0</v>
      </c>
      <c r="AG182" s="20"/>
      <c r="AH182" s="11">
        <f t="shared" si="11"/>
        <v>9187213</v>
      </c>
      <c r="AI182" s="11"/>
      <c r="AJ182" s="11">
        <v>0</v>
      </c>
      <c r="AK182" s="11"/>
      <c r="AL182" s="8">
        <v>0</v>
      </c>
      <c r="AM182" s="8"/>
      <c r="AN182" s="8">
        <v>4515065</v>
      </c>
      <c r="AO182" s="8"/>
      <c r="AP182" s="8">
        <v>0</v>
      </c>
      <c r="AQ182" s="8"/>
      <c r="AR182" s="8">
        <f>+'GVFund Rev'!U182+'GVFund Rev'!W182-'GVFund Exp'!AH182-'GVFund Exp'!AL182+AJ182+AN182+AP182-'GV Fund BS'!W182</f>
        <v>101933</v>
      </c>
      <c r="AS182" s="11"/>
    </row>
    <row r="183" spans="1:45" s="7" customFormat="1" ht="12.75" customHeight="1" x14ac:dyDescent="0.2">
      <c r="A183" s="6" t="s">
        <v>384</v>
      </c>
      <c r="C183" s="6" t="s">
        <v>151</v>
      </c>
      <c r="E183" s="8">
        <v>1726011</v>
      </c>
      <c r="F183" s="11"/>
      <c r="G183" s="8">
        <v>2351089</v>
      </c>
      <c r="H183" s="11"/>
      <c r="I183" s="8">
        <v>25833</v>
      </c>
      <c r="J183" s="11"/>
      <c r="K183" s="8">
        <v>79</v>
      </c>
      <c r="L183" s="11"/>
      <c r="M183" s="8">
        <v>1549539</v>
      </c>
      <c r="N183" s="11"/>
      <c r="O183" s="8">
        <v>97359</v>
      </c>
      <c r="P183" s="11"/>
      <c r="Q183" s="8">
        <v>0</v>
      </c>
      <c r="R183" s="11"/>
      <c r="S183" s="8">
        <v>230761</v>
      </c>
      <c r="T183" s="11"/>
      <c r="U183" s="8">
        <v>0</v>
      </c>
      <c r="V183" s="11"/>
      <c r="W183" s="11"/>
      <c r="X183" s="6"/>
      <c r="Z183" s="6"/>
      <c r="AA183" s="6"/>
      <c r="AB183" s="8">
        <v>93953</v>
      </c>
      <c r="AC183" s="20"/>
      <c r="AD183" s="8">
        <v>70355</v>
      </c>
      <c r="AE183" s="20"/>
      <c r="AF183" s="8">
        <v>0</v>
      </c>
      <c r="AG183" s="20"/>
      <c r="AH183" s="11">
        <f t="shared" si="11"/>
        <v>6144979</v>
      </c>
      <c r="AI183" s="11"/>
      <c r="AJ183" s="11">
        <v>0</v>
      </c>
      <c r="AK183" s="11"/>
      <c r="AL183" s="8">
        <v>419663</v>
      </c>
      <c r="AM183" s="8"/>
      <c r="AN183" s="8">
        <v>7036267</v>
      </c>
      <c r="AO183" s="8"/>
      <c r="AP183" s="8">
        <v>0</v>
      </c>
      <c r="AQ183" s="8"/>
      <c r="AR183" s="8">
        <f>+'GVFund Rev'!U183+'GVFund Rev'!W183-'GVFund Exp'!AH183-'GVFund Exp'!AL183+AJ183+AN183+AP183-'GV Fund BS'!W183</f>
        <v>0</v>
      </c>
      <c r="AS183" s="11"/>
    </row>
    <row r="184" spans="1:45" s="7" customFormat="1" ht="12.75" customHeight="1" x14ac:dyDescent="0.2">
      <c r="A184" s="6" t="s">
        <v>195</v>
      </c>
      <c r="C184" s="6" t="s">
        <v>161</v>
      </c>
      <c r="E184" s="8">
        <v>5264919</v>
      </c>
      <c r="F184" s="11"/>
      <c r="G184" s="8">
        <v>10249153</v>
      </c>
      <c r="H184" s="11"/>
      <c r="I184" s="8">
        <v>1218626</v>
      </c>
      <c r="J184" s="11"/>
      <c r="K184" s="8">
        <v>438905</v>
      </c>
      <c r="L184" s="11"/>
      <c r="M184" s="8">
        <v>3041510</v>
      </c>
      <c r="N184" s="11"/>
      <c r="O184" s="8">
        <v>719531</v>
      </c>
      <c r="P184" s="11"/>
      <c r="Q184" s="8">
        <v>642256</v>
      </c>
      <c r="R184" s="11"/>
      <c r="S184" s="8">
        <v>3137004</v>
      </c>
      <c r="T184" s="11"/>
      <c r="U184" s="8">
        <v>0</v>
      </c>
      <c r="V184" s="11"/>
      <c r="W184" s="11"/>
      <c r="X184" s="6"/>
      <c r="Z184" s="6"/>
      <c r="AA184" s="6"/>
      <c r="AB184" s="8">
        <v>8047510</v>
      </c>
      <c r="AC184" s="20"/>
      <c r="AD184" s="8">
        <v>672904</v>
      </c>
      <c r="AE184" s="20"/>
      <c r="AF184" s="8">
        <v>0</v>
      </c>
      <c r="AG184" s="20"/>
      <c r="AH184" s="11">
        <f t="shared" si="11"/>
        <v>33432318</v>
      </c>
      <c r="AI184" s="11"/>
      <c r="AJ184" s="11">
        <v>0</v>
      </c>
      <c r="AK184" s="11"/>
      <c r="AL184" s="8">
        <v>7692169</v>
      </c>
      <c r="AM184" s="8"/>
      <c r="AN184" s="8">
        <v>40557965</v>
      </c>
      <c r="AO184" s="8"/>
      <c r="AP184" s="8">
        <v>57159</v>
      </c>
      <c r="AQ184" s="8"/>
      <c r="AR184" s="8">
        <f>+'GVFund Rev'!U184+'GVFund Rev'!W184-'GVFund Exp'!AH184-'GVFund Exp'!AL184+AJ184+AN184+AP184-'GV Fund BS'!W184</f>
        <v>0</v>
      </c>
      <c r="AS184" s="11"/>
    </row>
    <row r="185" spans="1:45" s="9" customFormat="1" ht="12.75" customHeight="1" x14ac:dyDescent="0.2">
      <c r="A185" s="6" t="s">
        <v>196</v>
      </c>
      <c r="B185" s="7"/>
      <c r="C185" s="6" t="s">
        <v>197</v>
      </c>
      <c r="D185" s="7"/>
      <c r="E185" s="8">
        <v>1178901</v>
      </c>
      <c r="F185" s="11"/>
      <c r="G185" s="8">
        <f>1967615+450488</f>
        <v>2418103</v>
      </c>
      <c r="H185" s="11"/>
      <c r="I185" s="8">
        <v>0</v>
      </c>
      <c r="J185" s="11"/>
      <c r="K185" s="8">
        <v>335701</v>
      </c>
      <c r="L185" s="11"/>
      <c r="M185" s="8">
        <v>1310272</v>
      </c>
      <c r="N185" s="11"/>
      <c r="O185" s="8">
        <v>332224</v>
      </c>
      <c r="P185" s="11"/>
      <c r="Q185" s="8">
        <v>434596</v>
      </c>
      <c r="R185" s="11"/>
      <c r="S185" s="8">
        <v>1580497</v>
      </c>
      <c r="T185" s="11"/>
      <c r="U185" s="8">
        <v>0</v>
      </c>
      <c r="V185" s="11"/>
      <c r="W185" s="11"/>
      <c r="X185" s="6"/>
      <c r="Y185" s="7"/>
      <c r="Z185" s="6"/>
      <c r="AA185" s="6"/>
      <c r="AB185" s="8">
        <v>7920</v>
      </c>
      <c r="AC185" s="20"/>
      <c r="AD185" s="8">
        <v>48575</v>
      </c>
      <c r="AE185" s="20"/>
      <c r="AF185" s="8">
        <v>0</v>
      </c>
      <c r="AG185" s="20"/>
      <c r="AH185" s="11">
        <f t="shared" si="11"/>
        <v>7646789</v>
      </c>
      <c r="AI185" s="11"/>
      <c r="AJ185" s="11">
        <v>0</v>
      </c>
      <c r="AK185" s="11"/>
      <c r="AL185" s="8">
        <v>1336263</v>
      </c>
      <c r="AM185" s="8"/>
      <c r="AN185" s="8">
        <v>5878844</v>
      </c>
      <c r="AO185" s="8"/>
      <c r="AP185" s="8">
        <v>0</v>
      </c>
      <c r="AQ185" s="8"/>
      <c r="AR185" s="8">
        <f>+'GVFund Rev'!U185+'GVFund Rev'!W185-'GVFund Exp'!AH185-'GVFund Exp'!AL185+AJ185+AN185+AP185-'GV Fund BS'!W185</f>
        <v>0</v>
      </c>
      <c r="AS185" s="11"/>
    </row>
    <row r="186" spans="1:45" s="9" customFormat="1" ht="12.75" customHeight="1" x14ac:dyDescent="0.2">
      <c r="A186" s="19" t="s">
        <v>198</v>
      </c>
      <c r="C186" s="19" t="s">
        <v>101</v>
      </c>
      <c r="E186" s="11">
        <v>1567116</v>
      </c>
      <c r="F186" s="11"/>
      <c r="G186" s="11">
        <v>5570699</v>
      </c>
      <c r="H186" s="11"/>
      <c r="I186" s="11">
        <v>964925</v>
      </c>
      <c r="J186" s="11"/>
      <c r="K186" s="11">
        <v>127693</v>
      </c>
      <c r="L186" s="11"/>
      <c r="M186" s="11">
        <v>1209705</v>
      </c>
      <c r="N186" s="11"/>
      <c r="O186" s="11">
        <v>1345476</v>
      </c>
      <c r="P186" s="11"/>
      <c r="Q186" s="11">
        <v>0</v>
      </c>
      <c r="R186" s="11"/>
      <c r="S186" s="11">
        <v>1382482</v>
      </c>
      <c r="T186" s="11"/>
      <c r="U186" s="11">
        <v>0</v>
      </c>
      <c r="V186" s="11"/>
      <c r="W186" s="11"/>
      <c r="X186" s="6"/>
      <c r="Y186" s="7"/>
      <c r="Z186" s="6"/>
      <c r="AA186" s="6"/>
      <c r="AB186" s="11">
        <v>235000</v>
      </c>
      <c r="AC186" s="20"/>
      <c r="AD186" s="11">
        <v>72450</v>
      </c>
      <c r="AE186" s="20"/>
      <c r="AF186" s="7">
        <v>0</v>
      </c>
      <c r="AG186" s="20"/>
      <c r="AH186" s="11">
        <f t="shared" ref="AH186:AH208" si="12">SUM(E186:AF186)</f>
        <v>12475546</v>
      </c>
      <c r="AI186" s="11"/>
      <c r="AJ186" s="11">
        <v>0</v>
      </c>
      <c r="AK186" s="11"/>
      <c r="AL186" s="8">
        <v>2203288</v>
      </c>
      <c r="AM186" s="8"/>
      <c r="AN186" s="8">
        <v>13171965</v>
      </c>
      <c r="AO186" s="8"/>
      <c r="AP186" s="8">
        <v>0</v>
      </c>
      <c r="AQ186" s="8"/>
      <c r="AR186" s="8">
        <f>+'GVFund Rev'!U186+'GVFund Rev'!W186-'GVFund Exp'!AH186-'GVFund Exp'!AL186+AJ186+AN186+AP186-'GV Fund BS'!W186</f>
        <v>0</v>
      </c>
      <c r="AS186" s="22"/>
    </row>
    <row r="187" spans="1:45" s="7" customFormat="1" ht="12.75" customHeight="1" x14ac:dyDescent="0.2">
      <c r="A187" s="6" t="s">
        <v>199</v>
      </c>
      <c r="C187" s="6" t="s">
        <v>90</v>
      </c>
      <c r="E187" s="8">
        <v>5777433</v>
      </c>
      <c r="F187" s="11"/>
      <c r="G187" s="8">
        <v>6694103</v>
      </c>
      <c r="H187" s="11"/>
      <c r="I187" s="8">
        <v>201364</v>
      </c>
      <c r="J187" s="11"/>
      <c r="K187" s="8">
        <v>528871</v>
      </c>
      <c r="L187" s="11"/>
      <c r="M187" s="8">
        <v>3550420</v>
      </c>
      <c r="N187" s="11"/>
      <c r="O187" s="8">
        <v>619372</v>
      </c>
      <c r="P187" s="11"/>
      <c r="Q187" s="8">
        <v>0</v>
      </c>
      <c r="R187" s="11"/>
      <c r="S187" s="8">
        <v>616881</v>
      </c>
      <c r="T187" s="11"/>
      <c r="U187" s="8">
        <v>0</v>
      </c>
      <c r="V187" s="11"/>
      <c r="W187" s="11"/>
      <c r="X187" s="6"/>
      <c r="Z187" s="6"/>
      <c r="AA187" s="6"/>
      <c r="AB187" s="8">
        <v>1796045</v>
      </c>
      <c r="AC187" s="20"/>
      <c r="AD187" s="8">
        <v>311643</v>
      </c>
      <c r="AE187" s="20"/>
      <c r="AF187" s="8">
        <v>0</v>
      </c>
      <c r="AG187" s="20"/>
      <c r="AH187" s="11">
        <f t="shared" si="12"/>
        <v>20096132</v>
      </c>
      <c r="AI187" s="11"/>
      <c r="AJ187" s="11">
        <v>0</v>
      </c>
      <c r="AK187" s="11"/>
      <c r="AL187" s="8">
        <v>845900</v>
      </c>
      <c r="AM187" s="8"/>
      <c r="AN187" s="8">
        <v>10949891</v>
      </c>
      <c r="AO187" s="8"/>
      <c r="AP187" s="8">
        <v>2940</v>
      </c>
      <c r="AQ187" s="8"/>
      <c r="AR187" s="8">
        <f>+'GVFund Rev'!U187+'GVFund Rev'!W187-'GVFund Exp'!AH187-'GVFund Exp'!AL187+AJ187+AN187+AP187-'GV Fund BS'!W187</f>
        <v>0</v>
      </c>
      <c r="AS187" s="11"/>
    </row>
    <row r="188" spans="1:45" s="7" customFormat="1" ht="12.75" customHeight="1" x14ac:dyDescent="0.2">
      <c r="A188" s="6" t="s">
        <v>200</v>
      </c>
      <c r="C188" s="6" t="s">
        <v>25</v>
      </c>
      <c r="E188" s="8">
        <v>19938564</v>
      </c>
      <c r="F188" s="11"/>
      <c r="G188" s="8">
        <v>29690679</v>
      </c>
      <c r="H188" s="11"/>
      <c r="I188" s="8">
        <v>8152149</v>
      </c>
      <c r="J188" s="11"/>
      <c r="K188" s="8">
        <v>313348</v>
      </c>
      <c r="L188" s="11"/>
      <c r="M188" s="8">
        <v>5097750</v>
      </c>
      <c r="N188" s="11"/>
      <c r="O188" s="8">
        <v>3115956</v>
      </c>
      <c r="P188" s="11"/>
      <c r="Q188" s="8">
        <v>1692084</v>
      </c>
      <c r="R188" s="11"/>
      <c r="S188" s="8">
        <v>1052658</v>
      </c>
      <c r="T188" s="11"/>
      <c r="U188" s="8">
        <v>0</v>
      </c>
      <c r="V188" s="11"/>
      <c r="W188" s="11"/>
      <c r="X188" s="6"/>
      <c r="Z188" s="6"/>
      <c r="AA188" s="6"/>
      <c r="AB188" s="8">
        <v>3847182</v>
      </c>
      <c r="AC188" s="20"/>
      <c r="AD188" s="8">
        <v>1065054</v>
      </c>
      <c r="AE188" s="20"/>
      <c r="AF188" s="8">
        <v>0</v>
      </c>
      <c r="AG188" s="20"/>
      <c r="AH188" s="11">
        <f t="shared" si="12"/>
        <v>73965424</v>
      </c>
      <c r="AI188" s="11"/>
      <c r="AJ188" s="11">
        <v>0</v>
      </c>
      <c r="AK188" s="11"/>
      <c r="AL188" s="8">
        <v>8251917</v>
      </c>
      <c r="AM188" s="8"/>
      <c r="AN188" s="8">
        <v>14575801</v>
      </c>
      <c r="AO188" s="8"/>
      <c r="AP188" s="8">
        <v>0</v>
      </c>
      <c r="AQ188" s="8"/>
      <c r="AR188" s="8">
        <f>+'GVFund Rev'!U188+'GVFund Rev'!W188-'GVFund Exp'!AH188-'GVFund Exp'!AL188+AJ188+AN188+AP188-'GV Fund BS'!W188</f>
        <v>0</v>
      </c>
      <c r="AS188" s="11"/>
    </row>
    <row r="189" spans="1:45" s="7" customFormat="1" ht="12.75" customHeight="1" x14ac:dyDescent="0.2">
      <c r="A189" s="6" t="s">
        <v>201</v>
      </c>
      <c r="C189" s="6" t="s">
        <v>25</v>
      </c>
      <c r="E189" s="8">
        <v>2315688</v>
      </c>
      <c r="F189" s="11"/>
      <c r="G189" s="8">
        <v>9120446</v>
      </c>
      <c r="H189" s="11"/>
      <c r="I189" s="8">
        <v>2980760</v>
      </c>
      <c r="J189" s="11"/>
      <c r="K189" s="8">
        <v>376720</v>
      </c>
      <c r="L189" s="11"/>
      <c r="M189" s="8">
        <v>937320</v>
      </c>
      <c r="N189" s="11"/>
      <c r="O189" s="8">
        <v>577694</v>
      </c>
      <c r="P189" s="11"/>
      <c r="Q189" s="8">
        <v>177944</v>
      </c>
      <c r="R189" s="11"/>
      <c r="S189" s="8">
        <v>3384845</v>
      </c>
      <c r="T189" s="11"/>
      <c r="U189" s="8">
        <v>0</v>
      </c>
      <c r="V189" s="11"/>
      <c r="W189" s="11"/>
      <c r="X189" s="6"/>
      <c r="Z189" s="6"/>
      <c r="AA189" s="6"/>
      <c r="AB189" s="8">
        <v>1507870</v>
      </c>
      <c r="AC189" s="20"/>
      <c r="AD189" s="8">
        <v>236280</v>
      </c>
      <c r="AE189" s="20"/>
      <c r="AF189" s="8">
        <v>340953</v>
      </c>
      <c r="AG189" s="20"/>
      <c r="AH189" s="11">
        <f t="shared" si="12"/>
        <v>21956520</v>
      </c>
      <c r="AI189" s="11"/>
      <c r="AJ189" s="11">
        <v>0</v>
      </c>
      <c r="AK189" s="11"/>
      <c r="AL189" s="8">
        <f>353198+1705000</f>
        <v>2058198</v>
      </c>
      <c r="AM189" s="8"/>
      <c r="AN189" s="8">
        <v>-492457</v>
      </c>
      <c r="AO189" s="8"/>
      <c r="AP189" s="8">
        <v>0</v>
      </c>
      <c r="AQ189" s="8"/>
      <c r="AR189" s="8">
        <f>+'GVFund Rev'!U189+'GVFund Rev'!W189-'GVFund Exp'!AH189-'GVFund Exp'!AL189+AJ189+AN189+AP189-'GV Fund BS'!W189</f>
        <v>0</v>
      </c>
      <c r="AS189" s="11"/>
    </row>
    <row r="190" spans="1:45" s="7" customFormat="1" ht="12.75" customHeight="1" x14ac:dyDescent="0.2">
      <c r="A190" s="6" t="s">
        <v>202</v>
      </c>
      <c r="C190" s="6" t="s">
        <v>123</v>
      </c>
      <c r="E190" s="8">
        <v>1207191</v>
      </c>
      <c r="F190" s="11"/>
      <c r="G190" s="8">
        <v>1930465</v>
      </c>
      <c r="H190" s="11"/>
      <c r="I190" s="8">
        <v>592679</v>
      </c>
      <c r="J190" s="11"/>
      <c r="K190" s="8">
        <v>111485</v>
      </c>
      <c r="L190" s="11"/>
      <c r="M190" s="8">
        <v>2273208</v>
      </c>
      <c r="N190" s="11"/>
      <c r="O190" s="8">
        <v>33126</v>
      </c>
      <c r="P190" s="11"/>
      <c r="Q190" s="8">
        <v>0</v>
      </c>
      <c r="R190" s="11"/>
      <c r="S190" s="8">
        <v>2369511</v>
      </c>
      <c r="T190" s="11"/>
      <c r="U190" s="8">
        <v>0</v>
      </c>
      <c r="V190" s="11"/>
      <c r="W190" s="11"/>
      <c r="X190" s="6"/>
      <c r="Z190" s="6"/>
      <c r="AA190" s="6"/>
      <c r="AB190" s="8">
        <v>217568</v>
      </c>
      <c r="AC190" s="20"/>
      <c r="AD190" s="8">
        <v>39832</v>
      </c>
      <c r="AE190" s="20"/>
      <c r="AF190" s="8">
        <v>0</v>
      </c>
      <c r="AG190" s="20"/>
      <c r="AH190" s="11">
        <f t="shared" si="12"/>
        <v>8775065</v>
      </c>
      <c r="AI190" s="11"/>
      <c r="AJ190" s="11">
        <v>0</v>
      </c>
      <c r="AK190" s="11"/>
      <c r="AL190" s="8">
        <v>200000</v>
      </c>
      <c r="AM190" s="8"/>
      <c r="AN190" s="8">
        <v>6059333</v>
      </c>
      <c r="AO190" s="8"/>
      <c r="AP190" s="8">
        <v>0</v>
      </c>
      <c r="AQ190" s="8"/>
      <c r="AR190" s="8">
        <f>+'GVFund Rev'!U190+'GVFund Rev'!W190-'GVFund Exp'!AH190-'GVFund Exp'!AL190+AJ190+AN190+AP190-'GV Fund BS'!W190</f>
        <v>0</v>
      </c>
      <c r="AS190" s="11"/>
    </row>
    <row r="191" spans="1:45" s="7" customFormat="1" ht="12.75" customHeight="1" x14ac:dyDescent="0.2">
      <c r="A191" s="6" t="s">
        <v>203</v>
      </c>
      <c r="C191" s="6" t="s">
        <v>25</v>
      </c>
      <c r="E191" s="8">
        <v>1182492</v>
      </c>
      <c r="F191" s="11"/>
      <c r="G191" s="8">
        <f>2689728+1990006</f>
        <v>4679734</v>
      </c>
      <c r="H191" s="11"/>
      <c r="I191" s="8">
        <v>309786</v>
      </c>
      <c r="J191" s="11"/>
      <c r="K191" s="8">
        <v>51067</v>
      </c>
      <c r="L191" s="11"/>
      <c r="M191" s="8">
        <v>1291407</v>
      </c>
      <c r="N191" s="11"/>
      <c r="O191" s="8">
        <v>0</v>
      </c>
      <c r="P191" s="11"/>
      <c r="Q191" s="8">
        <v>1237572</v>
      </c>
      <c r="R191" s="11"/>
      <c r="S191" s="8">
        <v>284025</v>
      </c>
      <c r="T191" s="11"/>
      <c r="U191" s="8">
        <v>0</v>
      </c>
      <c r="V191" s="11"/>
      <c r="W191" s="11"/>
      <c r="X191" s="6"/>
      <c r="Z191" s="6"/>
      <c r="AA191" s="6"/>
      <c r="AB191" s="8">
        <v>453407</v>
      </c>
      <c r="AC191" s="20"/>
      <c r="AD191" s="8">
        <v>334686</v>
      </c>
      <c r="AE191" s="20"/>
      <c r="AF191" s="8">
        <v>0</v>
      </c>
      <c r="AG191" s="20"/>
      <c r="AH191" s="11">
        <f t="shared" si="12"/>
        <v>9824176</v>
      </c>
      <c r="AI191" s="11"/>
      <c r="AJ191" s="11">
        <v>0</v>
      </c>
      <c r="AK191" s="11"/>
      <c r="AL191" s="8">
        <v>975000</v>
      </c>
      <c r="AM191" s="8"/>
      <c r="AN191" s="8">
        <v>3814902</v>
      </c>
      <c r="AO191" s="8"/>
      <c r="AP191" s="8">
        <v>0</v>
      </c>
      <c r="AQ191" s="8"/>
      <c r="AR191" s="8">
        <f>+'GVFund Rev'!U191+'GVFund Rev'!W191-'GVFund Exp'!AH191-'GVFund Exp'!AL191+AJ191+AN191+AP191-'GV Fund BS'!W191</f>
        <v>0</v>
      </c>
      <c r="AS191" s="11"/>
    </row>
    <row r="192" spans="1:45" s="7" customFormat="1" ht="12.75" customHeight="1" x14ac:dyDescent="0.2">
      <c r="A192" s="6" t="s">
        <v>204</v>
      </c>
      <c r="C192" s="6" t="s">
        <v>45</v>
      </c>
      <c r="E192" s="8">
        <v>4541834</v>
      </c>
      <c r="F192" s="11"/>
      <c r="G192" s="8">
        <v>8522983</v>
      </c>
      <c r="H192" s="11"/>
      <c r="I192" s="8">
        <v>919123</v>
      </c>
      <c r="J192" s="11"/>
      <c r="K192" s="8">
        <v>29432</v>
      </c>
      <c r="L192" s="11"/>
      <c r="M192" s="8">
        <v>2865810</v>
      </c>
      <c r="N192" s="11"/>
      <c r="O192" s="8">
        <v>1343508</v>
      </c>
      <c r="P192" s="11"/>
      <c r="Q192" s="8">
        <v>1140141</v>
      </c>
      <c r="R192" s="11"/>
      <c r="S192" s="8">
        <v>1242571</v>
      </c>
      <c r="T192" s="11"/>
      <c r="U192" s="8">
        <v>0</v>
      </c>
      <c r="V192" s="11"/>
      <c r="W192" s="11"/>
      <c r="X192" s="6"/>
      <c r="Z192" s="6"/>
      <c r="AA192" s="6"/>
      <c r="AB192" s="8">
        <v>0</v>
      </c>
      <c r="AC192" s="20"/>
      <c r="AD192" s="8">
        <v>14725</v>
      </c>
      <c r="AE192" s="20"/>
      <c r="AF192" s="8">
        <v>0</v>
      </c>
      <c r="AG192" s="20"/>
      <c r="AH192" s="11">
        <f t="shared" si="12"/>
        <v>20620127</v>
      </c>
      <c r="AI192" s="11"/>
      <c r="AJ192" s="11">
        <v>0</v>
      </c>
      <c r="AK192" s="11"/>
      <c r="AL192" s="8">
        <v>2020583</v>
      </c>
      <c r="AM192" s="8"/>
      <c r="AN192" s="8">
        <v>9331489</v>
      </c>
      <c r="AO192" s="8"/>
      <c r="AP192" s="8">
        <v>13928</v>
      </c>
      <c r="AQ192" s="8"/>
      <c r="AR192" s="8">
        <f>+'GVFund Rev'!U192+'GVFund Rev'!W192-'GVFund Exp'!AH192-'GVFund Exp'!AL192+AJ192+AN192+AP192-'GV Fund BS'!W192</f>
        <v>0</v>
      </c>
      <c r="AS192" s="11"/>
    </row>
    <row r="193" spans="1:45" s="7" customFormat="1" ht="12.75" customHeight="1" x14ac:dyDescent="0.2">
      <c r="A193" s="6" t="s">
        <v>205</v>
      </c>
      <c r="C193" s="6" t="s">
        <v>100</v>
      </c>
      <c r="E193" s="8">
        <v>2766970</v>
      </c>
      <c r="F193" s="11"/>
      <c r="G193" s="8">
        <v>4384265</v>
      </c>
      <c r="H193" s="11"/>
      <c r="I193" s="8">
        <v>757051</v>
      </c>
      <c r="J193" s="11"/>
      <c r="K193" s="8">
        <v>127888</v>
      </c>
      <c r="L193" s="11"/>
      <c r="M193" s="8">
        <v>1547483</v>
      </c>
      <c r="N193" s="11"/>
      <c r="O193" s="8">
        <v>597519</v>
      </c>
      <c r="P193" s="11"/>
      <c r="Q193" s="8">
        <v>0</v>
      </c>
      <c r="R193" s="11"/>
      <c r="S193" s="8">
        <v>377048</v>
      </c>
      <c r="T193" s="11"/>
      <c r="U193" s="8">
        <v>0</v>
      </c>
      <c r="V193" s="11"/>
      <c r="W193" s="11"/>
      <c r="X193" s="6"/>
      <c r="Z193" s="6"/>
      <c r="AA193" s="6"/>
      <c r="AB193" s="8">
        <v>2162302</v>
      </c>
      <c r="AC193" s="20"/>
      <c r="AD193" s="8">
        <v>355737</v>
      </c>
      <c r="AE193" s="20"/>
      <c r="AF193" s="8">
        <f>5892000+125157</f>
        <v>6017157</v>
      </c>
      <c r="AG193" s="20"/>
      <c r="AH193" s="11">
        <f t="shared" si="12"/>
        <v>19093420</v>
      </c>
      <c r="AI193" s="11"/>
      <c r="AJ193" s="11">
        <v>0</v>
      </c>
      <c r="AK193" s="11"/>
      <c r="AL193" s="8">
        <f>1085273+5852225</f>
        <v>6937498</v>
      </c>
      <c r="AM193" s="8"/>
      <c r="AN193" s="8">
        <v>4672616</v>
      </c>
      <c r="AO193" s="8"/>
      <c r="AP193" s="8">
        <v>0</v>
      </c>
      <c r="AQ193" s="8"/>
      <c r="AR193" s="8">
        <f>+'GVFund Rev'!U193+'GVFund Rev'!W193-'GVFund Exp'!AH193-'GVFund Exp'!AL193+AJ193+AN193+AP193-'GV Fund BS'!W193</f>
        <v>0</v>
      </c>
      <c r="AS193" s="11"/>
    </row>
    <row r="194" spans="1:45" s="7" customFormat="1" ht="12.75" customHeight="1" x14ac:dyDescent="0.2">
      <c r="A194" s="6" t="s">
        <v>206</v>
      </c>
      <c r="C194" s="6" t="s">
        <v>207</v>
      </c>
      <c r="E194" s="8">
        <v>1310975</v>
      </c>
      <c r="F194" s="11"/>
      <c r="G194" s="8">
        <v>7375404</v>
      </c>
      <c r="H194" s="11"/>
      <c r="I194" s="8">
        <v>1973099</v>
      </c>
      <c r="J194" s="11"/>
      <c r="K194" s="8">
        <v>312330</v>
      </c>
      <c r="L194" s="11"/>
      <c r="M194" s="8">
        <v>1934451</v>
      </c>
      <c r="N194" s="11"/>
      <c r="O194" s="8">
        <v>418280</v>
      </c>
      <c r="P194" s="11"/>
      <c r="Q194" s="8">
        <v>58726</v>
      </c>
      <c r="R194" s="11"/>
      <c r="S194" s="8">
        <v>2704350</v>
      </c>
      <c r="T194" s="11"/>
      <c r="U194" s="8">
        <v>0</v>
      </c>
      <c r="V194" s="11"/>
      <c r="W194" s="11"/>
      <c r="X194" s="6"/>
      <c r="Z194" s="6"/>
      <c r="AA194" s="6"/>
      <c r="AB194" s="8">
        <v>221476</v>
      </c>
      <c r="AC194" s="20"/>
      <c r="AD194" s="8">
        <v>69815</v>
      </c>
      <c r="AE194" s="20"/>
      <c r="AF194" s="8">
        <v>0</v>
      </c>
      <c r="AG194" s="20"/>
      <c r="AH194" s="11">
        <f t="shared" si="12"/>
        <v>16378906</v>
      </c>
      <c r="AI194" s="11"/>
      <c r="AJ194" s="11">
        <v>0</v>
      </c>
      <c r="AK194" s="11"/>
      <c r="AL194" s="8">
        <v>671077</v>
      </c>
      <c r="AM194" s="8"/>
      <c r="AN194" s="8">
        <v>25806801</v>
      </c>
      <c r="AO194" s="8"/>
      <c r="AP194" s="8">
        <v>0</v>
      </c>
      <c r="AQ194" s="8"/>
      <c r="AR194" s="8">
        <f>+'GVFund Rev'!U194+'GVFund Rev'!W194-'GVFund Exp'!AH194-'GVFund Exp'!AL194+AJ194+AN194+AP194-'GV Fund BS'!W194</f>
        <v>0</v>
      </c>
      <c r="AS194" s="11"/>
    </row>
    <row r="195" spans="1:45" s="7" customFormat="1" ht="12.75" customHeight="1" x14ac:dyDescent="0.2">
      <c r="A195" s="7" t="s">
        <v>208</v>
      </c>
      <c r="C195" s="7" t="s">
        <v>209</v>
      </c>
      <c r="E195" s="8">
        <v>1685063</v>
      </c>
      <c r="F195" s="11"/>
      <c r="G195" s="8">
        <f>1760920+295599</f>
        <v>2056519</v>
      </c>
      <c r="H195" s="11"/>
      <c r="I195" s="8">
        <v>262721</v>
      </c>
      <c r="J195" s="11"/>
      <c r="K195" s="8">
        <v>214574</v>
      </c>
      <c r="L195" s="11"/>
      <c r="M195" s="8">
        <v>503835</v>
      </c>
      <c r="N195" s="11"/>
      <c r="O195" s="8">
        <v>58738</v>
      </c>
      <c r="P195" s="11"/>
      <c r="Q195" s="8">
        <v>0</v>
      </c>
      <c r="R195" s="11"/>
      <c r="S195" s="8">
        <v>227992</v>
      </c>
      <c r="T195" s="11"/>
      <c r="U195" s="8">
        <v>0</v>
      </c>
      <c r="V195" s="11"/>
      <c r="W195" s="11"/>
      <c r="X195" s="6"/>
      <c r="Z195" s="6"/>
      <c r="AA195" s="6"/>
      <c r="AB195" s="8">
        <v>98307</v>
      </c>
      <c r="AC195" s="20"/>
      <c r="AD195" s="8">
        <v>14699</v>
      </c>
      <c r="AE195" s="20"/>
      <c r="AF195" s="8">
        <v>0</v>
      </c>
      <c r="AG195" s="20"/>
      <c r="AH195" s="11">
        <f t="shared" si="12"/>
        <v>5122448</v>
      </c>
      <c r="AI195" s="11"/>
      <c r="AJ195" s="11">
        <v>0</v>
      </c>
      <c r="AK195" s="11"/>
      <c r="AL195" s="8">
        <v>555000</v>
      </c>
      <c r="AM195" s="8"/>
      <c r="AN195" s="8">
        <v>3019104</v>
      </c>
      <c r="AO195" s="8"/>
      <c r="AP195" s="8">
        <v>0</v>
      </c>
      <c r="AQ195" s="8"/>
      <c r="AR195" s="8">
        <f>+'GVFund Rev'!U195+'GVFund Rev'!W195-'GVFund Exp'!AH195-'GVFund Exp'!AL195+AJ195+AN195+AP195-'GV Fund BS'!W195</f>
        <v>0</v>
      </c>
      <c r="AS195" s="11"/>
    </row>
    <row r="196" spans="1:45" s="7" customFormat="1" ht="12.75" customHeight="1" x14ac:dyDescent="0.2">
      <c r="A196" s="7" t="s">
        <v>210</v>
      </c>
      <c r="C196" s="7" t="s">
        <v>211</v>
      </c>
      <c r="E196" s="8">
        <v>3370596</v>
      </c>
      <c r="F196" s="11"/>
      <c r="G196" s="8">
        <v>8141324</v>
      </c>
      <c r="H196" s="11"/>
      <c r="I196" s="8">
        <v>782291</v>
      </c>
      <c r="J196" s="11"/>
      <c r="K196" s="8">
        <v>2771180</v>
      </c>
      <c r="L196" s="11"/>
      <c r="M196" s="8">
        <v>1361080</v>
      </c>
      <c r="N196" s="11"/>
      <c r="O196" s="8">
        <v>65033</v>
      </c>
      <c r="P196" s="11"/>
      <c r="Q196" s="8">
        <v>0</v>
      </c>
      <c r="R196" s="11"/>
      <c r="S196" s="8">
        <v>1830744</v>
      </c>
      <c r="T196" s="11"/>
      <c r="U196" s="8">
        <v>0</v>
      </c>
      <c r="V196" s="11"/>
      <c r="W196" s="11"/>
      <c r="X196" s="6"/>
      <c r="Z196" s="6"/>
      <c r="AA196" s="6"/>
      <c r="AB196" s="8">
        <v>286885</v>
      </c>
      <c r="AC196" s="20"/>
      <c r="AD196" s="8">
        <v>114338</v>
      </c>
      <c r="AE196" s="20"/>
      <c r="AF196" s="8">
        <v>0</v>
      </c>
      <c r="AG196" s="20"/>
      <c r="AH196" s="11">
        <f t="shared" si="12"/>
        <v>18723471</v>
      </c>
      <c r="AI196" s="11"/>
      <c r="AJ196" s="11">
        <v>0</v>
      </c>
      <c r="AK196" s="11"/>
      <c r="AL196" s="8">
        <v>40862</v>
      </c>
      <c r="AM196" s="8"/>
      <c r="AN196" s="8">
        <v>3155093</v>
      </c>
      <c r="AO196" s="8"/>
      <c r="AP196" s="8">
        <v>-15329</v>
      </c>
      <c r="AQ196" s="8"/>
      <c r="AR196" s="8">
        <f>+'GVFund Rev'!U196+'GVFund Rev'!W196-'GVFund Exp'!AH196-'GVFund Exp'!AL196+AJ196+AN196+AP196-'GV Fund BS'!W196</f>
        <v>0</v>
      </c>
      <c r="AS196" s="11"/>
    </row>
    <row r="197" spans="1:45" s="7" customFormat="1" ht="12.75" customHeight="1" x14ac:dyDescent="0.2">
      <c r="A197" s="7" t="s">
        <v>212</v>
      </c>
      <c r="C197" s="7" t="s">
        <v>84</v>
      </c>
      <c r="E197" s="8">
        <v>1574518</v>
      </c>
      <c r="F197" s="11"/>
      <c r="G197" s="8">
        <v>2156837</v>
      </c>
      <c r="H197" s="11"/>
      <c r="I197" s="8">
        <v>10475823</v>
      </c>
      <c r="J197" s="11"/>
      <c r="K197" s="8">
        <v>0</v>
      </c>
      <c r="L197" s="11"/>
      <c r="M197" s="8">
        <v>0</v>
      </c>
      <c r="N197" s="11"/>
      <c r="O197" s="8">
        <v>561995</v>
      </c>
      <c r="P197" s="11"/>
      <c r="Q197" s="8">
        <v>1112297</v>
      </c>
      <c r="R197" s="11"/>
      <c r="S197" s="8">
        <v>982630</v>
      </c>
      <c r="T197" s="11"/>
      <c r="U197" s="8">
        <v>0</v>
      </c>
      <c r="V197" s="11"/>
      <c r="W197" s="11"/>
      <c r="X197" s="6"/>
      <c r="Z197" s="6"/>
      <c r="AA197" s="6"/>
      <c r="AB197" s="8">
        <v>1730000</v>
      </c>
      <c r="AC197" s="20"/>
      <c r="AD197" s="8">
        <v>979789</v>
      </c>
      <c r="AE197" s="20"/>
      <c r="AF197" s="8">
        <v>359443</v>
      </c>
      <c r="AG197" s="20"/>
      <c r="AH197" s="11">
        <f t="shared" si="12"/>
        <v>19933332</v>
      </c>
      <c r="AI197" s="11"/>
      <c r="AJ197" s="11">
        <v>0</v>
      </c>
      <c r="AK197" s="11"/>
      <c r="AL197" s="8">
        <v>216341</v>
      </c>
      <c r="AM197" s="8"/>
      <c r="AN197" s="8">
        <v>8856115</v>
      </c>
      <c r="AO197" s="8"/>
      <c r="AP197" s="8">
        <v>0</v>
      </c>
      <c r="AQ197" s="8"/>
      <c r="AR197" s="8">
        <f>+'GVFund Rev'!U197+'GVFund Rev'!W197-'GVFund Exp'!AH197-'GVFund Exp'!AL197+AJ197+AN197+AP197-'GV Fund BS'!W197</f>
        <v>0</v>
      </c>
      <c r="AS197" s="11"/>
    </row>
    <row r="198" spans="1:45" s="7" customFormat="1" ht="12.75" customHeight="1" x14ac:dyDescent="0.2">
      <c r="A198" s="6" t="s">
        <v>213</v>
      </c>
      <c r="C198" s="6" t="s">
        <v>20</v>
      </c>
      <c r="E198" s="8">
        <v>1440213</v>
      </c>
      <c r="F198" s="11"/>
      <c r="G198" s="8">
        <f>3128897+1915880</f>
        <v>5044777</v>
      </c>
      <c r="H198" s="11"/>
      <c r="I198" s="8">
        <v>833705</v>
      </c>
      <c r="J198" s="11"/>
      <c r="K198" s="8">
        <v>226978</v>
      </c>
      <c r="L198" s="11"/>
      <c r="M198" s="8">
        <v>1317381</v>
      </c>
      <c r="N198" s="11"/>
      <c r="O198" s="8">
        <v>764938</v>
      </c>
      <c r="P198" s="11"/>
      <c r="Q198" s="8">
        <v>0</v>
      </c>
      <c r="R198" s="11"/>
      <c r="S198" s="8">
        <v>3800692</v>
      </c>
      <c r="T198" s="11"/>
      <c r="U198" s="8">
        <v>0</v>
      </c>
      <c r="V198" s="11"/>
      <c r="W198" s="11"/>
      <c r="X198" s="6"/>
      <c r="Z198" s="6"/>
      <c r="AA198" s="6"/>
      <c r="AB198" s="8">
        <v>419232</v>
      </c>
      <c r="AC198" s="20"/>
      <c r="AD198" s="8">
        <v>372791</v>
      </c>
      <c r="AE198" s="20"/>
      <c r="AF198" s="8">
        <v>35619</v>
      </c>
      <c r="AG198" s="20"/>
      <c r="AH198" s="11">
        <f t="shared" si="12"/>
        <v>14256326</v>
      </c>
      <c r="AI198" s="11"/>
      <c r="AJ198" s="11">
        <v>0</v>
      </c>
      <c r="AK198" s="11"/>
      <c r="AL198" s="8">
        <v>175256</v>
      </c>
      <c r="AM198" s="8"/>
      <c r="AN198" s="8">
        <v>13291892</v>
      </c>
      <c r="AO198" s="8"/>
      <c r="AP198" s="8">
        <v>0</v>
      </c>
      <c r="AQ198" s="8"/>
      <c r="AR198" s="8">
        <f>+'GVFund Rev'!U198+'GVFund Rev'!W198-'GVFund Exp'!AH198-'GVFund Exp'!AL198+AJ198+AN198+AP198-'GV Fund BS'!W198</f>
        <v>0</v>
      </c>
      <c r="AS198" s="11"/>
    </row>
    <row r="199" spans="1:45" s="7" customFormat="1" ht="12.75" customHeight="1" x14ac:dyDescent="0.2">
      <c r="A199" s="6" t="s">
        <v>214</v>
      </c>
      <c r="C199" s="6" t="s">
        <v>43</v>
      </c>
      <c r="E199" s="8">
        <v>1867817</v>
      </c>
      <c r="F199" s="11"/>
      <c r="G199" s="8">
        <v>5136649</v>
      </c>
      <c r="H199" s="11"/>
      <c r="I199" s="8">
        <v>173317</v>
      </c>
      <c r="J199" s="11"/>
      <c r="K199" s="8">
        <v>5190</v>
      </c>
      <c r="L199" s="11"/>
      <c r="M199" s="8">
        <v>944528</v>
      </c>
      <c r="N199" s="11"/>
      <c r="O199" s="8">
        <v>435217</v>
      </c>
      <c r="P199" s="11"/>
      <c r="Q199" s="8">
        <v>473346</v>
      </c>
      <c r="R199" s="11"/>
      <c r="S199" s="8">
        <v>1916013</v>
      </c>
      <c r="T199" s="11"/>
      <c r="U199" s="8">
        <v>0</v>
      </c>
      <c r="V199" s="11"/>
      <c r="W199" s="11"/>
      <c r="X199" s="6"/>
      <c r="Z199" s="6"/>
      <c r="AA199" s="6"/>
      <c r="AB199" s="8">
        <v>227702</v>
      </c>
      <c r="AC199" s="20"/>
      <c r="AD199" s="8">
        <v>81859</v>
      </c>
      <c r="AE199" s="20"/>
      <c r="AF199" s="8">
        <v>0</v>
      </c>
      <c r="AG199" s="20"/>
      <c r="AH199" s="11">
        <f t="shared" si="12"/>
        <v>11261638</v>
      </c>
      <c r="AI199" s="11"/>
      <c r="AJ199" s="11">
        <v>0</v>
      </c>
      <c r="AK199" s="11"/>
      <c r="AL199" s="8">
        <v>203960</v>
      </c>
      <c r="AM199" s="8"/>
      <c r="AN199" s="8">
        <v>2479410</v>
      </c>
      <c r="AO199" s="8"/>
      <c r="AP199" s="8">
        <v>0</v>
      </c>
      <c r="AQ199" s="8"/>
      <c r="AR199" s="8">
        <f>+'GVFund Rev'!U199+'GVFund Rev'!W199-'GVFund Exp'!AH199-'GVFund Exp'!AL199+AJ199+AN199+AP199-'GV Fund BS'!W199</f>
        <v>0</v>
      </c>
      <c r="AS199" s="11"/>
    </row>
    <row r="200" spans="1:45" s="7" customFormat="1" ht="12.75" customHeight="1" x14ac:dyDescent="0.2">
      <c r="A200" s="6" t="s">
        <v>215</v>
      </c>
      <c r="C200" s="6" t="s">
        <v>41</v>
      </c>
      <c r="E200" s="8">
        <v>4680351</v>
      </c>
      <c r="F200" s="11"/>
      <c r="G200" s="8">
        <v>8440986</v>
      </c>
      <c r="H200" s="11"/>
      <c r="I200" s="8">
        <v>1255097</v>
      </c>
      <c r="J200" s="11"/>
      <c r="K200" s="8">
        <v>205667</v>
      </c>
      <c r="L200" s="11"/>
      <c r="M200" s="8">
        <v>1697216</v>
      </c>
      <c r="N200" s="11"/>
      <c r="O200" s="8">
        <v>956195</v>
      </c>
      <c r="P200" s="11"/>
      <c r="Q200" s="8">
        <v>0</v>
      </c>
      <c r="R200" s="11"/>
      <c r="S200" s="8">
        <v>277912</v>
      </c>
      <c r="T200" s="11"/>
      <c r="U200" s="8">
        <v>0</v>
      </c>
      <c r="V200" s="11"/>
      <c r="W200" s="11"/>
      <c r="X200" s="6"/>
      <c r="Z200" s="6"/>
      <c r="AA200" s="6"/>
      <c r="AB200" s="8">
        <v>1906909</v>
      </c>
      <c r="AC200" s="20"/>
      <c r="AD200" s="8">
        <v>958308</v>
      </c>
      <c r="AE200" s="20"/>
      <c r="AF200" s="8">
        <v>295000</v>
      </c>
      <c r="AG200" s="20"/>
      <c r="AH200" s="11">
        <f t="shared" si="12"/>
        <v>20673641</v>
      </c>
      <c r="AI200" s="11"/>
      <c r="AJ200" s="11">
        <v>0</v>
      </c>
      <c r="AK200" s="11"/>
      <c r="AL200" s="8">
        <f>7622276+150000</f>
        <v>7772276</v>
      </c>
      <c r="AM200" s="8"/>
      <c r="AN200" s="8">
        <v>15802783</v>
      </c>
      <c r="AO200" s="8"/>
      <c r="AP200" s="8">
        <v>-25063</v>
      </c>
      <c r="AQ200" s="8"/>
      <c r="AR200" s="8">
        <f>+'GVFund Rev'!U200+'GVFund Rev'!W200-'GVFund Exp'!AH200-'GVFund Exp'!AL200+AJ200+AN200+AP200-'GV Fund BS'!W200</f>
        <v>0</v>
      </c>
      <c r="AS200" s="11"/>
    </row>
    <row r="201" spans="1:45" s="7" customFormat="1" ht="12.75" customHeight="1" x14ac:dyDescent="0.2">
      <c r="A201" s="6" t="s">
        <v>216</v>
      </c>
      <c r="C201" s="6" t="s">
        <v>25</v>
      </c>
      <c r="E201" s="8">
        <v>1624289</v>
      </c>
      <c r="F201" s="11"/>
      <c r="G201" s="8">
        <v>5188422</v>
      </c>
      <c r="H201" s="11"/>
      <c r="I201" s="8">
        <v>303650</v>
      </c>
      <c r="J201" s="11"/>
      <c r="K201" s="8">
        <v>0</v>
      </c>
      <c r="L201" s="11"/>
      <c r="M201" s="8">
        <v>1306729</v>
      </c>
      <c r="N201" s="11"/>
      <c r="O201" s="8">
        <v>334876</v>
      </c>
      <c r="P201" s="11"/>
      <c r="Q201" s="8">
        <v>0</v>
      </c>
      <c r="R201" s="11"/>
      <c r="S201" s="8">
        <v>307264</v>
      </c>
      <c r="T201" s="11"/>
      <c r="U201" s="8">
        <v>0</v>
      </c>
      <c r="V201" s="11"/>
      <c r="W201" s="11"/>
      <c r="X201" s="6"/>
      <c r="Z201" s="6"/>
      <c r="AA201" s="6"/>
      <c r="AB201" s="8">
        <v>2850979</v>
      </c>
      <c r="AC201" s="20"/>
      <c r="AD201" s="8">
        <v>587066</v>
      </c>
      <c r="AE201" s="20"/>
      <c r="AF201" s="8">
        <v>0</v>
      </c>
      <c r="AG201" s="20"/>
      <c r="AH201" s="11">
        <f t="shared" si="12"/>
        <v>12503275</v>
      </c>
      <c r="AI201" s="11"/>
      <c r="AJ201" s="11">
        <v>0</v>
      </c>
      <c r="AK201" s="11"/>
      <c r="AL201" s="8">
        <v>1856330</v>
      </c>
      <c r="AM201" s="8"/>
      <c r="AN201" s="8">
        <v>1460225</v>
      </c>
      <c r="AO201" s="8"/>
      <c r="AP201" s="8">
        <v>0</v>
      </c>
      <c r="AQ201" s="8"/>
      <c r="AR201" s="8">
        <f>+'GVFund Rev'!U201+'GVFund Rev'!W201-'GVFund Exp'!AH201-'GVFund Exp'!AL201+AJ201+AN201+AP201-'GV Fund BS'!W201</f>
        <v>0</v>
      </c>
      <c r="AS201" s="11"/>
    </row>
    <row r="202" spans="1:45" s="7" customFormat="1" ht="12.75" customHeight="1" x14ac:dyDescent="0.2">
      <c r="A202" s="6" t="s">
        <v>217</v>
      </c>
      <c r="C202" s="6" t="s">
        <v>197</v>
      </c>
      <c r="E202" s="8">
        <v>548792</v>
      </c>
      <c r="F202" s="11"/>
      <c r="G202" s="8">
        <v>1593473</v>
      </c>
      <c r="H202" s="11"/>
      <c r="I202" s="8">
        <v>0</v>
      </c>
      <c r="J202" s="11"/>
      <c r="K202" s="8">
        <v>124775</v>
      </c>
      <c r="L202" s="11"/>
      <c r="M202" s="8">
        <v>1177820</v>
      </c>
      <c r="N202" s="11"/>
      <c r="O202" s="8">
        <v>438544</v>
      </c>
      <c r="P202" s="11"/>
      <c r="Q202" s="8">
        <v>142612</v>
      </c>
      <c r="R202" s="11"/>
      <c r="S202" s="8">
        <v>0</v>
      </c>
      <c r="T202" s="11"/>
      <c r="U202" s="8">
        <v>0</v>
      </c>
      <c r="V202" s="11"/>
      <c r="W202" s="11"/>
      <c r="X202" s="6"/>
      <c r="Z202" s="6"/>
      <c r="AA202" s="6"/>
      <c r="AB202" s="8">
        <v>99589</v>
      </c>
      <c r="AC202" s="20"/>
      <c r="AD202" s="8">
        <v>39345</v>
      </c>
      <c r="AE202" s="20"/>
      <c r="AF202" s="8">
        <v>0</v>
      </c>
      <c r="AG202" s="20"/>
      <c r="AH202" s="11">
        <f t="shared" si="12"/>
        <v>4164950</v>
      </c>
      <c r="AI202" s="11"/>
      <c r="AJ202" s="11">
        <v>0</v>
      </c>
      <c r="AK202" s="11"/>
      <c r="AL202" s="8">
        <v>135000</v>
      </c>
      <c r="AM202" s="8"/>
      <c r="AN202" s="8">
        <v>2091541</v>
      </c>
      <c r="AO202" s="8"/>
      <c r="AP202" s="8">
        <v>0</v>
      </c>
      <c r="AQ202" s="8"/>
      <c r="AR202" s="8">
        <f>+'GVFund Rev'!U202+'GVFund Rev'!W202-'GVFund Exp'!AH202-'GVFund Exp'!AL202+AJ202+AN202+AP202-'GV Fund BS'!W202</f>
        <v>0</v>
      </c>
      <c r="AS202" s="11"/>
    </row>
    <row r="203" spans="1:45" s="7" customFormat="1" ht="12.75" customHeight="1" x14ac:dyDescent="0.2">
      <c r="A203" s="6" t="s">
        <v>218</v>
      </c>
      <c r="C203" s="6" t="s">
        <v>64</v>
      </c>
      <c r="E203" s="8">
        <v>2259818</v>
      </c>
      <c r="F203" s="11"/>
      <c r="G203" s="8">
        <v>5986547</v>
      </c>
      <c r="H203" s="11"/>
      <c r="I203" s="8">
        <v>557741</v>
      </c>
      <c r="J203" s="11"/>
      <c r="K203" s="8">
        <v>6576</v>
      </c>
      <c r="L203" s="11"/>
      <c r="M203" s="8">
        <v>1645238</v>
      </c>
      <c r="N203" s="11"/>
      <c r="O203" s="8">
        <v>27966</v>
      </c>
      <c r="P203" s="11"/>
      <c r="Q203" s="8">
        <v>0</v>
      </c>
      <c r="R203" s="11"/>
      <c r="S203" s="8">
        <v>553462</v>
      </c>
      <c r="T203" s="11"/>
      <c r="U203" s="8">
        <v>0</v>
      </c>
      <c r="V203" s="11"/>
      <c r="W203" s="11"/>
      <c r="X203" s="6"/>
      <c r="Z203" s="6"/>
      <c r="AA203" s="6"/>
      <c r="AB203" s="8">
        <v>334074</v>
      </c>
      <c r="AC203" s="20"/>
      <c r="AD203" s="8">
        <v>78226</v>
      </c>
      <c r="AE203" s="20"/>
      <c r="AF203" s="8">
        <v>0</v>
      </c>
      <c r="AG203" s="20"/>
      <c r="AH203" s="11">
        <f t="shared" si="12"/>
        <v>11449648</v>
      </c>
      <c r="AI203" s="11"/>
      <c r="AJ203" s="11">
        <v>0</v>
      </c>
      <c r="AK203" s="11"/>
      <c r="AL203" s="8">
        <v>4632510</v>
      </c>
      <c r="AM203" s="8"/>
      <c r="AN203" s="8">
        <v>9943329</v>
      </c>
      <c r="AO203" s="8"/>
      <c r="AP203" s="8">
        <v>0</v>
      </c>
      <c r="AQ203" s="8"/>
      <c r="AR203" s="8">
        <f>+'GVFund Rev'!U203+'GVFund Rev'!W203-'GVFund Exp'!AH203-'GVFund Exp'!AL203+AJ203+AN203+AP203-'GV Fund BS'!W203</f>
        <v>0</v>
      </c>
      <c r="AS203" s="11"/>
    </row>
    <row r="204" spans="1:45" s="7" customFormat="1" ht="12.75" customHeight="1" x14ac:dyDescent="0.2">
      <c r="A204" s="6" t="s">
        <v>219</v>
      </c>
      <c r="C204" s="6" t="s">
        <v>25</v>
      </c>
      <c r="E204" s="8">
        <v>5106984</v>
      </c>
      <c r="F204" s="11"/>
      <c r="G204" s="8">
        <v>8785151</v>
      </c>
      <c r="H204" s="11"/>
      <c r="I204" s="8">
        <v>766902</v>
      </c>
      <c r="J204" s="11"/>
      <c r="K204" s="8">
        <v>1061178</v>
      </c>
      <c r="L204" s="11"/>
      <c r="M204" s="8">
        <v>1702865</v>
      </c>
      <c r="N204" s="11"/>
      <c r="O204" s="8">
        <v>3170232</v>
      </c>
      <c r="P204" s="11"/>
      <c r="Q204" s="8">
        <v>4481802</v>
      </c>
      <c r="R204" s="11"/>
      <c r="S204" s="8">
        <v>1035843</v>
      </c>
      <c r="T204" s="11"/>
      <c r="U204" s="8">
        <v>0</v>
      </c>
      <c r="V204" s="11"/>
      <c r="W204" s="11"/>
      <c r="X204" s="6"/>
      <c r="Z204" s="6"/>
      <c r="AA204" s="6"/>
      <c r="AB204" s="8">
        <v>1268289</v>
      </c>
      <c r="AC204" s="20"/>
      <c r="AD204" s="8">
        <v>685370</v>
      </c>
      <c r="AE204" s="20"/>
      <c r="AF204" s="8">
        <v>0</v>
      </c>
      <c r="AG204" s="20"/>
      <c r="AH204" s="11">
        <f t="shared" si="12"/>
        <v>28064616</v>
      </c>
      <c r="AI204" s="11"/>
      <c r="AJ204" s="11">
        <v>0</v>
      </c>
      <c r="AK204" s="11"/>
      <c r="AL204" s="8">
        <v>3994000</v>
      </c>
      <c r="AM204" s="8"/>
      <c r="AN204" s="8">
        <v>9140946</v>
      </c>
      <c r="AO204" s="8"/>
      <c r="AP204" s="8">
        <v>0</v>
      </c>
      <c r="AQ204" s="8"/>
      <c r="AR204" s="8">
        <f>+'GVFund Rev'!U204+'GVFund Rev'!W204-'GVFund Exp'!AH204-'GVFund Exp'!AL204+AJ204+AN204+AP204-'GV Fund BS'!W204</f>
        <v>0</v>
      </c>
      <c r="AS204" s="11"/>
    </row>
    <row r="205" spans="1:45" s="7" customFormat="1" ht="12.75" customHeight="1" x14ac:dyDescent="0.2">
      <c r="A205" s="6" t="s">
        <v>220</v>
      </c>
      <c r="C205" s="6" t="s">
        <v>45</v>
      </c>
      <c r="E205" s="8">
        <v>1434595</v>
      </c>
      <c r="F205" s="11"/>
      <c r="G205" s="8">
        <v>2207023</v>
      </c>
      <c r="H205" s="11"/>
      <c r="I205" s="8">
        <v>0</v>
      </c>
      <c r="J205" s="11"/>
      <c r="K205" s="8">
        <v>0</v>
      </c>
      <c r="L205" s="11"/>
      <c r="M205" s="8">
        <v>737565</v>
      </c>
      <c r="N205" s="11"/>
      <c r="O205" s="8">
        <v>316544</v>
      </c>
      <c r="P205" s="11"/>
      <c r="Q205" s="8">
        <v>257033</v>
      </c>
      <c r="R205" s="11"/>
      <c r="S205" s="8">
        <v>660235</v>
      </c>
      <c r="T205" s="11"/>
      <c r="U205" s="8">
        <v>0</v>
      </c>
      <c r="V205" s="11"/>
      <c r="W205" s="11"/>
      <c r="X205" s="6"/>
      <c r="Z205" s="6"/>
      <c r="AA205" s="6"/>
      <c r="AB205" s="8">
        <v>262440</v>
      </c>
      <c r="AC205" s="20"/>
      <c r="AD205" s="8">
        <v>66558</v>
      </c>
      <c r="AE205" s="20"/>
      <c r="AF205" s="8">
        <v>134694</v>
      </c>
      <c r="AG205" s="20"/>
      <c r="AH205" s="11">
        <f t="shared" si="12"/>
        <v>6076687</v>
      </c>
      <c r="AI205" s="11"/>
      <c r="AJ205" s="11">
        <v>0</v>
      </c>
      <c r="AK205" s="11"/>
      <c r="AL205" s="8">
        <f>2865019+802318</f>
        <v>3667337</v>
      </c>
      <c r="AM205" s="8"/>
      <c r="AN205" s="8">
        <v>7508994</v>
      </c>
      <c r="AO205" s="8"/>
      <c r="AP205" s="8">
        <v>0</v>
      </c>
      <c r="AQ205" s="8"/>
      <c r="AR205" s="8">
        <f>+'GVFund Rev'!U205+'GVFund Rev'!W205-'GVFund Exp'!AH205-'GVFund Exp'!AL205+AJ205+AN205+AP205-'GV Fund BS'!W205</f>
        <v>0</v>
      </c>
      <c r="AS205" s="11"/>
    </row>
    <row r="206" spans="1:45" s="7" customFormat="1" ht="12.75" customHeight="1" x14ac:dyDescent="0.2">
      <c r="A206" s="6" t="s">
        <v>221</v>
      </c>
      <c r="C206" s="6" t="s">
        <v>92</v>
      </c>
      <c r="E206" s="8">
        <v>1369942</v>
      </c>
      <c r="F206" s="11"/>
      <c r="G206" s="8">
        <v>3510490</v>
      </c>
      <c r="H206" s="11"/>
      <c r="I206" s="8">
        <v>571457</v>
      </c>
      <c r="J206" s="11"/>
      <c r="K206" s="8">
        <v>105917</v>
      </c>
      <c r="L206" s="11"/>
      <c r="M206" s="8">
        <v>655505</v>
      </c>
      <c r="N206" s="11"/>
      <c r="O206" s="8">
        <v>429219</v>
      </c>
      <c r="P206" s="11"/>
      <c r="Q206" s="8">
        <v>0</v>
      </c>
      <c r="R206" s="11"/>
      <c r="S206" s="8">
        <v>825604</v>
      </c>
      <c r="T206" s="11"/>
      <c r="U206" s="8">
        <v>0</v>
      </c>
      <c r="V206" s="11"/>
      <c r="W206" s="11"/>
      <c r="X206" s="6"/>
      <c r="Z206" s="6"/>
      <c r="AA206" s="6"/>
      <c r="AB206" s="8">
        <v>223662</v>
      </c>
      <c r="AC206" s="20"/>
      <c r="AD206" s="8">
        <v>150331</v>
      </c>
      <c r="AE206" s="20"/>
      <c r="AF206" s="8">
        <v>0</v>
      </c>
      <c r="AG206" s="20"/>
      <c r="AH206" s="11">
        <f t="shared" si="12"/>
        <v>7842127</v>
      </c>
      <c r="AI206" s="11"/>
      <c r="AJ206" s="11">
        <v>0</v>
      </c>
      <c r="AK206" s="11"/>
      <c r="AL206" s="8">
        <v>723532</v>
      </c>
      <c r="AM206" s="8"/>
      <c r="AN206" s="8">
        <v>1891314</v>
      </c>
      <c r="AO206" s="8"/>
      <c r="AP206" s="8">
        <v>0</v>
      </c>
      <c r="AQ206" s="8"/>
      <c r="AR206" s="8">
        <f>+'GVFund Rev'!U206+'GVFund Rev'!W206-'GVFund Exp'!AH206-'GVFund Exp'!AL206+AJ206+AN206+AP206-'GV Fund BS'!W206</f>
        <v>0</v>
      </c>
      <c r="AS206" s="11"/>
    </row>
    <row r="207" spans="1:45" s="9" customFormat="1" ht="12.75" customHeight="1" x14ac:dyDescent="0.2">
      <c r="A207" s="6" t="s">
        <v>74</v>
      </c>
      <c r="B207" s="7"/>
      <c r="C207" s="6" t="s">
        <v>130</v>
      </c>
      <c r="D207" s="7"/>
      <c r="E207" s="8">
        <f>981662+2829493</f>
        <v>3811155</v>
      </c>
      <c r="F207" s="11"/>
      <c r="G207" s="8">
        <f>5066185+5512695+244688</f>
        <v>10823568</v>
      </c>
      <c r="H207" s="11"/>
      <c r="I207" s="8">
        <v>3060559</v>
      </c>
      <c r="J207" s="11"/>
      <c r="K207" s="8">
        <v>310763</v>
      </c>
      <c r="L207" s="11"/>
      <c r="M207" s="8">
        <v>3178728</v>
      </c>
      <c r="N207" s="11"/>
      <c r="O207" s="8">
        <v>455973</v>
      </c>
      <c r="P207" s="11"/>
      <c r="Q207" s="8">
        <v>128727</v>
      </c>
      <c r="R207" s="11"/>
      <c r="S207" s="8">
        <v>803610</v>
      </c>
      <c r="T207" s="11"/>
      <c r="U207" s="8">
        <v>0</v>
      </c>
      <c r="V207" s="11"/>
      <c r="W207" s="11"/>
      <c r="X207" s="6"/>
      <c r="Y207" s="7"/>
      <c r="Z207" s="6"/>
      <c r="AA207" s="6"/>
      <c r="AB207" s="8">
        <v>1500472</v>
      </c>
      <c r="AC207" s="20"/>
      <c r="AD207" s="8">
        <v>896912</v>
      </c>
      <c r="AE207" s="20"/>
      <c r="AF207" s="8">
        <v>0</v>
      </c>
      <c r="AG207" s="20"/>
      <c r="AH207" s="11">
        <f t="shared" si="12"/>
        <v>24970467</v>
      </c>
      <c r="AI207" s="11"/>
      <c r="AJ207" s="11">
        <v>0</v>
      </c>
      <c r="AK207" s="11"/>
      <c r="AL207" s="8">
        <v>2961277</v>
      </c>
      <c r="AM207" s="8"/>
      <c r="AN207" s="8">
        <v>5240418</v>
      </c>
      <c r="AO207" s="8"/>
      <c r="AP207" s="8">
        <v>0</v>
      </c>
      <c r="AQ207" s="8"/>
      <c r="AR207" s="8">
        <f>+'GVFund Rev'!U207+'GVFund Rev'!W207-'GVFund Exp'!AH207-'GVFund Exp'!AL207+AJ207+AN207+AP207-'GV Fund BS'!W207</f>
        <v>0</v>
      </c>
      <c r="AS207" s="11"/>
    </row>
    <row r="208" spans="1:45" s="7" customFormat="1" ht="12.75" customHeight="1" x14ac:dyDescent="0.2">
      <c r="A208" s="19" t="s">
        <v>222</v>
      </c>
      <c r="B208" s="9"/>
      <c r="C208" s="19" t="s">
        <v>25</v>
      </c>
      <c r="D208" s="9"/>
      <c r="E208" s="8">
        <v>1696530</v>
      </c>
      <c r="F208" s="11"/>
      <c r="G208" s="8">
        <v>3747224</v>
      </c>
      <c r="H208" s="11"/>
      <c r="I208" s="8">
        <v>543946</v>
      </c>
      <c r="J208" s="11"/>
      <c r="K208" s="8">
        <v>707806</v>
      </c>
      <c r="L208" s="11"/>
      <c r="M208" s="8">
        <v>1010409</v>
      </c>
      <c r="N208" s="11"/>
      <c r="O208" s="8">
        <v>1048713</v>
      </c>
      <c r="P208" s="11"/>
      <c r="Q208" s="8">
        <v>2825</v>
      </c>
      <c r="R208" s="11"/>
      <c r="S208" s="8">
        <v>2063426</v>
      </c>
      <c r="T208" s="11"/>
      <c r="U208" s="8">
        <v>0</v>
      </c>
      <c r="V208" s="11"/>
      <c r="W208" s="11"/>
      <c r="X208" s="6"/>
      <c r="Z208" s="6"/>
      <c r="AA208" s="6"/>
      <c r="AB208" s="8">
        <v>587648</v>
      </c>
      <c r="AC208" s="20"/>
      <c r="AD208" s="8">
        <v>684195</v>
      </c>
      <c r="AE208" s="20"/>
      <c r="AF208" s="8">
        <v>0</v>
      </c>
      <c r="AG208" s="20"/>
      <c r="AH208" s="11">
        <f t="shared" si="12"/>
        <v>12092722</v>
      </c>
      <c r="AI208" s="11"/>
      <c r="AJ208" s="11">
        <v>0</v>
      </c>
      <c r="AK208" s="11"/>
      <c r="AL208" s="8">
        <v>1963546</v>
      </c>
      <c r="AM208" s="8"/>
      <c r="AN208" s="8">
        <v>3686069</v>
      </c>
      <c r="AO208" s="8"/>
      <c r="AP208" s="8">
        <v>0</v>
      </c>
      <c r="AQ208" s="8"/>
      <c r="AR208" s="8">
        <f>+'GVFund Rev'!U208+'GVFund Rev'!W208-'GVFund Exp'!AH208-'GVFund Exp'!AL208+AJ208+AN208+AP208-'GV Fund BS'!W208</f>
        <v>0</v>
      </c>
      <c r="AS208" s="11"/>
    </row>
    <row r="209" spans="1:45" s="7" customFormat="1" ht="12.75" customHeight="1" x14ac:dyDescent="0.2">
      <c r="A209" s="6" t="s">
        <v>223</v>
      </c>
      <c r="C209" s="6" t="s">
        <v>25</v>
      </c>
      <c r="E209" s="8">
        <f>4606651+2289084</f>
        <v>6895735</v>
      </c>
      <c r="F209" s="11"/>
      <c r="G209" s="8">
        <f>13638952+7499513+761434</f>
        <v>21899899</v>
      </c>
      <c r="H209" s="11"/>
      <c r="I209" s="8">
        <v>6106375</v>
      </c>
      <c r="J209" s="11"/>
      <c r="K209" s="8">
        <v>559412</v>
      </c>
      <c r="L209" s="11"/>
      <c r="M209" s="8">
        <v>3609356</v>
      </c>
      <c r="N209" s="11"/>
      <c r="O209" s="8">
        <f>2540382+967975</f>
        <v>3508357</v>
      </c>
      <c r="P209" s="11"/>
      <c r="Q209" s="8">
        <f>4359148+2557354</f>
        <v>6916502</v>
      </c>
      <c r="R209" s="11"/>
      <c r="S209" s="8">
        <v>0</v>
      </c>
      <c r="T209" s="11"/>
      <c r="U209" s="8">
        <v>0</v>
      </c>
      <c r="V209" s="11"/>
      <c r="W209" s="11"/>
      <c r="X209" s="6"/>
      <c r="Z209" s="6"/>
      <c r="AA209" s="6"/>
      <c r="AB209" s="8">
        <v>3582069</v>
      </c>
      <c r="AC209" s="20"/>
      <c r="AD209" s="8">
        <v>542033</v>
      </c>
      <c r="AE209" s="20"/>
      <c r="AF209" s="8">
        <v>176460</v>
      </c>
      <c r="AG209" s="20"/>
      <c r="AH209" s="11">
        <f t="shared" ref="AH209" si="13">SUM(E209:AF209)</f>
        <v>53796198</v>
      </c>
      <c r="AI209" s="11"/>
      <c r="AJ209" s="11">
        <v>0</v>
      </c>
      <c r="AK209" s="11"/>
      <c r="AL209" s="8">
        <f>4671495+13744754</f>
        <v>18416249</v>
      </c>
      <c r="AM209" s="8"/>
      <c r="AN209" s="8">
        <v>37720218</v>
      </c>
      <c r="AO209" s="8"/>
      <c r="AP209" s="8">
        <v>0</v>
      </c>
      <c r="AQ209" s="8"/>
      <c r="AR209" s="8">
        <f>+'GVFund Rev'!U209+'GVFund Rev'!W209-'GVFund Exp'!AH209-'GVFund Exp'!AL209+AJ209+AN209+AP209-'GV Fund BS'!W209</f>
        <v>0</v>
      </c>
      <c r="AS209" s="11"/>
    </row>
    <row r="210" spans="1:45" s="9" customFormat="1" ht="12.75" customHeight="1" x14ac:dyDescent="0.2">
      <c r="A210" s="19" t="s">
        <v>224</v>
      </c>
      <c r="C210" s="19" t="s">
        <v>43</v>
      </c>
      <c r="E210" s="8">
        <v>3193038</v>
      </c>
      <c r="F210" s="11"/>
      <c r="G210" s="8">
        <v>11723745</v>
      </c>
      <c r="H210" s="11"/>
      <c r="I210" s="8">
        <v>482632</v>
      </c>
      <c r="J210" s="11"/>
      <c r="K210" s="8">
        <v>369086</v>
      </c>
      <c r="L210" s="11"/>
      <c r="M210" s="8">
        <v>2265281</v>
      </c>
      <c r="N210" s="11"/>
      <c r="O210" s="8">
        <v>2587134</v>
      </c>
      <c r="P210" s="11"/>
      <c r="Q210" s="8">
        <v>511018</v>
      </c>
      <c r="R210" s="11"/>
      <c r="S210" s="8">
        <v>2285638</v>
      </c>
      <c r="T210" s="11"/>
      <c r="U210" s="8">
        <v>0</v>
      </c>
      <c r="V210" s="11"/>
      <c r="W210" s="11"/>
      <c r="X210" s="6"/>
      <c r="Y210" s="7"/>
      <c r="Z210" s="6"/>
      <c r="AA210" s="6"/>
      <c r="AB210" s="8">
        <v>1426471</v>
      </c>
      <c r="AC210" s="20"/>
      <c r="AD210" s="8">
        <v>476693</v>
      </c>
      <c r="AE210" s="20"/>
      <c r="AF210" s="8">
        <v>854584</v>
      </c>
      <c r="AG210" s="20"/>
      <c r="AH210" s="11">
        <f t="shared" ref="AH210:AH226" si="14">SUM(E210:AF210)</f>
        <v>26175320</v>
      </c>
      <c r="AI210" s="11"/>
      <c r="AJ210" s="11">
        <v>0</v>
      </c>
      <c r="AK210" s="11"/>
      <c r="AL210" s="8">
        <f>5104206+4144334</f>
        <v>9248540</v>
      </c>
      <c r="AM210" s="40"/>
      <c r="AN210" s="40">
        <v>11531175</v>
      </c>
      <c r="AO210" s="40"/>
      <c r="AP210" s="40">
        <v>-3951</v>
      </c>
      <c r="AQ210" s="40"/>
      <c r="AR210" s="40">
        <f>+'GVFund Rev'!U210+'GVFund Rev'!W210-'GVFund Exp'!AH210-'GVFund Exp'!AL210+AJ210+AN210+AP210-'GV Fund BS'!W210</f>
        <v>0</v>
      </c>
      <c r="AS210" s="22"/>
    </row>
    <row r="211" spans="1:45" s="9" customFormat="1" ht="12.75" customHeight="1" x14ac:dyDescent="0.2">
      <c r="A211" s="19" t="s">
        <v>225</v>
      </c>
      <c r="C211" s="19" t="s">
        <v>15</v>
      </c>
      <c r="E211" s="8">
        <v>971409</v>
      </c>
      <c r="F211" s="11"/>
      <c r="G211" s="8">
        <v>3366891</v>
      </c>
      <c r="H211" s="11"/>
      <c r="I211" s="8">
        <v>98006</v>
      </c>
      <c r="J211" s="11"/>
      <c r="K211" s="8">
        <v>35536</v>
      </c>
      <c r="L211" s="11"/>
      <c r="M211" s="8">
        <v>695173</v>
      </c>
      <c r="N211" s="11"/>
      <c r="O211" s="8">
        <v>118136</v>
      </c>
      <c r="P211" s="11"/>
      <c r="Q211" s="8">
        <v>693127</v>
      </c>
      <c r="R211" s="11"/>
      <c r="S211" s="8">
        <v>0</v>
      </c>
      <c r="T211" s="11"/>
      <c r="U211" s="8">
        <v>0</v>
      </c>
      <c r="V211" s="11"/>
      <c r="W211" s="11"/>
      <c r="X211" s="6"/>
      <c r="Y211" s="7"/>
      <c r="Z211" s="6"/>
      <c r="AA211" s="6"/>
      <c r="AB211" s="8">
        <f>489027+125000+18061+24450</f>
        <v>656538</v>
      </c>
      <c r="AC211" s="20"/>
      <c r="AD211" s="8">
        <v>169305</v>
      </c>
      <c r="AE211" s="20"/>
      <c r="AF211" s="8">
        <v>0</v>
      </c>
      <c r="AG211" s="20"/>
      <c r="AH211" s="11">
        <f t="shared" si="14"/>
        <v>6804121</v>
      </c>
      <c r="AI211" s="11"/>
      <c r="AJ211" s="11">
        <v>0</v>
      </c>
      <c r="AK211" s="11"/>
      <c r="AL211" s="8">
        <v>0</v>
      </c>
      <c r="AM211" s="8"/>
      <c r="AN211" s="8">
        <v>1898490</v>
      </c>
      <c r="AO211" s="8"/>
      <c r="AP211" s="8">
        <v>0</v>
      </c>
      <c r="AQ211" s="8"/>
      <c r="AR211" s="8">
        <f>+'GVFund Rev'!U211+'GVFund Rev'!W211-'GVFund Exp'!AH211-'GVFund Exp'!AL211+AJ211+AN211+AP211-'GV Fund BS'!W211</f>
        <v>0</v>
      </c>
      <c r="AS211" s="22"/>
    </row>
    <row r="212" spans="1:45" s="9" customFormat="1" ht="12.75" customHeight="1" x14ac:dyDescent="0.2">
      <c r="A212" s="6" t="s">
        <v>226</v>
      </c>
      <c r="B212" s="7"/>
      <c r="C212" s="6" t="s">
        <v>151</v>
      </c>
      <c r="D212" s="7"/>
      <c r="E212" s="8">
        <v>1074382</v>
      </c>
      <c r="F212" s="11"/>
      <c r="G212" s="8">
        <v>3232060</v>
      </c>
      <c r="H212" s="11"/>
      <c r="I212" s="8">
        <v>715060</v>
      </c>
      <c r="J212" s="11"/>
      <c r="K212" s="8">
        <v>291224</v>
      </c>
      <c r="L212" s="11"/>
      <c r="M212" s="8">
        <v>530087</v>
      </c>
      <c r="N212" s="11"/>
      <c r="O212" s="8">
        <v>66373</v>
      </c>
      <c r="P212" s="11"/>
      <c r="Q212" s="8">
        <v>28775</v>
      </c>
      <c r="R212" s="11"/>
      <c r="S212" s="8">
        <v>1672232</v>
      </c>
      <c r="T212" s="11"/>
      <c r="U212" s="8">
        <v>0</v>
      </c>
      <c r="V212" s="11"/>
      <c r="W212" s="11"/>
      <c r="X212" s="6"/>
      <c r="Y212" s="7"/>
      <c r="Z212" s="6"/>
      <c r="AA212" s="6"/>
      <c r="AB212" s="8">
        <v>297932</v>
      </c>
      <c r="AC212" s="20"/>
      <c r="AD212" s="8">
        <v>304947</v>
      </c>
      <c r="AE212" s="20"/>
      <c r="AF212" s="8">
        <v>0</v>
      </c>
      <c r="AG212" s="20"/>
      <c r="AH212" s="11">
        <f t="shared" si="14"/>
        <v>8213072</v>
      </c>
      <c r="AI212" s="11"/>
      <c r="AJ212" s="11">
        <v>0</v>
      </c>
      <c r="AK212" s="11"/>
      <c r="AL212" s="8">
        <v>305000</v>
      </c>
      <c r="AM212" s="8"/>
      <c r="AN212" s="8">
        <v>10722562</v>
      </c>
      <c r="AO212" s="8"/>
      <c r="AP212" s="8">
        <v>5890</v>
      </c>
      <c r="AQ212" s="8"/>
      <c r="AR212" s="8">
        <f>+'GVFund Rev'!U212+'GVFund Rev'!W212-'GVFund Exp'!AH212-'GVFund Exp'!AL212+AJ212+AN212+AP212-'GV Fund BS'!W212</f>
        <v>0</v>
      </c>
      <c r="AS212" s="22"/>
    </row>
    <row r="213" spans="1:45" s="7" customFormat="1" ht="12.75" customHeight="1" x14ac:dyDescent="0.2">
      <c r="A213" s="6" t="s">
        <v>227</v>
      </c>
      <c r="C213" s="6" t="s">
        <v>226</v>
      </c>
      <c r="E213" s="8">
        <f>833851+1470021</f>
        <v>2303872</v>
      </c>
      <c r="F213" s="11"/>
      <c r="G213" s="8">
        <f>5644443+4387264</f>
        <v>10031707</v>
      </c>
      <c r="H213" s="11"/>
      <c r="I213" s="8">
        <f>324004+704250</f>
        <v>1028254</v>
      </c>
      <c r="J213" s="11"/>
      <c r="K213" s="8">
        <v>164201</v>
      </c>
      <c r="L213" s="11"/>
      <c r="M213" s="8">
        <f>5643+1304441</f>
        <v>1310084</v>
      </c>
      <c r="N213" s="11"/>
      <c r="O213" s="8">
        <v>1260922</v>
      </c>
      <c r="P213" s="11"/>
      <c r="Q213" s="8">
        <v>61779</v>
      </c>
      <c r="R213" s="11"/>
      <c r="S213" s="8">
        <v>2933601</v>
      </c>
      <c r="T213" s="11"/>
      <c r="U213" s="8">
        <v>0</v>
      </c>
      <c r="V213" s="11"/>
      <c r="W213" s="11"/>
      <c r="X213" s="6"/>
      <c r="Z213" s="6"/>
      <c r="AA213" s="6"/>
      <c r="AB213" s="8">
        <v>585000</v>
      </c>
      <c r="AC213" s="20"/>
      <c r="AD213" s="8">
        <v>302424</v>
      </c>
      <c r="AE213" s="20"/>
      <c r="AF213" s="8">
        <v>0</v>
      </c>
      <c r="AG213" s="20"/>
      <c r="AH213" s="11">
        <f t="shared" si="14"/>
        <v>19981844</v>
      </c>
      <c r="AI213" s="11"/>
      <c r="AJ213" s="11">
        <v>0</v>
      </c>
      <c r="AK213" s="11"/>
      <c r="AL213" s="8">
        <v>470500</v>
      </c>
      <c r="AM213" s="8"/>
      <c r="AN213" s="8">
        <v>9013747</v>
      </c>
      <c r="AO213" s="8"/>
      <c r="AP213" s="8">
        <v>0</v>
      </c>
      <c r="AQ213" s="8"/>
      <c r="AR213" s="8">
        <f>+'GVFund Rev'!U213+'GVFund Rev'!W213-'GVFund Exp'!AH213-'GVFund Exp'!AL213+AJ213+AN213+AP213-'GV Fund BS'!W213</f>
        <v>0</v>
      </c>
      <c r="AS213" s="11"/>
    </row>
    <row r="214" spans="1:45" s="7" customFormat="1" ht="12.75" hidden="1" customHeight="1" x14ac:dyDescent="0.2">
      <c r="A214" s="6" t="s">
        <v>228</v>
      </c>
      <c r="C214" s="6" t="s">
        <v>43</v>
      </c>
      <c r="E214" s="8"/>
      <c r="F214" s="11"/>
      <c r="G214" s="8"/>
      <c r="H214" s="11"/>
      <c r="I214" s="8"/>
      <c r="J214" s="11"/>
      <c r="K214" s="8"/>
      <c r="L214" s="11"/>
      <c r="M214" s="8"/>
      <c r="N214" s="11"/>
      <c r="O214" s="8"/>
      <c r="P214" s="11"/>
      <c r="Q214" s="8"/>
      <c r="R214" s="11"/>
      <c r="S214" s="8"/>
      <c r="T214" s="11"/>
      <c r="U214" s="8"/>
      <c r="V214" s="11"/>
      <c r="W214" s="11"/>
      <c r="X214" s="6"/>
      <c r="Z214" s="6"/>
      <c r="AA214" s="6"/>
      <c r="AB214" s="8"/>
      <c r="AC214" s="20"/>
      <c r="AD214" s="8"/>
      <c r="AE214" s="20"/>
      <c r="AF214" s="8"/>
      <c r="AG214" s="20"/>
      <c r="AH214" s="11">
        <f t="shared" si="14"/>
        <v>0</v>
      </c>
      <c r="AI214" s="11"/>
      <c r="AJ214" s="11">
        <v>0</v>
      </c>
      <c r="AK214" s="11"/>
      <c r="AL214" s="8"/>
      <c r="AM214" s="8"/>
      <c r="AN214" s="8"/>
      <c r="AO214" s="8"/>
      <c r="AP214" s="8"/>
      <c r="AQ214" s="8"/>
      <c r="AR214" s="8">
        <f>+'GVFund Rev'!U214+'GVFund Rev'!W214-'GVFund Exp'!AH214-'GVFund Exp'!AL214+AJ214+AN214+AP214-'GV Fund BS'!W214</f>
        <v>0</v>
      </c>
    </row>
    <row r="215" spans="1:45" s="7" customFormat="1" ht="12.75" customHeight="1" x14ac:dyDescent="0.2">
      <c r="A215" s="6" t="s">
        <v>229</v>
      </c>
      <c r="C215" s="6" t="s">
        <v>25</v>
      </c>
      <c r="E215" s="8">
        <v>4649342</v>
      </c>
      <c r="F215" s="11"/>
      <c r="G215" s="8">
        <f>8538190+7877662+246909</f>
        <v>16662761</v>
      </c>
      <c r="H215" s="11"/>
      <c r="I215" s="8">
        <v>3075063</v>
      </c>
      <c r="J215" s="11"/>
      <c r="K215" s="8">
        <v>94691</v>
      </c>
      <c r="L215" s="11"/>
      <c r="M215" s="8">
        <v>5983241</v>
      </c>
      <c r="N215" s="11"/>
      <c r="O215" s="8">
        <v>5952381</v>
      </c>
      <c r="P215" s="11"/>
      <c r="Q215" s="8">
        <v>2002298</v>
      </c>
      <c r="R215" s="11"/>
      <c r="S215" s="8">
        <v>9245520</v>
      </c>
      <c r="T215" s="11"/>
      <c r="U215" s="8">
        <v>0</v>
      </c>
      <c r="V215" s="11"/>
      <c r="W215" s="11"/>
      <c r="X215" s="6"/>
      <c r="Z215" s="6"/>
      <c r="AA215" s="6"/>
      <c r="AB215" s="8">
        <v>5415516</v>
      </c>
      <c r="AC215" s="20"/>
      <c r="AD215" s="8">
        <v>469946</v>
      </c>
      <c r="AE215" s="20"/>
      <c r="AF215" s="8">
        <v>0</v>
      </c>
      <c r="AG215" s="20"/>
      <c r="AH215" s="11">
        <f t="shared" si="14"/>
        <v>53550759</v>
      </c>
      <c r="AI215" s="11"/>
      <c r="AJ215" s="11">
        <v>0</v>
      </c>
      <c r="AK215" s="11"/>
      <c r="AL215" s="8">
        <v>5300000</v>
      </c>
      <c r="AM215" s="8"/>
      <c r="AN215" s="8">
        <v>33883334</v>
      </c>
      <c r="AO215" s="8"/>
      <c r="AP215" s="8">
        <v>0</v>
      </c>
      <c r="AQ215" s="8"/>
      <c r="AR215" s="8">
        <f>+'GVFund Rev'!U215+'GVFund Rev'!W215-'GVFund Exp'!AH215-'GVFund Exp'!AL215+AJ215+AN215+AP215-'GV Fund BS'!W215</f>
        <v>0</v>
      </c>
      <c r="AS215" s="11"/>
    </row>
    <row r="216" spans="1:45" s="7" customFormat="1" ht="12.75" customHeight="1" x14ac:dyDescent="0.2">
      <c r="A216" s="19" t="s">
        <v>230</v>
      </c>
      <c r="B216" s="9"/>
      <c r="C216" s="19" t="s">
        <v>25</v>
      </c>
      <c r="D216" s="9"/>
      <c r="E216" s="8">
        <f>2352189+770977</f>
        <v>3123166</v>
      </c>
      <c r="F216" s="11"/>
      <c r="G216" s="8">
        <f>5418874+3937662</f>
        <v>9356536</v>
      </c>
      <c r="H216" s="11"/>
      <c r="I216" s="8">
        <v>198062</v>
      </c>
      <c r="J216" s="11"/>
      <c r="K216" s="8">
        <v>131696</v>
      </c>
      <c r="L216" s="11"/>
      <c r="M216" s="8">
        <v>1685118</v>
      </c>
      <c r="N216" s="11"/>
      <c r="O216" s="8">
        <v>239857</v>
      </c>
      <c r="P216" s="11"/>
      <c r="Q216" s="8">
        <f>687476+2463543+252428</f>
        <v>3403447</v>
      </c>
      <c r="R216" s="11"/>
      <c r="S216" s="8">
        <v>6779249</v>
      </c>
      <c r="T216" s="11"/>
      <c r="U216" s="8">
        <v>0</v>
      </c>
      <c r="V216" s="11"/>
      <c r="W216" s="11"/>
      <c r="X216" s="6"/>
      <c r="Z216" s="6"/>
      <c r="AA216" s="6"/>
      <c r="AB216" s="8">
        <v>1015974</v>
      </c>
      <c r="AC216" s="20"/>
      <c r="AD216" s="8">
        <v>365171</v>
      </c>
      <c r="AE216" s="20"/>
      <c r="AF216" s="8">
        <v>317786</v>
      </c>
      <c r="AG216" s="20"/>
      <c r="AH216" s="11">
        <f t="shared" si="14"/>
        <v>26616062</v>
      </c>
      <c r="AI216" s="11"/>
      <c r="AJ216" s="11">
        <v>0</v>
      </c>
      <c r="AK216" s="11"/>
      <c r="AL216" s="8">
        <v>799651</v>
      </c>
      <c r="AM216" s="8"/>
      <c r="AN216" s="8">
        <v>-5078428</v>
      </c>
      <c r="AO216" s="8"/>
      <c r="AP216" s="8">
        <v>0</v>
      </c>
      <c r="AQ216" s="8"/>
      <c r="AR216" s="8">
        <f>+'GVFund Rev'!U216+'GVFund Rev'!W216-'GVFund Exp'!AH216-'GVFund Exp'!AL216+AJ216+AN216+AP216-'GV Fund BS'!W216</f>
        <v>0</v>
      </c>
      <c r="AS216" s="11"/>
    </row>
    <row r="217" spans="1:45" s="7" customFormat="1" ht="12.75" customHeight="1" x14ac:dyDescent="0.2">
      <c r="A217" s="6" t="s">
        <v>231</v>
      </c>
      <c r="C217" s="6" t="s">
        <v>109</v>
      </c>
      <c r="E217" s="8">
        <v>4026518</v>
      </c>
      <c r="F217" s="11"/>
      <c r="G217" s="8">
        <v>2935104</v>
      </c>
      <c r="H217" s="11"/>
      <c r="I217" s="8">
        <v>587997</v>
      </c>
      <c r="J217" s="11"/>
      <c r="K217" s="8">
        <v>14723</v>
      </c>
      <c r="L217" s="11"/>
      <c r="M217" s="8">
        <v>798160</v>
      </c>
      <c r="N217" s="11"/>
      <c r="O217" s="8">
        <v>565858</v>
      </c>
      <c r="P217" s="11"/>
      <c r="Q217" s="8">
        <v>0</v>
      </c>
      <c r="R217" s="11"/>
      <c r="S217" s="8">
        <v>4975287</v>
      </c>
      <c r="T217" s="11"/>
      <c r="U217" s="8">
        <v>0</v>
      </c>
      <c r="V217" s="11"/>
      <c r="W217" s="11"/>
      <c r="X217" s="6"/>
      <c r="Z217" s="6"/>
      <c r="AA217" s="6"/>
      <c r="AB217" s="8">
        <v>1375000</v>
      </c>
      <c r="AC217" s="20"/>
      <c r="AD217" s="8">
        <v>618544</v>
      </c>
      <c r="AE217" s="20"/>
      <c r="AF217" s="8">
        <v>0</v>
      </c>
      <c r="AG217" s="20"/>
      <c r="AH217" s="11">
        <f t="shared" si="14"/>
        <v>15897191</v>
      </c>
      <c r="AI217" s="11"/>
      <c r="AJ217" s="11">
        <v>0</v>
      </c>
      <c r="AK217" s="11"/>
      <c r="AL217" s="8">
        <v>9200517</v>
      </c>
      <c r="AM217" s="8"/>
      <c r="AN217" s="8">
        <v>15149962</v>
      </c>
      <c r="AO217" s="8"/>
      <c r="AP217" s="8">
        <v>15491</v>
      </c>
      <c r="AQ217" s="8"/>
      <c r="AR217" s="8">
        <f>+'GVFund Rev'!U217+'GVFund Rev'!W217-'GVFund Exp'!AH217-'GVFund Exp'!AL217+AJ217+AN217+AP217-'GV Fund BS'!W217</f>
        <v>0</v>
      </c>
      <c r="AS217" s="11"/>
    </row>
    <row r="218" spans="1:45" s="7" customFormat="1" ht="12.75" customHeight="1" x14ac:dyDescent="0.2">
      <c r="A218" s="6" t="s">
        <v>232</v>
      </c>
      <c r="C218" s="6" t="s">
        <v>43</v>
      </c>
      <c r="E218" s="8">
        <v>3954504</v>
      </c>
      <c r="F218" s="11"/>
      <c r="G218" s="8">
        <v>8166456</v>
      </c>
      <c r="H218" s="11"/>
      <c r="I218" s="8">
        <v>540791</v>
      </c>
      <c r="J218" s="11"/>
      <c r="K218" s="8">
        <v>325675</v>
      </c>
      <c r="L218" s="11"/>
      <c r="M218" s="8">
        <v>1199094</v>
      </c>
      <c r="N218" s="11"/>
      <c r="O218" s="8">
        <v>1372690</v>
      </c>
      <c r="P218" s="11"/>
      <c r="Q218" s="8">
        <v>0</v>
      </c>
      <c r="R218" s="11"/>
      <c r="S218" s="8">
        <v>2570843</v>
      </c>
      <c r="T218" s="11"/>
      <c r="U218" s="8">
        <v>0</v>
      </c>
      <c r="V218" s="11"/>
      <c r="W218" s="11"/>
      <c r="X218" s="6"/>
      <c r="Z218" s="6"/>
      <c r="AA218" s="6"/>
      <c r="AB218" s="8">
        <v>592276</v>
      </c>
      <c r="AC218" s="20"/>
      <c r="AD218" s="8">
        <v>258505</v>
      </c>
      <c r="AE218" s="20"/>
      <c r="AF218" s="8">
        <v>0</v>
      </c>
      <c r="AG218" s="20"/>
      <c r="AH218" s="11">
        <f t="shared" si="14"/>
        <v>18980834</v>
      </c>
      <c r="AI218" s="11"/>
      <c r="AJ218" s="11">
        <v>0</v>
      </c>
      <c r="AK218" s="11"/>
      <c r="AL218" s="8">
        <f>1900000+1037500</f>
        <v>2937500</v>
      </c>
      <c r="AM218" s="8"/>
      <c r="AN218" s="8">
        <v>7922871</v>
      </c>
      <c r="AO218" s="8"/>
      <c r="AP218" s="8">
        <v>0</v>
      </c>
      <c r="AQ218" s="8"/>
      <c r="AR218" s="8">
        <f>+'GVFund Rev'!U218+'GVFund Rev'!W218-'GVFund Exp'!AH218-'GVFund Exp'!AL218+AJ218+AN218+AP218-'GV Fund BS'!W218</f>
        <v>0</v>
      </c>
      <c r="AS218" s="11"/>
    </row>
    <row r="219" spans="1:45" s="7" customFormat="1" ht="12.75" customHeight="1" x14ac:dyDescent="0.2">
      <c r="A219" s="6" t="s">
        <v>233</v>
      </c>
      <c r="C219" s="6" t="s">
        <v>181</v>
      </c>
      <c r="E219" s="8">
        <v>10533071</v>
      </c>
      <c r="F219" s="11"/>
      <c r="G219" s="8">
        <v>28862383</v>
      </c>
      <c r="H219" s="11"/>
      <c r="I219" s="8">
        <v>4887889</v>
      </c>
      <c r="J219" s="11"/>
      <c r="K219" s="8">
        <v>212596</v>
      </c>
      <c r="L219" s="11"/>
      <c r="M219" s="8">
        <v>3972111</v>
      </c>
      <c r="N219" s="11"/>
      <c r="O219" s="8">
        <v>1875870</v>
      </c>
      <c r="P219" s="11"/>
      <c r="Q219" s="8">
        <v>222661</v>
      </c>
      <c r="R219" s="11"/>
      <c r="S219" s="8">
        <v>5435764</v>
      </c>
      <c r="T219" s="11"/>
      <c r="U219" s="8">
        <v>0</v>
      </c>
      <c r="V219" s="11"/>
      <c r="W219" s="11"/>
      <c r="X219" s="6"/>
      <c r="Z219" s="6"/>
      <c r="AA219" s="6"/>
      <c r="AB219" s="8">
        <v>2610967</v>
      </c>
      <c r="AC219" s="20"/>
      <c r="AD219" s="8">
        <v>371561</v>
      </c>
      <c r="AE219" s="20"/>
      <c r="AF219" s="8">
        <v>45655</v>
      </c>
      <c r="AG219" s="20"/>
      <c r="AH219" s="11">
        <f t="shared" si="14"/>
        <v>59030528</v>
      </c>
      <c r="AI219" s="11"/>
      <c r="AJ219" s="11">
        <v>0</v>
      </c>
      <c r="AK219" s="11"/>
      <c r="AL219" s="8">
        <f>2441697+4362270</f>
        <v>6803967</v>
      </c>
      <c r="AM219" s="8"/>
      <c r="AN219" s="8">
        <v>34651775</v>
      </c>
      <c r="AO219" s="8"/>
      <c r="AP219" s="8">
        <v>0</v>
      </c>
      <c r="AQ219" s="8"/>
      <c r="AR219" s="8">
        <f>+'GVFund Rev'!U219+'GVFund Rev'!W219-'GVFund Exp'!AH219-'GVFund Exp'!AL219+AJ219+AN219+AP219-'GV Fund BS'!W219</f>
        <v>0</v>
      </c>
      <c r="AS219" s="11"/>
    </row>
    <row r="220" spans="1:45" s="7" customFormat="1" ht="12.75" hidden="1" customHeight="1" x14ac:dyDescent="0.2">
      <c r="A220" s="6" t="s">
        <v>234</v>
      </c>
      <c r="C220" s="6" t="s">
        <v>43</v>
      </c>
      <c r="E220" s="8">
        <v>4542158</v>
      </c>
      <c r="F220" s="11"/>
      <c r="G220" s="8">
        <v>5466715</v>
      </c>
      <c r="H220" s="11"/>
      <c r="I220" s="8">
        <v>232428</v>
      </c>
      <c r="J220" s="11"/>
      <c r="K220" s="8">
        <v>85658</v>
      </c>
      <c r="L220" s="11"/>
      <c r="M220" s="8">
        <v>490586</v>
      </c>
      <c r="N220" s="11"/>
      <c r="O220" s="8">
        <v>324015</v>
      </c>
      <c r="P220" s="11"/>
      <c r="Q220" s="8">
        <v>1692542</v>
      </c>
      <c r="R220" s="11"/>
      <c r="S220" s="8">
        <v>6080040</v>
      </c>
      <c r="T220" s="11"/>
      <c r="U220" s="8">
        <v>0</v>
      </c>
      <c r="V220" s="11"/>
      <c r="W220" s="11"/>
      <c r="X220" s="6"/>
      <c r="Z220" s="6"/>
      <c r="AA220" s="6"/>
      <c r="AB220" s="8">
        <v>137233</v>
      </c>
      <c r="AC220" s="20"/>
      <c r="AD220" s="8">
        <v>86604</v>
      </c>
      <c r="AE220" s="20"/>
      <c r="AF220" s="8">
        <v>0</v>
      </c>
      <c r="AG220" s="20"/>
      <c r="AH220" s="11">
        <f t="shared" si="14"/>
        <v>19137979</v>
      </c>
      <c r="AI220" s="11"/>
      <c r="AJ220" s="11">
        <v>0</v>
      </c>
      <c r="AK220" s="11"/>
      <c r="AL220" s="8">
        <v>2696376</v>
      </c>
      <c r="AM220" s="8"/>
      <c r="AN220" s="8">
        <v>7251319</v>
      </c>
      <c r="AO220" s="8"/>
      <c r="AP220" s="8">
        <v>2736</v>
      </c>
      <c r="AQ220" s="8"/>
      <c r="AR220" s="8">
        <f>+'GVFund Rev'!U220+'GVFund Rev'!W220-'GVFund Exp'!AH220-'GVFund Exp'!AL220+AJ220+AN220+AP220-'GV Fund BS'!W220</f>
        <v>0</v>
      </c>
      <c r="AS220" s="11"/>
    </row>
    <row r="221" spans="1:45" s="7" customFormat="1" ht="12.75" hidden="1" customHeight="1" x14ac:dyDescent="0.2">
      <c r="A221" s="6" t="s">
        <v>235</v>
      </c>
      <c r="C221" s="6" t="s">
        <v>31</v>
      </c>
      <c r="E221" s="8">
        <v>288467</v>
      </c>
      <c r="F221" s="11"/>
      <c r="G221" s="8">
        <v>972553</v>
      </c>
      <c r="H221" s="11"/>
      <c r="I221" s="8">
        <v>250665</v>
      </c>
      <c r="J221" s="11"/>
      <c r="K221" s="8">
        <v>32215</v>
      </c>
      <c r="L221" s="11"/>
      <c r="M221" s="8">
        <v>370912</v>
      </c>
      <c r="N221" s="11"/>
      <c r="O221" s="8">
        <v>299386</v>
      </c>
      <c r="P221" s="11"/>
      <c r="Q221" s="8">
        <v>0</v>
      </c>
      <c r="R221" s="11"/>
      <c r="S221" s="8">
        <v>580966</v>
      </c>
      <c r="T221" s="11"/>
      <c r="U221" s="8">
        <v>0</v>
      </c>
      <c r="V221" s="11"/>
      <c r="W221" s="11"/>
      <c r="X221" s="6"/>
      <c r="Z221" s="6"/>
      <c r="AA221" s="6"/>
      <c r="AB221" s="8">
        <v>125937</v>
      </c>
      <c r="AC221" s="20"/>
      <c r="AD221" s="8">
        <v>45108</v>
      </c>
      <c r="AE221" s="20"/>
      <c r="AF221" s="8">
        <v>0</v>
      </c>
      <c r="AG221" s="20"/>
      <c r="AH221" s="11">
        <f t="shared" si="14"/>
        <v>2966209</v>
      </c>
      <c r="AI221" s="11"/>
      <c r="AJ221" s="11">
        <v>0</v>
      </c>
      <c r="AK221" s="11"/>
      <c r="AL221" s="8">
        <v>844420</v>
      </c>
      <c r="AM221" s="8"/>
      <c r="AN221" s="8">
        <v>945333</v>
      </c>
      <c r="AO221" s="8"/>
      <c r="AP221" s="8">
        <v>0</v>
      </c>
      <c r="AQ221" s="8"/>
      <c r="AR221" s="8">
        <f>+'GVFund Rev'!U221+'GVFund Rev'!W221-'GVFund Exp'!AH221-'GVFund Exp'!AL221+AJ221+AN221+AP221-'GV Fund BS'!W221</f>
        <v>0</v>
      </c>
      <c r="AS221" s="11"/>
    </row>
    <row r="222" spans="1:45" s="7" customFormat="1" ht="12.75" customHeight="1" x14ac:dyDescent="0.2">
      <c r="A222" s="6" t="s">
        <v>236</v>
      </c>
      <c r="C222" s="6" t="s">
        <v>237</v>
      </c>
      <c r="E222" s="8">
        <v>901697</v>
      </c>
      <c r="F222" s="11"/>
      <c r="G222" s="8">
        <v>3032738</v>
      </c>
      <c r="H222" s="11"/>
      <c r="I222" s="8">
        <v>26801</v>
      </c>
      <c r="J222" s="11"/>
      <c r="K222" s="8">
        <v>26221</v>
      </c>
      <c r="L222" s="11"/>
      <c r="M222" s="8">
        <v>870170</v>
      </c>
      <c r="N222" s="11"/>
      <c r="O222" s="8">
        <v>262162</v>
      </c>
      <c r="P222" s="11"/>
      <c r="Q222" s="8">
        <v>0</v>
      </c>
      <c r="R222" s="11"/>
      <c r="S222" s="8">
        <v>1351083</v>
      </c>
      <c r="T222" s="11"/>
      <c r="U222" s="8">
        <v>0</v>
      </c>
      <c r="V222" s="11"/>
      <c r="W222" s="11"/>
      <c r="X222" s="6"/>
      <c r="Z222" s="6"/>
      <c r="AA222" s="6"/>
      <c r="AB222" s="8">
        <v>95000</v>
      </c>
      <c r="AC222" s="20"/>
      <c r="AD222" s="8">
        <v>12372</v>
      </c>
      <c r="AE222" s="20"/>
      <c r="AF222" s="8">
        <v>0</v>
      </c>
      <c r="AG222" s="20"/>
      <c r="AH222" s="11">
        <f t="shared" si="14"/>
        <v>6578244</v>
      </c>
      <c r="AI222" s="11"/>
      <c r="AJ222" s="11">
        <v>0</v>
      </c>
      <c r="AK222" s="11"/>
      <c r="AL222" s="8">
        <v>1193818</v>
      </c>
      <c r="AM222" s="8"/>
      <c r="AN222" s="8">
        <v>12979166</v>
      </c>
      <c r="AO222" s="8"/>
      <c r="AP222" s="8">
        <v>-2292</v>
      </c>
      <c r="AQ222" s="8"/>
      <c r="AR222" s="8">
        <f>+'GVFund Rev'!U222+'GVFund Rev'!W222-'GVFund Exp'!AH222-'GVFund Exp'!AL222+AJ222+AN222+AP222-'GV Fund BS'!W222</f>
        <v>0</v>
      </c>
      <c r="AS222" s="11"/>
    </row>
    <row r="223" spans="1:45" s="7" customFormat="1" ht="12.75" customHeight="1" x14ac:dyDescent="0.2">
      <c r="A223" s="6" t="s">
        <v>480</v>
      </c>
      <c r="C223" s="6" t="s">
        <v>247</v>
      </c>
      <c r="E223" s="8">
        <v>2617083</v>
      </c>
      <c r="F223" s="11"/>
      <c r="G223" s="8">
        <v>7092438</v>
      </c>
      <c r="H223" s="11"/>
      <c r="I223" s="8">
        <v>942727</v>
      </c>
      <c r="J223" s="11"/>
      <c r="K223" s="8">
        <v>655812</v>
      </c>
      <c r="L223" s="11"/>
      <c r="M223" s="8">
        <v>1327248</v>
      </c>
      <c r="N223" s="11"/>
      <c r="O223" s="8">
        <v>652209</v>
      </c>
      <c r="P223" s="11"/>
      <c r="Q223" s="8">
        <v>0</v>
      </c>
      <c r="R223" s="11"/>
      <c r="S223" s="8">
        <v>2295269</v>
      </c>
      <c r="T223" s="11"/>
      <c r="U223" s="8">
        <v>0</v>
      </c>
      <c r="V223" s="11"/>
      <c r="W223" s="11"/>
      <c r="X223" s="6"/>
      <c r="Z223" s="6"/>
      <c r="AA223" s="6"/>
      <c r="AB223" s="8">
        <v>242655</v>
      </c>
      <c r="AC223" s="20"/>
      <c r="AD223" s="8">
        <v>257143</v>
      </c>
      <c r="AE223" s="20"/>
      <c r="AF223" s="8">
        <v>0</v>
      </c>
      <c r="AG223" s="20"/>
      <c r="AH223" s="11">
        <f t="shared" si="14"/>
        <v>16082584</v>
      </c>
      <c r="AI223" s="11"/>
      <c r="AJ223" s="11">
        <v>0</v>
      </c>
      <c r="AK223" s="11"/>
      <c r="AL223" s="8">
        <v>28952</v>
      </c>
      <c r="AM223" s="8"/>
      <c r="AN223" s="8">
        <v>4942950</v>
      </c>
      <c r="AO223" s="8"/>
      <c r="AP223" s="8">
        <v>0</v>
      </c>
      <c r="AQ223" s="8"/>
      <c r="AR223" s="8">
        <f>+'GVFund Rev'!U223+'GVFund Rev'!W223-'GVFund Exp'!AH223-'GVFund Exp'!AL223+AJ223+AN223+AP223-'GV Fund BS'!W223</f>
        <v>0</v>
      </c>
      <c r="AS223" s="11"/>
    </row>
    <row r="224" spans="1:45" s="7" customFormat="1" ht="12.75" customHeight="1" x14ac:dyDescent="0.2">
      <c r="A224" s="6" t="s">
        <v>238</v>
      </c>
      <c r="C224" s="6" t="s">
        <v>11</v>
      </c>
      <c r="E224" s="8">
        <v>7924144</v>
      </c>
      <c r="F224" s="11"/>
      <c r="G224" s="8">
        <v>13269335</v>
      </c>
      <c r="H224" s="11"/>
      <c r="I224" s="8">
        <v>1091775</v>
      </c>
      <c r="J224" s="11"/>
      <c r="K224" s="8">
        <v>428843</v>
      </c>
      <c r="L224" s="11"/>
      <c r="M224" s="8">
        <v>2408432</v>
      </c>
      <c r="N224" s="11"/>
      <c r="O224" s="8">
        <v>1335813</v>
      </c>
      <c r="P224" s="11"/>
      <c r="Q224" s="8">
        <v>0</v>
      </c>
      <c r="R224" s="11"/>
      <c r="S224" s="8">
        <v>4192551</v>
      </c>
      <c r="T224" s="11"/>
      <c r="U224" s="8">
        <v>0</v>
      </c>
      <c r="V224" s="11"/>
      <c r="W224" s="11"/>
      <c r="X224" s="6"/>
      <c r="Z224" s="6"/>
      <c r="AA224" s="6"/>
      <c r="AB224" s="8">
        <v>935877</v>
      </c>
      <c r="AC224" s="20"/>
      <c r="AD224" s="8">
        <v>827730</v>
      </c>
      <c r="AE224" s="20"/>
      <c r="AF224" s="8">
        <v>0</v>
      </c>
      <c r="AG224" s="20"/>
      <c r="AH224" s="11">
        <f t="shared" si="14"/>
        <v>32414500</v>
      </c>
      <c r="AI224" s="11"/>
      <c r="AJ224" s="11">
        <v>0</v>
      </c>
      <c r="AK224" s="11"/>
      <c r="AL224" s="8">
        <f>7025000+3048524</f>
        <v>10073524</v>
      </c>
      <c r="AM224" s="8"/>
      <c r="AN224" s="8">
        <v>12359599</v>
      </c>
      <c r="AO224" s="8"/>
      <c r="AP224" s="8">
        <v>0</v>
      </c>
      <c r="AQ224" s="8"/>
      <c r="AR224" s="8">
        <f>+'GVFund Rev'!U224+'GVFund Rev'!W224-'GVFund Exp'!AH224-'GVFund Exp'!AL224+AJ224+AN224+AP224-'GV Fund BS'!W224</f>
        <v>0</v>
      </c>
      <c r="AS224" s="11"/>
    </row>
    <row r="225" spans="1:46" s="7" customFormat="1" ht="12.75" customHeight="1" x14ac:dyDescent="0.2">
      <c r="A225" s="6" t="s">
        <v>239</v>
      </c>
      <c r="C225" s="6" t="s">
        <v>20</v>
      </c>
      <c r="E225" s="8">
        <v>3749386</v>
      </c>
      <c r="F225" s="11"/>
      <c r="G225" s="8">
        <v>5792524</v>
      </c>
      <c r="H225" s="11"/>
      <c r="I225" s="8">
        <v>696708</v>
      </c>
      <c r="J225" s="11"/>
      <c r="K225" s="8">
        <v>43499</v>
      </c>
      <c r="L225" s="11"/>
      <c r="M225" s="8">
        <v>834167</v>
      </c>
      <c r="N225" s="11"/>
      <c r="O225" s="8">
        <v>493279</v>
      </c>
      <c r="P225" s="11"/>
      <c r="Q225" s="8">
        <v>809274</v>
      </c>
      <c r="R225" s="11"/>
      <c r="S225" s="8">
        <v>2178527</v>
      </c>
      <c r="T225" s="11"/>
      <c r="U225" s="8">
        <v>0</v>
      </c>
      <c r="V225" s="11"/>
      <c r="W225" s="11"/>
      <c r="X225" s="6"/>
      <c r="Z225" s="6"/>
      <c r="AA225" s="6"/>
      <c r="AB225" s="8">
        <f>1831532+300000</f>
        <v>2131532</v>
      </c>
      <c r="AC225" s="20"/>
      <c r="AD225" s="8">
        <v>153113</v>
      </c>
      <c r="AE225" s="20"/>
      <c r="AF225" s="8">
        <v>0</v>
      </c>
      <c r="AG225" s="20"/>
      <c r="AH225" s="11">
        <f t="shared" si="14"/>
        <v>16882009</v>
      </c>
      <c r="AI225" s="11"/>
      <c r="AJ225" s="11">
        <v>0</v>
      </c>
      <c r="AK225" s="11"/>
      <c r="AL225" s="8">
        <f>4000000+24359</f>
        <v>4024359</v>
      </c>
      <c r="AM225" s="8"/>
      <c r="AN225" s="8">
        <v>6692820</v>
      </c>
      <c r="AO225" s="8"/>
      <c r="AP225" s="8">
        <v>0</v>
      </c>
      <c r="AQ225" s="8"/>
      <c r="AR225" s="8">
        <f>+'GVFund Rev'!U225+'GVFund Rev'!W225-'GVFund Exp'!AH225-'GVFund Exp'!AL225+AJ225+AN225+AP225-'GV Fund BS'!W225</f>
        <v>0</v>
      </c>
      <c r="AS225" s="11"/>
    </row>
    <row r="226" spans="1:46" s="7" customFormat="1" ht="12.75" customHeight="1" x14ac:dyDescent="0.2">
      <c r="A226" s="6" t="s">
        <v>240</v>
      </c>
      <c r="C226" s="6" t="s">
        <v>25</v>
      </c>
      <c r="E226" s="8">
        <v>4098422</v>
      </c>
      <c r="F226" s="11"/>
      <c r="G226" s="8">
        <v>20813310</v>
      </c>
      <c r="H226" s="11"/>
      <c r="I226" s="8">
        <v>1714586</v>
      </c>
      <c r="J226" s="11"/>
      <c r="K226" s="8">
        <v>587350</v>
      </c>
      <c r="L226" s="11"/>
      <c r="M226" s="8">
        <v>9168526</v>
      </c>
      <c r="N226" s="11"/>
      <c r="O226" s="8">
        <v>4737621</v>
      </c>
      <c r="P226" s="11"/>
      <c r="Q226" s="8">
        <v>2047268</v>
      </c>
      <c r="R226" s="11"/>
      <c r="S226" s="8">
        <v>3277644</v>
      </c>
      <c r="T226" s="11"/>
      <c r="U226" s="8">
        <v>0</v>
      </c>
      <c r="V226" s="11"/>
      <c r="W226" s="11"/>
      <c r="X226" s="6"/>
      <c r="Z226" s="6"/>
      <c r="AA226" s="6"/>
      <c r="AB226" s="8">
        <v>1245000</v>
      </c>
      <c r="AC226" s="20"/>
      <c r="AD226" s="8">
        <v>2095278</v>
      </c>
      <c r="AE226" s="20"/>
      <c r="AF226" s="8">
        <v>0</v>
      </c>
      <c r="AG226" s="20"/>
      <c r="AH226" s="11">
        <f t="shared" si="14"/>
        <v>49785005</v>
      </c>
      <c r="AI226" s="11"/>
      <c r="AJ226" s="11">
        <v>0</v>
      </c>
      <c r="AK226" s="11"/>
      <c r="AL226" s="8">
        <v>10461099</v>
      </c>
      <c r="AM226" s="8"/>
      <c r="AN226" s="8">
        <v>18099323</v>
      </c>
      <c r="AO226" s="8"/>
      <c r="AP226" s="8">
        <v>0</v>
      </c>
      <c r="AQ226" s="8"/>
      <c r="AR226" s="8">
        <f>+'GVFund Rev'!U226+'GVFund Rev'!W226-'GVFund Exp'!AH226-'GVFund Exp'!AL226+AJ226+AN226+AP226-'GV Fund BS'!W226</f>
        <v>0</v>
      </c>
      <c r="AS226" s="11"/>
    </row>
    <row r="227" spans="1:46" s="7" customFormat="1" ht="12.75" customHeight="1" x14ac:dyDescent="0.2">
      <c r="A227" s="6" t="s">
        <v>510</v>
      </c>
      <c r="C227" s="6" t="s">
        <v>59</v>
      </c>
      <c r="E227" s="8">
        <v>1921874</v>
      </c>
      <c r="F227" s="11"/>
      <c r="G227" s="8">
        <v>1720857</v>
      </c>
      <c r="H227" s="11"/>
      <c r="I227" s="8">
        <v>191883</v>
      </c>
      <c r="J227" s="11"/>
      <c r="K227" s="8">
        <v>136270</v>
      </c>
      <c r="L227" s="11"/>
      <c r="M227" s="8">
        <v>488152</v>
      </c>
      <c r="N227" s="11"/>
      <c r="O227" s="8">
        <v>59712</v>
      </c>
      <c r="P227" s="11"/>
      <c r="Q227" s="8">
        <v>53325</v>
      </c>
      <c r="R227" s="11"/>
      <c r="S227" s="8">
        <v>235787</v>
      </c>
      <c r="T227" s="11"/>
      <c r="U227" s="8">
        <v>0</v>
      </c>
      <c r="V227" s="11"/>
      <c r="W227" s="11"/>
      <c r="X227" s="6"/>
      <c r="Z227" s="6"/>
      <c r="AA227" s="6"/>
      <c r="AB227" s="8">
        <v>0</v>
      </c>
      <c r="AC227" s="20"/>
      <c r="AD227" s="8">
        <v>0</v>
      </c>
      <c r="AE227" s="20"/>
      <c r="AF227" s="8">
        <v>0</v>
      </c>
      <c r="AG227" s="20"/>
      <c r="AH227" s="11">
        <f t="shared" ref="AH227" si="15">SUM(E227:AF227)</f>
        <v>4807860</v>
      </c>
      <c r="AI227" s="11"/>
      <c r="AJ227" s="11">
        <v>0</v>
      </c>
      <c r="AK227" s="11"/>
      <c r="AL227" s="8">
        <f>25000+256000</f>
        <v>281000</v>
      </c>
      <c r="AM227" s="8"/>
      <c r="AN227" s="8">
        <v>681503</v>
      </c>
      <c r="AO227" s="8"/>
      <c r="AP227" s="8">
        <v>0</v>
      </c>
      <c r="AQ227" s="8"/>
      <c r="AR227" s="8">
        <f>+'GVFund Rev'!U227+'GVFund Rev'!W227-'GVFund Exp'!AH227-'GVFund Exp'!AL227+AJ227+AN227+AP227-'GV Fund BS'!W227</f>
        <v>0</v>
      </c>
      <c r="AS227" s="11"/>
    </row>
    <row r="228" spans="1:46" s="7" customFormat="1" ht="12.75" customHeight="1" x14ac:dyDescent="0.2">
      <c r="A228" s="6" t="s">
        <v>241</v>
      </c>
      <c r="C228" s="6" t="s">
        <v>161</v>
      </c>
      <c r="E228" s="8">
        <v>4685651</v>
      </c>
      <c r="F228" s="11"/>
      <c r="G228" s="8">
        <v>5456168</v>
      </c>
      <c r="H228" s="11"/>
      <c r="I228" s="8">
        <v>626825</v>
      </c>
      <c r="J228" s="11"/>
      <c r="K228" s="8">
        <v>143941</v>
      </c>
      <c r="L228" s="11"/>
      <c r="M228" s="8">
        <v>1672590</v>
      </c>
      <c r="N228" s="11"/>
      <c r="O228" s="8">
        <v>934408</v>
      </c>
      <c r="P228" s="11"/>
      <c r="Q228" s="8">
        <v>1095845</v>
      </c>
      <c r="R228" s="11"/>
      <c r="S228" s="8">
        <v>1998617</v>
      </c>
      <c r="T228" s="11"/>
      <c r="U228" s="8">
        <v>0</v>
      </c>
      <c r="V228" s="11"/>
      <c r="W228" s="11"/>
      <c r="X228" s="6"/>
      <c r="Z228" s="6"/>
      <c r="AA228" s="6"/>
      <c r="AB228" s="8">
        <v>1209235</v>
      </c>
      <c r="AC228" s="20"/>
      <c r="AD228" s="8">
        <v>861334</v>
      </c>
      <c r="AE228" s="20"/>
      <c r="AF228" s="8">
        <v>0</v>
      </c>
      <c r="AG228" s="20"/>
      <c r="AH228" s="11">
        <f t="shared" ref="AH228:AH241" si="16">SUM(E228:AF228)</f>
        <v>18684614</v>
      </c>
      <c r="AI228" s="11"/>
      <c r="AJ228" s="11">
        <v>0</v>
      </c>
      <c r="AK228" s="11"/>
      <c r="AL228" s="8">
        <f>11036696+3633033</f>
        <v>14669729</v>
      </c>
      <c r="AM228" s="8"/>
      <c r="AN228" s="8">
        <v>20820816</v>
      </c>
      <c r="AO228" s="8"/>
      <c r="AP228" s="8">
        <v>-182670</v>
      </c>
      <c r="AQ228" s="8"/>
      <c r="AR228" s="8">
        <f>+'GVFund Rev'!U228+'GVFund Rev'!W228-'GVFund Exp'!AH228-'GVFund Exp'!AL228+AJ228+AN228+AP228-'GV Fund BS'!W228</f>
        <v>0</v>
      </c>
      <c r="AS228" s="11"/>
    </row>
    <row r="229" spans="1:46" s="7" customFormat="1" ht="12.75" customHeight="1" x14ac:dyDescent="0.2">
      <c r="A229" s="6" t="s">
        <v>242</v>
      </c>
      <c r="C229" s="6" t="s">
        <v>11</v>
      </c>
      <c r="E229" s="8">
        <v>3054651</v>
      </c>
      <c r="F229" s="11"/>
      <c r="G229" s="8">
        <f>3424600+32020+2521518</f>
        <v>5978138</v>
      </c>
      <c r="H229" s="11"/>
      <c r="I229" s="8">
        <v>141516</v>
      </c>
      <c r="J229" s="11"/>
      <c r="K229" s="8">
        <v>58149</v>
      </c>
      <c r="L229" s="11"/>
      <c r="M229" s="8">
        <v>2105228</v>
      </c>
      <c r="N229" s="11"/>
      <c r="O229" s="8">
        <v>1799907</v>
      </c>
      <c r="P229" s="11"/>
      <c r="Q229" s="8">
        <v>0</v>
      </c>
      <c r="R229" s="11"/>
      <c r="S229" s="8">
        <v>1237448</v>
      </c>
      <c r="T229" s="11"/>
      <c r="U229" s="8">
        <v>0</v>
      </c>
      <c r="V229" s="11"/>
      <c r="W229" s="11"/>
      <c r="X229" s="6"/>
      <c r="Z229" s="6"/>
      <c r="AA229" s="6"/>
      <c r="AB229" s="8">
        <v>775851</v>
      </c>
      <c r="AC229" s="20"/>
      <c r="AD229" s="8">
        <v>448306</v>
      </c>
      <c r="AE229" s="20"/>
      <c r="AF229" s="8">
        <v>0</v>
      </c>
      <c r="AG229" s="20"/>
      <c r="AH229" s="11">
        <f t="shared" si="16"/>
        <v>15599194</v>
      </c>
      <c r="AI229" s="11"/>
      <c r="AJ229" s="11">
        <v>0</v>
      </c>
      <c r="AK229" s="11"/>
      <c r="AL229" s="8">
        <v>4335205</v>
      </c>
      <c r="AM229" s="8"/>
      <c r="AN229" s="8">
        <v>6898075</v>
      </c>
      <c r="AO229" s="8"/>
      <c r="AP229" s="8">
        <v>0</v>
      </c>
      <c r="AQ229" s="8"/>
      <c r="AR229" s="8">
        <f>+'GVFund Rev'!U229+'GVFund Rev'!W229-'GVFund Exp'!AH229-'GVFund Exp'!AL229+AJ229+AN229+AP229-'GV Fund BS'!W229</f>
        <v>0</v>
      </c>
      <c r="AS229" s="11"/>
    </row>
    <row r="230" spans="1:46" s="7" customFormat="1" ht="12.75" customHeight="1" x14ac:dyDescent="0.2">
      <c r="A230" s="6" t="s">
        <v>243</v>
      </c>
      <c r="C230" s="6" t="s">
        <v>108</v>
      </c>
      <c r="E230" s="8">
        <v>2502711</v>
      </c>
      <c r="F230" s="11"/>
      <c r="G230" s="8">
        <v>6491921</v>
      </c>
      <c r="H230" s="11"/>
      <c r="I230" s="8">
        <f>346366+4169+333825</f>
        <v>684360</v>
      </c>
      <c r="J230" s="11"/>
      <c r="K230" s="8">
        <v>0</v>
      </c>
      <c r="L230" s="11"/>
      <c r="M230" s="8">
        <v>1310275</v>
      </c>
      <c r="N230" s="11"/>
      <c r="O230" s="8">
        <v>378249</v>
      </c>
      <c r="P230" s="11"/>
      <c r="Q230" s="8">
        <v>0</v>
      </c>
      <c r="R230" s="11"/>
      <c r="S230" s="8">
        <v>517742</v>
      </c>
      <c r="T230" s="11"/>
      <c r="U230" s="8">
        <v>0</v>
      </c>
      <c r="V230" s="11"/>
      <c r="W230" s="11"/>
      <c r="X230" s="6"/>
      <c r="Z230" s="6"/>
      <c r="AA230" s="6"/>
      <c r="AB230" s="8">
        <v>162177</v>
      </c>
      <c r="AC230" s="20"/>
      <c r="AD230" s="8">
        <v>123519</v>
      </c>
      <c r="AE230" s="20"/>
      <c r="AF230" s="8">
        <v>0</v>
      </c>
      <c r="AG230" s="20"/>
      <c r="AH230" s="11">
        <f t="shared" si="16"/>
        <v>12170954</v>
      </c>
      <c r="AI230" s="11"/>
      <c r="AJ230" s="11">
        <v>0</v>
      </c>
      <c r="AK230" s="11"/>
      <c r="AL230" s="8">
        <v>1380813</v>
      </c>
      <c r="AM230" s="8"/>
      <c r="AN230" s="8">
        <v>4256391</v>
      </c>
      <c r="AO230" s="8"/>
      <c r="AP230" s="8">
        <v>47813</v>
      </c>
      <c r="AQ230" s="8"/>
      <c r="AR230" s="8">
        <f>+'GVFund Rev'!U230+'GVFund Rev'!W230-'GVFund Exp'!AH230-'GVFund Exp'!AL230+AJ230+AN230+AP230-'GV Fund BS'!W230</f>
        <v>0</v>
      </c>
      <c r="AS230" s="11"/>
    </row>
    <row r="231" spans="1:46" s="7" customFormat="1" ht="12.75" customHeight="1" x14ac:dyDescent="0.2">
      <c r="A231" s="6" t="s">
        <v>244</v>
      </c>
      <c r="C231" s="6" t="s">
        <v>207</v>
      </c>
      <c r="E231" s="8">
        <v>1447729</v>
      </c>
      <c r="F231" s="11"/>
      <c r="G231" s="8">
        <v>3142368</v>
      </c>
      <c r="H231" s="11"/>
      <c r="I231" s="8">
        <v>263439</v>
      </c>
      <c r="J231" s="11"/>
      <c r="K231" s="8">
        <v>0</v>
      </c>
      <c r="L231" s="11"/>
      <c r="M231" s="8">
        <v>576373</v>
      </c>
      <c r="N231" s="11"/>
      <c r="O231" s="8">
        <v>800267</v>
      </c>
      <c r="P231" s="11"/>
      <c r="Q231" s="8">
        <v>217147</v>
      </c>
      <c r="R231" s="11"/>
      <c r="S231" s="8">
        <v>3179877</v>
      </c>
      <c r="T231" s="11"/>
      <c r="U231" s="8">
        <v>0</v>
      </c>
      <c r="V231" s="11"/>
      <c r="W231" s="11"/>
      <c r="X231" s="6"/>
      <c r="Z231" s="6"/>
      <c r="AA231" s="6"/>
      <c r="AB231" s="8">
        <v>930000</v>
      </c>
      <c r="AC231" s="20"/>
      <c r="AD231" s="8">
        <v>131753</v>
      </c>
      <c r="AE231" s="20"/>
      <c r="AF231" s="8">
        <v>0</v>
      </c>
      <c r="AG231" s="20"/>
      <c r="AH231" s="11">
        <f t="shared" si="16"/>
        <v>10688953</v>
      </c>
      <c r="AI231" s="11"/>
      <c r="AJ231" s="11">
        <v>0</v>
      </c>
      <c r="AK231" s="11"/>
      <c r="AL231" s="8">
        <v>1040152</v>
      </c>
      <c r="AM231" s="8"/>
      <c r="AN231" s="8">
        <v>5493879</v>
      </c>
      <c r="AO231" s="8"/>
      <c r="AP231" s="8">
        <v>-13053</v>
      </c>
      <c r="AQ231" s="8"/>
      <c r="AR231" s="8">
        <f>+'GVFund Rev'!U231+'GVFund Rev'!W231-'GVFund Exp'!AH231-'GVFund Exp'!AL231+AJ231+AN231+AP231-'GV Fund BS'!W231</f>
        <v>0</v>
      </c>
      <c r="AS231" s="11"/>
    </row>
    <row r="232" spans="1:46" s="7" customFormat="1" ht="12.75" hidden="1" customHeight="1" x14ac:dyDescent="0.2">
      <c r="A232" s="6" t="s">
        <v>245</v>
      </c>
      <c r="C232" s="6" t="s">
        <v>161</v>
      </c>
      <c r="E232" s="8">
        <v>14642000</v>
      </c>
      <c r="F232" s="11"/>
      <c r="G232" s="8">
        <v>165245000</v>
      </c>
      <c r="H232" s="11"/>
      <c r="I232" s="8">
        <v>27709000</v>
      </c>
      <c r="J232" s="11"/>
      <c r="K232" s="8">
        <v>18019000</v>
      </c>
      <c r="L232" s="11"/>
      <c r="M232" s="8">
        <v>34660000</v>
      </c>
      <c r="N232" s="11"/>
      <c r="O232" s="8">
        <v>3018000</v>
      </c>
      <c r="P232" s="11"/>
      <c r="Q232" s="8">
        <v>1000</v>
      </c>
      <c r="R232" s="11"/>
      <c r="S232" s="8">
        <v>47163000</v>
      </c>
      <c r="T232" s="11"/>
      <c r="U232" s="8">
        <v>0</v>
      </c>
      <c r="V232" s="11"/>
      <c r="W232" s="11"/>
      <c r="X232" s="6"/>
      <c r="Z232" s="6"/>
      <c r="AA232" s="6"/>
      <c r="AB232" s="8">
        <v>27311000</v>
      </c>
      <c r="AC232" s="20"/>
      <c r="AD232" s="8">
        <v>10435000</v>
      </c>
      <c r="AE232" s="20"/>
      <c r="AF232" s="8">
        <v>0</v>
      </c>
      <c r="AG232" s="20"/>
      <c r="AH232" s="11">
        <f t="shared" si="16"/>
        <v>348203000</v>
      </c>
      <c r="AI232" s="11"/>
      <c r="AJ232" s="11">
        <v>0</v>
      </c>
      <c r="AK232" s="11"/>
      <c r="AL232" s="8">
        <v>73524000</v>
      </c>
      <c r="AM232" s="8"/>
      <c r="AN232" s="8">
        <v>14541000</v>
      </c>
      <c r="AO232" s="8"/>
      <c r="AP232" s="8">
        <v>2073000</v>
      </c>
      <c r="AQ232" s="8"/>
      <c r="AR232" s="8">
        <f>+'GVFund Rev'!U232+'GVFund Rev'!W232-'GVFund Exp'!AH232-'GVFund Exp'!AL232+AJ232+AN232+AP232-'GV Fund BS'!W232</f>
        <v>0</v>
      </c>
      <c r="AS232" s="10"/>
    </row>
    <row r="233" spans="1:46" s="7" customFormat="1" ht="12.75" customHeight="1" x14ac:dyDescent="0.2">
      <c r="A233" s="6" t="s">
        <v>246</v>
      </c>
      <c r="C233" s="6" t="s">
        <v>247</v>
      </c>
      <c r="E233" s="8">
        <v>479568</v>
      </c>
      <c r="F233" s="11"/>
      <c r="G233" s="8">
        <v>1600040</v>
      </c>
      <c r="H233" s="11"/>
      <c r="I233" s="8">
        <v>296733</v>
      </c>
      <c r="J233" s="11"/>
      <c r="K233" s="8">
        <v>0</v>
      </c>
      <c r="L233" s="11"/>
      <c r="M233" s="8">
        <v>457547</v>
      </c>
      <c r="N233" s="11"/>
      <c r="O233" s="8">
        <v>152722</v>
      </c>
      <c r="P233" s="11"/>
      <c r="Q233" s="8">
        <v>0</v>
      </c>
      <c r="R233" s="11"/>
      <c r="S233" s="8">
        <v>397078</v>
      </c>
      <c r="T233" s="11"/>
      <c r="U233" s="8">
        <v>0</v>
      </c>
      <c r="V233" s="11"/>
      <c r="W233" s="11"/>
      <c r="X233" s="6"/>
      <c r="Z233" s="6"/>
      <c r="AA233" s="6"/>
      <c r="AB233" s="8">
        <v>65315</v>
      </c>
      <c r="AC233" s="20"/>
      <c r="AD233" s="8">
        <v>12065</v>
      </c>
      <c r="AE233" s="20"/>
      <c r="AF233" s="8">
        <v>0</v>
      </c>
      <c r="AG233" s="20"/>
      <c r="AH233" s="11">
        <f t="shared" si="16"/>
        <v>3461068</v>
      </c>
      <c r="AI233" s="11"/>
      <c r="AJ233" s="11">
        <v>0</v>
      </c>
      <c r="AK233" s="11"/>
      <c r="AL233" s="8">
        <v>752600</v>
      </c>
      <c r="AM233" s="8"/>
      <c r="AN233" s="8">
        <v>1629759</v>
      </c>
      <c r="AO233" s="8"/>
      <c r="AP233" s="8">
        <v>0</v>
      </c>
      <c r="AQ233" s="8"/>
      <c r="AR233" s="8">
        <f>+'GVFund Rev'!U233+'GVFund Rev'!W233-'GVFund Exp'!AH233-'GVFund Exp'!AL233+AJ233+AN233+AP233-'GV Fund BS'!W233</f>
        <v>0</v>
      </c>
      <c r="AS233" s="11"/>
    </row>
    <row r="234" spans="1:46" s="9" customFormat="1" ht="12.75" customHeight="1" x14ac:dyDescent="0.2">
      <c r="A234" s="6" t="s">
        <v>248</v>
      </c>
      <c r="B234" s="7"/>
      <c r="C234" s="6" t="s">
        <v>101</v>
      </c>
      <c r="D234" s="7"/>
      <c r="E234" s="8">
        <v>605045</v>
      </c>
      <c r="F234" s="11"/>
      <c r="G234" s="8">
        <v>2406731</v>
      </c>
      <c r="H234" s="11"/>
      <c r="I234" s="8">
        <v>141900</v>
      </c>
      <c r="J234" s="11"/>
      <c r="K234" s="8">
        <v>52690</v>
      </c>
      <c r="L234" s="11"/>
      <c r="M234" s="8">
        <v>393579</v>
      </c>
      <c r="N234" s="11"/>
      <c r="O234" s="8">
        <v>77502</v>
      </c>
      <c r="P234" s="11"/>
      <c r="Q234" s="8">
        <v>52490</v>
      </c>
      <c r="R234" s="11"/>
      <c r="S234" s="8">
        <v>385143</v>
      </c>
      <c r="T234" s="11"/>
      <c r="U234" s="8">
        <v>0</v>
      </c>
      <c r="V234" s="11"/>
      <c r="W234" s="11"/>
      <c r="X234" s="6"/>
      <c r="Y234" s="7"/>
      <c r="Z234" s="6"/>
      <c r="AA234" s="6"/>
      <c r="AB234" s="8">
        <v>88410</v>
      </c>
      <c r="AC234" s="20"/>
      <c r="AD234" s="8">
        <v>10509</v>
      </c>
      <c r="AE234" s="20"/>
      <c r="AF234" s="8">
        <v>0</v>
      </c>
      <c r="AG234" s="20"/>
      <c r="AH234" s="11">
        <f t="shared" si="16"/>
        <v>4213999</v>
      </c>
      <c r="AI234" s="11"/>
      <c r="AJ234" s="11">
        <v>0</v>
      </c>
      <c r="AK234" s="11"/>
      <c r="AL234" s="8">
        <v>357000</v>
      </c>
      <c r="AM234" s="8"/>
      <c r="AN234" s="8">
        <v>2987247</v>
      </c>
      <c r="AO234" s="8"/>
      <c r="AP234" s="8">
        <v>0</v>
      </c>
      <c r="AQ234" s="8"/>
      <c r="AR234" s="8">
        <f>+'GVFund Rev'!U234+'GVFund Rev'!W234-'GVFund Exp'!AH234-'GVFund Exp'!AL234+AJ234+AN234+AP234-'GV Fund BS'!W234</f>
        <v>0</v>
      </c>
      <c r="AS234" s="11"/>
    </row>
    <row r="235" spans="1:46" s="7" customFormat="1" ht="12.75" customHeight="1" x14ac:dyDescent="0.2">
      <c r="A235" s="6" t="s">
        <v>249</v>
      </c>
      <c r="C235" s="6" t="s">
        <v>64</v>
      </c>
      <c r="E235" s="8">
        <v>3043505</v>
      </c>
      <c r="F235" s="11"/>
      <c r="G235" s="8">
        <v>8144645</v>
      </c>
      <c r="H235" s="11"/>
      <c r="I235" s="8">
        <v>1351751</v>
      </c>
      <c r="J235" s="11"/>
      <c r="K235" s="8">
        <v>0</v>
      </c>
      <c r="L235" s="11"/>
      <c r="M235" s="8">
        <v>1639448</v>
      </c>
      <c r="N235" s="11"/>
      <c r="O235" s="8">
        <v>416767</v>
      </c>
      <c r="P235" s="11"/>
      <c r="Q235" s="8">
        <v>0</v>
      </c>
      <c r="R235" s="11"/>
      <c r="S235" s="8">
        <v>3289310</v>
      </c>
      <c r="T235" s="11"/>
      <c r="U235" s="8">
        <v>0</v>
      </c>
      <c r="V235" s="11"/>
      <c r="W235" s="11"/>
      <c r="X235" s="6"/>
      <c r="Z235" s="6"/>
      <c r="AA235" s="6"/>
      <c r="AB235" s="8">
        <v>902503</v>
      </c>
      <c r="AC235" s="20"/>
      <c r="AD235" s="8">
        <v>690605</v>
      </c>
      <c r="AE235" s="20"/>
      <c r="AF235" s="8">
        <v>0</v>
      </c>
      <c r="AG235" s="20"/>
      <c r="AH235" s="11">
        <f t="shared" si="16"/>
        <v>19478534</v>
      </c>
      <c r="AI235" s="11"/>
      <c r="AJ235" s="11">
        <v>0</v>
      </c>
      <c r="AK235" s="11"/>
      <c r="AL235" s="8">
        <v>777000</v>
      </c>
      <c r="AM235" s="8"/>
      <c r="AN235" s="8">
        <v>916759</v>
      </c>
      <c r="AO235" s="8"/>
      <c r="AP235" s="8">
        <v>0</v>
      </c>
      <c r="AQ235" s="8"/>
      <c r="AR235" s="8">
        <f>+'GVFund Rev'!U235+'GVFund Rev'!W235-'GVFund Exp'!AH235-'GVFund Exp'!AL235+AJ235+AN235+AP235-'GV Fund BS'!W235</f>
        <v>0</v>
      </c>
      <c r="AS235" s="11"/>
    </row>
    <row r="236" spans="1:46" s="7" customFormat="1" ht="12.75" customHeight="1" x14ac:dyDescent="0.2">
      <c r="A236" s="6" t="s">
        <v>250</v>
      </c>
      <c r="C236" s="6" t="s">
        <v>207</v>
      </c>
      <c r="E236" s="8">
        <v>3920295</v>
      </c>
      <c r="F236" s="11"/>
      <c r="G236" s="8">
        <v>9372255</v>
      </c>
      <c r="H236" s="11"/>
      <c r="I236" s="8">
        <v>1022148</v>
      </c>
      <c r="J236" s="11"/>
      <c r="K236" s="8">
        <v>360495</v>
      </c>
      <c r="L236" s="11"/>
      <c r="M236" s="8">
        <v>1545172</v>
      </c>
      <c r="N236" s="11"/>
      <c r="O236" s="8">
        <v>1568078</v>
      </c>
      <c r="P236" s="11"/>
      <c r="Q236" s="8">
        <v>1109850</v>
      </c>
      <c r="R236" s="11"/>
      <c r="S236" s="8">
        <v>975032</v>
      </c>
      <c r="T236" s="11"/>
      <c r="U236" s="8">
        <v>0</v>
      </c>
      <c r="V236" s="11"/>
      <c r="W236" s="11"/>
      <c r="X236" s="6"/>
      <c r="Z236" s="6"/>
      <c r="AA236" s="6"/>
      <c r="AB236" s="8">
        <v>604826</v>
      </c>
      <c r="AC236" s="20"/>
      <c r="AD236" s="8">
        <v>254132</v>
      </c>
      <c r="AE236" s="20"/>
      <c r="AF236" s="8">
        <v>54565</v>
      </c>
      <c r="AG236" s="20"/>
      <c r="AH236" s="11">
        <f t="shared" si="16"/>
        <v>20786848</v>
      </c>
      <c r="AI236" s="11"/>
      <c r="AJ236" s="11">
        <v>0</v>
      </c>
      <c r="AK236" s="11"/>
      <c r="AL236" s="8">
        <f>4994725+50319+3356819</f>
        <v>8401863</v>
      </c>
      <c r="AM236" s="8"/>
      <c r="AN236" s="8">
        <v>54489993</v>
      </c>
      <c r="AO236" s="8"/>
      <c r="AP236" s="8">
        <v>0</v>
      </c>
      <c r="AQ236" s="8"/>
      <c r="AR236" s="8">
        <f>+'GVFund Rev'!U236+'GVFund Rev'!W236-'GVFund Exp'!AH236-'GVFund Exp'!AL236+AJ236+AN236+AP236-'GV Fund BS'!W236</f>
        <v>0</v>
      </c>
      <c r="AS236" s="11"/>
    </row>
    <row r="237" spans="1:46" s="7" customFormat="1" ht="12.75" hidden="1" customHeight="1" x14ac:dyDescent="0.2">
      <c r="A237" s="6" t="s">
        <v>251</v>
      </c>
      <c r="C237" s="6" t="s">
        <v>11</v>
      </c>
      <c r="E237" s="8">
        <v>4795606</v>
      </c>
      <c r="F237" s="11"/>
      <c r="G237" s="8">
        <v>6862438</v>
      </c>
      <c r="H237" s="11"/>
      <c r="I237" s="8">
        <v>1236221</v>
      </c>
      <c r="J237" s="11"/>
      <c r="K237" s="8">
        <v>0</v>
      </c>
      <c r="L237" s="11"/>
      <c r="M237" s="8">
        <v>5150130</v>
      </c>
      <c r="N237" s="11"/>
      <c r="O237" s="8">
        <v>2018923</v>
      </c>
      <c r="P237" s="11"/>
      <c r="Q237" s="8">
        <v>121068</v>
      </c>
      <c r="R237" s="11"/>
      <c r="S237" s="8">
        <v>874448</v>
      </c>
      <c r="T237" s="11"/>
      <c r="U237" s="8">
        <v>0</v>
      </c>
      <c r="V237" s="11"/>
      <c r="W237" s="11"/>
      <c r="X237" s="6"/>
      <c r="Z237" s="6"/>
      <c r="AA237" s="6"/>
      <c r="AB237" s="8">
        <v>2123241</v>
      </c>
      <c r="AC237" s="20"/>
      <c r="AD237" s="8">
        <v>795033</v>
      </c>
      <c r="AE237" s="20"/>
      <c r="AF237" s="8">
        <v>6325</v>
      </c>
      <c r="AG237" s="20"/>
      <c r="AH237" s="11">
        <f t="shared" si="16"/>
        <v>23983433</v>
      </c>
      <c r="AI237" s="11"/>
      <c r="AJ237" s="11">
        <v>0</v>
      </c>
      <c r="AK237" s="11"/>
      <c r="AL237" s="8">
        <f>3455405+8351547</f>
        <v>11806952</v>
      </c>
      <c r="AM237" s="8"/>
      <c r="AN237" s="8">
        <v>22227873</v>
      </c>
      <c r="AO237" s="8"/>
      <c r="AP237" s="8">
        <v>0</v>
      </c>
      <c r="AQ237" s="8"/>
      <c r="AR237" s="8">
        <f>+'GVFund Rev'!U237+'GVFund Rev'!W237-'GVFund Exp'!AH237-'GVFund Exp'!AL237+AJ237+AN237+AP237-'GV Fund BS'!W237</f>
        <v>0</v>
      </c>
      <c r="AS237" s="11"/>
    </row>
    <row r="238" spans="1:46" s="9" customFormat="1" ht="12.75" customHeight="1" x14ac:dyDescent="0.2">
      <c r="A238" s="6" t="s">
        <v>252</v>
      </c>
      <c r="B238" s="7"/>
      <c r="C238" s="6" t="s">
        <v>87</v>
      </c>
      <c r="D238" s="7"/>
      <c r="E238" s="8">
        <v>574418</v>
      </c>
      <c r="F238" s="11"/>
      <c r="G238" s="8">
        <v>1269024</v>
      </c>
      <c r="H238" s="11"/>
      <c r="I238" s="8">
        <v>275449</v>
      </c>
      <c r="J238" s="11"/>
      <c r="K238" s="8">
        <v>141783</v>
      </c>
      <c r="L238" s="11"/>
      <c r="M238" s="8">
        <v>275695</v>
      </c>
      <c r="N238" s="11"/>
      <c r="O238" s="8">
        <v>27899</v>
      </c>
      <c r="P238" s="11"/>
      <c r="Q238" s="8">
        <v>0</v>
      </c>
      <c r="R238" s="11"/>
      <c r="S238" s="8">
        <v>108236</v>
      </c>
      <c r="T238" s="11"/>
      <c r="U238" s="8">
        <v>0</v>
      </c>
      <c r="V238" s="11"/>
      <c r="W238" s="11"/>
      <c r="X238" s="6"/>
      <c r="Y238" s="7"/>
      <c r="Z238" s="6"/>
      <c r="AA238" s="6"/>
      <c r="AB238" s="8">
        <v>294337</v>
      </c>
      <c r="AC238" s="20"/>
      <c r="AD238" s="8">
        <v>75591</v>
      </c>
      <c r="AE238" s="20"/>
      <c r="AF238" s="8">
        <v>0</v>
      </c>
      <c r="AG238" s="20"/>
      <c r="AH238" s="11">
        <f t="shared" si="16"/>
        <v>3042432</v>
      </c>
      <c r="AI238" s="11"/>
      <c r="AJ238" s="11">
        <v>0</v>
      </c>
      <c r="AK238" s="11"/>
      <c r="AL238" s="8">
        <v>177718</v>
      </c>
      <c r="AM238" s="8"/>
      <c r="AN238" s="8">
        <v>1402247</v>
      </c>
      <c r="AO238" s="8"/>
      <c r="AP238" s="8">
        <v>0</v>
      </c>
      <c r="AQ238" s="8"/>
      <c r="AR238" s="8">
        <f>+'GVFund Rev'!U238+'GVFund Rev'!W238-'GVFund Exp'!AH238-'GVFund Exp'!AL238+AJ238+AN238+AP238-'GV Fund BS'!W238</f>
        <v>0</v>
      </c>
      <c r="AS238" s="11"/>
    </row>
    <row r="239" spans="1:46" s="7" customFormat="1" ht="12.75" customHeight="1" x14ac:dyDescent="0.2">
      <c r="A239" s="6" t="s">
        <v>157</v>
      </c>
      <c r="C239" s="6" t="s">
        <v>64</v>
      </c>
      <c r="E239" s="8">
        <v>854386</v>
      </c>
      <c r="F239" s="11"/>
      <c r="G239" s="8">
        <v>1586036</v>
      </c>
      <c r="H239" s="11"/>
      <c r="I239" s="8">
        <v>495075</v>
      </c>
      <c r="J239" s="11"/>
      <c r="K239" s="8">
        <v>16521</v>
      </c>
      <c r="L239" s="11"/>
      <c r="M239" s="8">
        <v>403567</v>
      </c>
      <c r="N239" s="11"/>
      <c r="O239" s="8">
        <v>89133</v>
      </c>
      <c r="P239" s="11"/>
      <c r="Q239" s="8">
        <v>0</v>
      </c>
      <c r="R239" s="11"/>
      <c r="S239" s="8">
        <v>465160</v>
      </c>
      <c r="T239" s="11"/>
      <c r="U239" s="8">
        <v>0</v>
      </c>
      <c r="V239" s="11"/>
      <c r="W239" s="11"/>
      <c r="X239" s="6"/>
      <c r="Z239" s="6"/>
      <c r="AA239" s="6"/>
      <c r="AB239" s="8">
        <v>148945</v>
      </c>
      <c r="AC239" s="20"/>
      <c r="AD239" s="8">
        <v>65931</v>
      </c>
      <c r="AE239" s="20"/>
      <c r="AF239" s="8">
        <v>0</v>
      </c>
      <c r="AG239" s="20"/>
      <c r="AH239" s="11">
        <f t="shared" si="16"/>
        <v>4124754</v>
      </c>
      <c r="AI239" s="11"/>
      <c r="AJ239" s="11">
        <v>0</v>
      </c>
      <c r="AK239" s="11"/>
      <c r="AL239" s="8">
        <v>111800</v>
      </c>
      <c r="AM239" s="8"/>
      <c r="AN239" s="8">
        <v>1659405</v>
      </c>
      <c r="AO239" s="8"/>
      <c r="AP239" s="8">
        <v>0</v>
      </c>
      <c r="AQ239" s="8"/>
      <c r="AR239" s="8">
        <f>+'GVFund Rev'!U239+'GVFund Rev'!W239-'GVFund Exp'!AH239-'GVFund Exp'!AL239+AJ239+AN239+AP239-'GV Fund BS'!W239</f>
        <v>0</v>
      </c>
      <c r="AS239" s="11"/>
    </row>
    <row r="240" spans="1:46" s="7" customFormat="1" ht="12.75" customHeight="1" x14ac:dyDescent="0.2">
      <c r="A240" s="6" t="s">
        <v>253</v>
      </c>
      <c r="C240" s="6" t="s">
        <v>25</v>
      </c>
      <c r="E240" s="8">
        <v>1648526</v>
      </c>
      <c r="F240" s="11"/>
      <c r="G240" s="8">
        <v>7665570</v>
      </c>
      <c r="H240" s="11"/>
      <c r="I240" s="8">
        <v>4150944</v>
      </c>
      <c r="J240" s="11"/>
      <c r="K240" s="8">
        <v>51950</v>
      </c>
      <c r="L240" s="11"/>
      <c r="M240" s="8">
        <v>849180</v>
      </c>
      <c r="N240" s="11"/>
      <c r="O240" s="8">
        <v>313905</v>
      </c>
      <c r="P240" s="11"/>
      <c r="Q240" s="8">
        <v>2088228</v>
      </c>
      <c r="R240" s="11"/>
      <c r="S240" s="8">
        <v>1368924</v>
      </c>
      <c r="T240" s="11"/>
      <c r="U240" s="8">
        <v>0</v>
      </c>
      <c r="V240" s="11"/>
      <c r="W240" s="11"/>
      <c r="X240" s="6"/>
      <c r="Z240" s="6"/>
      <c r="AA240" s="6"/>
      <c r="AB240" s="8">
        <v>3316288</v>
      </c>
      <c r="AC240" s="20"/>
      <c r="AD240" s="8">
        <v>94201</v>
      </c>
      <c r="AE240" s="20"/>
      <c r="AF240" s="8">
        <v>0</v>
      </c>
      <c r="AG240" s="20"/>
      <c r="AH240" s="11">
        <f t="shared" si="16"/>
        <v>21547716</v>
      </c>
      <c r="AI240" s="11"/>
      <c r="AJ240" s="11">
        <v>0</v>
      </c>
      <c r="AK240" s="11"/>
      <c r="AL240" s="8">
        <v>2309281</v>
      </c>
      <c r="AM240" s="8"/>
      <c r="AN240" s="8">
        <v>4365212</v>
      </c>
      <c r="AO240" s="8"/>
      <c r="AP240" s="8">
        <v>0</v>
      </c>
      <c r="AQ240" s="8"/>
      <c r="AR240" s="8">
        <f>+'GVFund Rev'!U240+'GVFund Rev'!W240-'GVFund Exp'!AH240-'GVFund Exp'!AL240+AJ240+AN240+AP240-'GV Fund BS'!W240</f>
        <v>0</v>
      </c>
      <c r="AS240" s="64"/>
      <c r="AT240" s="64"/>
    </row>
    <row r="241" spans="1:46" s="9" customFormat="1" ht="12.75" customHeight="1" x14ac:dyDescent="0.2">
      <c r="A241" s="19" t="s">
        <v>254</v>
      </c>
      <c r="C241" s="19" t="s">
        <v>41</v>
      </c>
      <c r="E241" s="11">
        <v>6768588</v>
      </c>
      <c r="F241" s="11"/>
      <c r="G241" s="11">
        <v>15527232</v>
      </c>
      <c r="H241" s="11"/>
      <c r="I241" s="11">
        <v>993938</v>
      </c>
      <c r="J241" s="11"/>
      <c r="K241" s="11">
        <v>0</v>
      </c>
      <c r="L241" s="11"/>
      <c r="M241" s="11">
        <v>0</v>
      </c>
      <c r="N241" s="11"/>
      <c r="O241" s="11">
        <v>3008384</v>
      </c>
      <c r="P241" s="11"/>
      <c r="Q241" s="11">
        <v>3961177</v>
      </c>
      <c r="R241" s="11"/>
      <c r="S241" s="11">
        <v>10654565</v>
      </c>
      <c r="T241" s="11"/>
      <c r="U241" s="11">
        <v>0</v>
      </c>
      <c r="V241" s="11"/>
      <c r="W241" s="11"/>
      <c r="X241" s="6"/>
      <c r="Y241" s="7"/>
      <c r="Z241" s="6"/>
      <c r="AA241" s="6"/>
      <c r="AB241" s="11">
        <v>2595000</v>
      </c>
      <c r="AC241" s="20"/>
      <c r="AD241" s="11">
        <v>1818802</v>
      </c>
      <c r="AE241" s="20"/>
      <c r="AF241" s="7">
        <v>150988</v>
      </c>
      <c r="AG241" s="20"/>
      <c r="AH241" s="11">
        <f t="shared" si="16"/>
        <v>45478674</v>
      </c>
      <c r="AI241" s="11"/>
      <c r="AJ241" s="11">
        <v>0</v>
      </c>
      <c r="AK241" s="11"/>
      <c r="AL241" s="8">
        <v>7297160</v>
      </c>
      <c r="AM241" s="8"/>
      <c r="AN241" s="8">
        <v>42323487</v>
      </c>
      <c r="AO241" s="8"/>
      <c r="AP241" s="8">
        <v>0</v>
      </c>
      <c r="AQ241" s="8"/>
      <c r="AR241" s="8">
        <f>+'GVFund Rev'!U241+'GVFund Rev'!W241-'GVFund Exp'!AH241-'GVFund Exp'!AL241+AJ241+AN241+AP241-'GV Fund BS'!W241</f>
        <v>0</v>
      </c>
      <c r="AS241" s="22"/>
    </row>
    <row r="242" spans="1:46" s="7" customFormat="1" ht="12.75" customHeight="1" x14ac:dyDescent="0.2">
      <c r="A242" s="6"/>
      <c r="C242" s="6"/>
      <c r="E242" s="8"/>
      <c r="F242" s="11"/>
      <c r="G242" s="8"/>
      <c r="H242" s="11"/>
      <c r="I242" s="8"/>
      <c r="J242" s="11"/>
      <c r="K242" s="8"/>
      <c r="L242" s="11"/>
      <c r="M242" s="8"/>
      <c r="N242" s="11"/>
      <c r="O242" s="8"/>
      <c r="P242" s="11"/>
      <c r="Q242" s="8"/>
      <c r="R242" s="11"/>
      <c r="S242" s="8"/>
      <c r="T242" s="11"/>
      <c r="U242" s="8"/>
      <c r="V242" s="11"/>
      <c r="W242" s="11"/>
      <c r="X242" s="6"/>
      <c r="Z242" s="6"/>
      <c r="AA242" s="6"/>
      <c r="AB242" s="8"/>
      <c r="AC242" s="20"/>
      <c r="AD242" s="8"/>
      <c r="AE242" s="20"/>
      <c r="AF242" s="8"/>
      <c r="AG242" s="20"/>
      <c r="AH242" s="11"/>
      <c r="AI242" s="11"/>
      <c r="AJ242" s="11"/>
      <c r="AK242" s="11"/>
      <c r="AL242" s="11" t="s">
        <v>478</v>
      </c>
      <c r="AM242" s="8"/>
      <c r="AN242" s="8"/>
      <c r="AO242" s="8"/>
      <c r="AP242" s="8"/>
      <c r="AQ242" s="8"/>
      <c r="AR242" s="8"/>
      <c r="AS242" s="64"/>
      <c r="AT242" s="64"/>
    </row>
    <row r="243" spans="1:46" s="7" customFormat="1" ht="12.75" customHeight="1" x14ac:dyDescent="0.2">
      <c r="A243" s="6" t="s">
        <v>255</v>
      </c>
      <c r="C243" s="6" t="s">
        <v>256</v>
      </c>
      <c r="E243" s="40">
        <f>889433+823797</f>
        <v>1713230</v>
      </c>
      <c r="F243" s="22"/>
      <c r="G243" s="40">
        <v>1889546</v>
      </c>
      <c r="H243" s="22"/>
      <c r="I243" s="40">
        <v>63196</v>
      </c>
      <c r="J243" s="22"/>
      <c r="K243" s="40">
        <v>19525</v>
      </c>
      <c r="L243" s="22"/>
      <c r="M243" s="40">
        <v>782186</v>
      </c>
      <c r="N243" s="22"/>
      <c r="O243" s="40">
        <v>457469</v>
      </c>
      <c r="P243" s="22"/>
      <c r="Q243" s="40">
        <v>37099</v>
      </c>
      <c r="R243" s="22"/>
      <c r="S243" s="40">
        <v>7605</v>
      </c>
      <c r="T243" s="22"/>
      <c r="U243" s="40">
        <v>0</v>
      </c>
      <c r="V243" s="22"/>
      <c r="W243" s="22"/>
      <c r="X243" s="19"/>
      <c r="Y243" s="9"/>
      <c r="Z243" s="19"/>
      <c r="AA243" s="19"/>
      <c r="AB243" s="40">
        <v>535654</v>
      </c>
      <c r="AC243" s="21"/>
      <c r="AD243" s="40">
        <v>225723</v>
      </c>
      <c r="AE243" s="21"/>
      <c r="AF243" s="40">
        <v>0</v>
      </c>
      <c r="AG243" s="21"/>
      <c r="AH243" s="22">
        <f t="shared" ref="AH243:AH272" si="17">SUM(E243:AF243)</f>
        <v>5731233</v>
      </c>
      <c r="AI243" s="22"/>
      <c r="AJ243" s="22">
        <v>0</v>
      </c>
      <c r="AK243" s="22"/>
      <c r="AL243" s="40">
        <v>285309</v>
      </c>
      <c r="AM243" s="8"/>
      <c r="AN243" s="8">
        <v>1419740</v>
      </c>
      <c r="AO243" s="8"/>
      <c r="AP243" s="8">
        <v>27278</v>
      </c>
      <c r="AQ243" s="8"/>
      <c r="AR243" s="8">
        <f>+'GVFund Rev'!U243+'GVFund Rev'!W243-'GVFund Exp'!AH243-'GVFund Exp'!AL243+AJ243+AN243+AP243-'GV Fund BS'!W243</f>
        <v>0</v>
      </c>
      <c r="AS243" s="11"/>
    </row>
    <row r="244" spans="1:46" s="7" customFormat="1" ht="12.75" customHeight="1" x14ac:dyDescent="0.2">
      <c r="A244" s="6" t="s">
        <v>257</v>
      </c>
      <c r="C244" s="6" t="s">
        <v>344</v>
      </c>
      <c r="E244" s="8">
        <v>1998852</v>
      </c>
      <c r="F244" s="11"/>
      <c r="G244" s="8">
        <v>4771418</v>
      </c>
      <c r="H244" s="11"/>
      <c r="I244" s="8">
        <v>422262</v>
      </c>
      <c r="J244" s="11"/>
      <c r="K244" s="8">
        <v>217295</v>
      </c>
      <c r="L244" s="11"/>
      <c r="M244" s="8">
        <v>2233721</v>
      </c>
      <c r="N244" s="11"/>
      <c r="O244" s="8">
        <v>271655</v>
      </c>
      <c r="P244" s="11"/>
      <c r="Q244" s="8">
        <v>0</v>
      </c>
      <c r="R244" s="11"/>
      <c r="S244" s="8">
        <v>1873348</v>
      </c>
      <c r="T244" s="11"/>
      <c r="U244" s="8">
        <v>0</v>
      </c>
      <c r="V244" s="11"/>
      <c r="W244" s="11"/>
      <c r="X244" s="6"/>
      <c r="Z244" s="6"/>
      <c r="AA244" s="6"/>
      <c r="AB244" s="8">
        <v>401910</v>
      </c>
      <c r="AC244" s="20"/>
      <c r="AD244" s="8">
        <v>124795</v>
      </c>
      <c r="AE244" s="20"/>
      <c r="AF244" s="8">
        <v>0</v>
      </c>
      <c r="AG244" s="20"/>
      <c r="AH244" s="11">
        <f t="shared" si="17"/>
        <v>12315256</v>
      </c>
      <c r="AI244" s="11"/>
      <c r="AJ244" s="11">
        <v>0</v>
      </c>
      <c r="AK244" s="11"/>
      <c r="AL244" s="8">
        <v>235000</v>
      </c>
      <c r="AM244" s="8"/>
      <c r="AN244" s="8">
        <v>4678910</v>
      </c>
      <c r="AO244" s="8"/>
      <c r="AP244" s="8">
        <v>0</v>
      </c>
      <c r="AQ244" s="8"/>
      <c r="AR244" s="8">
        <f>+'GVFund Rev'!U244+'GVFund Rev'!W244-'GVFund Exp'!AH244-'GVFund Exp'!AL244+AJ244+AN244+AP244-'GV Fund BS'!W244</f>
        <v>0</v>
      </c>
      <c r="AS244" s="11"/>
    </row>
    <row r="245" spans="1:46" s="7" customFormat="1" ht="12.75" customHeight="1" x14ac:dyDescent="0.2">
      <c r="A245" s="6" t="s">
        <v>259</v>
      </c>
      <c r="C245" s="6" t="s">
        <v>64</v>
      </c>
      <c r="E245" s="8">
        <f>3629657+1866530</f>
        <v>5496187</v>
      </c>
      <c r="F245" s="11"/>
      <c r="G245" s="8">
        <f>4421797+1765879</f>
        <v>6187676</v>
      </c>
      <c r="H245" s="11"/>
      <c r="I245" s="8">
        <v>0</v>
      </c>
      <c r="J245" s="11"/>
      <c r="K245" s="8">
        <v>0</v>
      </c>
      <c r="L245" s="11"/>
      <c r="M245" s="8">
        <f>1089115+2829468</f>
        <v>3918583</v>
      </c>
      <c r="N245" s="11"/>
      <c r="O245" s="8">
        <v>3349081</v>
      </c>
      <c r="P245" s="11"/>
      <c r="Q245" s="8">
        <v>965658</v>
      </c>
      <c r="R245" s="11"/>
      <c r="S245" s="8">
        <v>1190438</v>
      </c>
      <c r="T245" s="11"/>
      <c r="U245" s="8">
        <v>0</v>
      </c>
      <c r="V245" s="11"/>
      <c r="W245" s="11"/>
      <c r="X245" s="6"/>
      <c r="Z245" s="6"/>
      <c r="AA245" s="6"/>
      <c r="AB245" s="8">
        <v>997791</v>
      </c>
      <c r="AC245" s="20"/>
      <c r="AD245" s="8">
        <v>580937</v>
      </c>
      <c r="AE245" s="20"/>
      <c r="AF245" s="8">
        <v>0</v>
      </c>
      <c r="AG245" s="20"/>
      <c r="AH245" s="11">
        <f t="shared" si="17"/>
        <v>22686351</v>
      </c>
      <c r="AI245" s="11"/>
      <c r="AJ245" s="11">
        <v>0</v>
      </c>
      <c r="AK245" s="11"/>
      <c r="AL245" s="8">
        <v>3855648</v>
      </c>
      <c r="AM245" s="8"/>
      <c r="AN245" s="8">
        <v>17356378</v>
      </c>
      <c r="AO245" s="8"/>
      <c r="AP245" s="8">
        <v>0</v>
      </c>
      <c r="AQ245" s="8"/>
      <c r="AR245" s="8">
        <f>+'GVFund Rev'!U245+'GVFund Rev'!W245-'GVFund Exp'!AH245-'GVFund Exp'!AL245+AJ245+AN245+AP245-'GV Fund BS'!W245</f>
        <v>0</v>
      </c>
      <c r="AS245" s="11"/>
    </row>
    <row r="246" spans="1:46" s="7" customFormat="1" ht="12.75" customHeight="1" x14ac:dyDescent="0.2">
      <c r="A246" s="6" t="s">
        <v>260</v>
      </c>
      <c r="C246" s="6" t="s">
        <v>130</v>
      </c>
      <c r="E246" s="8">
        <v>2251389</v>
      </c>
      <c r="F246" s="11"/>
      <c r="G246" s="8">
        <f>2367144+330217</f>
        <v>2697361</v>
      </c>
      <c r="H246" s="11"/>
      <c r="I246" s="8">
        <v>430076</v>
      </c>
      <c r="J246" s="11"/>
      <c r="K246" s="8">
        <v>98242</v>
      </c>
      <c r="L246" s="11"/>
      <c r="M246" s="8">
        <v>1500895</v>
      </c>
      <c r="N246" s="11"/>
      <c r="O246" s="8">
        <v>270036</v>
      </c>
      <c r="P246" s="11"/>
      <c r="Q246" s="8">
        <v>1394354</v>
      </c>
      <c r="R246" s="11"/>
      <c r="S246" s="8">
        <v>221809</v>
      </c>
      <c r="T246" s="11"/>
      <c r="U246" s="8">
        <v>0</v>
      </c>
      <c r="V246" s="11"/>
      <c r="W246" s="11"/>
      <c r="X246" s="6"/>
      <c r="Z246" s="6"/>
      <c r="AA246" s="6"/>
      <c r="AB246" s="8">
        <v>3026656</v>
      </c>
      <c r="AC246" s="20"/>
      <c r="AD246" s="8">
        <v>118665</v>
      </c>
      <c r="AE246" s="20"/>
      <c r="AF246" s="8">
        <v>47137</v>
      </c>
      <c r="AG246" s="20"/>
      <c r="AH246" s="11">
        <f t="shared" si="17"/>
        <v>12056620</v>
      </c>
      <c r="AI246" s="11"/>
      <c r="AJ246" s="11">
        <v>0</v>
      </c>
      <c r="AK246" s="11"/>
      <c r="AL246" s="8">
        <f>518346+457485</f>
        <v>975831</v>
      </c>
      <c r="AM246" s="8"/>
      <c r="AN246" s="8">
        <v>4965150</v>
      </c>
      <c r="AO246" s="8"/>
      <c r="AP246" s="8">
        <v>0</v>
      </c>
      <c r="AQ246" s="8"/>
      <c r="AR246" s="8">
        <f>+'GVFund Rev'!U246+'GVFund Rev'!W246-'GVFund Exp'!AH246-'GVFund Exp'!AL246+AJ246+AN246+AP246-'GV Fund BS'!W246</f>
        <v>0</v>
      </c>
      <c r="AS246" s="11"/>
    </row>
    <row r="247" spans="1:46" s="7" customFormat="1" ht="12.75" customHeight="1" x14ac:dyDescent="0.2">
      <c r="A247" s="7" t="s">
        <v>497</v>
      </c>
      <c r="B247" s="10"/>
      <c r="C247" s="7" t="s">
        <v>43</v>
      </c>
      <c r="E247" s="8">
        <v>1825224</v>
      </c>
      <c r="F247" s="11"/>
      <c r="G247" s="8">
        <v>4526009</v>
      </c>
      <c r="H247" s="11"/>
      <c r="I247" s="8">
        <v>1500612</v>
      </c>
      <c r="J247" s="11"/>
      <c r="K247" s="8">
        <v>111488</v>
      </c>
      <c r="L247" s="11"/>
      <c r="M247" s="8">
        <v>1394557</v>
      </c>
      <c r="N247" s="11"/>
      <c r="O247" s="8">
        <v>929009</v>
      </c>
      <c r="P247" s="11"/>
      <c r="Q247" s="8">
        <v>0</v>
      </c>
      <c r="R247" s="11"/>
      <c r="S247" s="8">
        <v>728080</v>
      </c>
      <c r="T247" s="11"/>
      <c r="U247" s="8">
        <v>0</v>
      </c>
      <c r="V247" s="11"/>
      <c r="W247" s="11"/>
      <c r="X247" s="6"/>
      <c r="Z247" s="6"/>
      <c r="AA247" s="6"/>
      <c r="AB247" s="8">
        <v>633340</v>
      </c>
      <c r="AC247" s="20"/>
      <c r="AD247" s="8">
        <v>82185</v>
      </c>
      <c r="AE247" s="20"/>
      <c r="AF247" s="8">
        <v>0</v>
      </c>
      <c r="AG247" s="20"/>
      <c r="AH247" s="11">
        <f t="shared" si="17"/>
        <v>11730504</v>
      </c>
      <c r="AI247" s="11"/>
      <c r="AJ247" s="11"/>
      <c r="AK247" s="11"/>
      <c r="AL247" s="8">
        <v>2624638</v>
      </c>
      <c r="AM247" s="8"/>
      <c r="AN247" s="8">
        <v>16700013</v>
      </c>
      <c r="AO247" s="8"/>
      <c r="AP247" s="8">
        <v>2767</v>
      </c>
      <c r="AQ247" s="8"/>
      <c r="AR247" s="8">
        <f>+'GVFund Rev'!U247+'GVFund Rev'!W247-'GVFund Exp'!AH247-'GVFund Exp'!AL247+AJ247+AN247+AP247-'GV Fund BS'!W247</f>
        <v>0</v>
      </c>
      <c r="AS247" s="11"/>
    </row>
    <row r="248" spans="1:46" s="7" customFormat="1" ht="12.75" customHeight="1" x14ac:dyDescent="0.2">
      <c r="A248" s="6" t="s">
        <v>261</v>
      </c>
      <c r="C248" s="6" t="s">
        <v>51</v>
      </c>
      <c r="E248" s="8">
        <v>3460804</v>
      </c>
      <c r="F248" s="11"/>
      <c r="G248" s="8">
        <v>5999956</v>
      </c>
      <c r="H248" s="11"/>
      <c r="I248" s="8">
        <v>941155</v>
      </c>
      <c r="J248" s="11"/>
      <c r="K248" s="8">
        <v>110517</v>
      </c>
      <c r="L248" s="11"/>
      <c r="M248" s="8">
        <v>2410482</v>
      </c>
      <c r="N248" s="11"/>
      <c r="O248" s="8">
        <v>1526027</v>
      </c>
      <c r="P248" s="11"/>
      <c r="Q248" s="8">
        <v>123100</v>
      </c>
      <c r="R248" s="11"/>
      <c r="S248" s="8">
        <v>1817058</v>
      </c>
      <c r="T248" s="11"/>
      <c r="U248" s="8">
        <v>0</v>
      </c>
      <c r="V248" s="11"/>
      <c r="W248" s="11"/>
      <c r="X248" s="6"/>
      <c r="Z248" s="6"/>
      <c r="AA248" s="6"/>
      <c r="AB248" s="8">
        <v>627351</v>
      </c>
      <c r="AC248" s="20"/>
      <c r="AD248" s="8">
        <v>774643</v>
      </c>
      <c r="AE248" s="20"/>
      <c r="AF248" s="8">
        <v>0</v>
      </c>
      <c r="AG248" s="20"/>
      <c r="AH248" s="11">
        <f t="shared" si="17"/>
        <v>17791093</v>
      </c>
      <c r="AI248" s="11"/>
      <c r="AJ248" s="11">
        <v>0</v>
      </c>
      <c r="AK248" s="11"/>
      <c r="AL248" s="8">
        <v>2586497</v>
      </c>
      <c r="AM248" s="8"/>
      <c r="AN248" s="8">
        <v>20342634</v>
      </c>
      <c r="AO248" s="8"/>
      <c r="AP248" s="8">
        <v>0</v>
      </c>
      <c r="AQ248" s="8"/>
      <c r="AR248" s="8">
        <f>+'GVFund Rev'!U248+'GVFund Rev'!W248-'GVFund Exp'!AH248-'GVFund Exp'!AL248+AJ248+AN248+AP248-'GV Fund BS'!W248</f>
        <v>0</v>
      </c>
      <c r="AS248" s="11"/>
    </row>
    <row r="249" spans="1:46" s="7" customFormat="1" ht="12.75" customHeight="1" x14ac:dyDescent="0.2">
      <c r="A249" s="6" t="s">
        <v>262</v>
      </c>
      <c r="C249" s="6" t="s">
        <v>237</v>
      </c>
      <c r="E249" s="8">
        <v>491108</v>
      </c>
      <c r="F249" s="11"/>
      <c r="G249" s="8">
        <f>1550757+1461318+4592</f>
        <v>3016667</v>
      </c>
      <c r="H249" s="11"/>
      <c r="I249" s="8">
        <v>81344</v>
      </c>
      <c r="J249" s="11"/>
      <c r="K249" s="8">
        <v>143550</v>
      </c>
      <c r="L249" s="11"/>
      <c r="M249" s="8">
        <v>2396004</v>
      </c>
      <c r="N249" s="11"/>
      <c r="O249" s="8">
        <v>357705</v>
      </c>
      <c r="P249" s="11"/>
      <c r="Q249" s="8">
        <v>0</v>
      </c>
      <c r="R249" s="11"/>
      <c r="S249" s="8">
        <v>0</v>
      </c>
      <c r="T249" s="11"/>
      <c r="U249" s="8">
        <v>0</v>
      </c>
      <c r="V249" s="11"/>
      <c r="W249" s="11"/>
      <c r="X249" s="6"/>
      <c r="Z249" s="6"/>
      <c r="AA249" s="6"/>
      <c r="AB249" s="8">
        <v>261167</v>
      </c>
      <c r="AC249" s="20"/>
      <c r="AD249" s="8">
        <v>28938</v>
      </c>
      <c r="AE249" s="20"/>
      <c r="AF249" s="8">
        <v>0</v>
      </c>
      <c r="AG249" s="20"/>
      <c r="AH249" s="11">
        <f t="shared" si="17"/>
        <v>6776483</v>
      </c>
      <c r="AI249" s="11"/>
      <c r="AJ249" s="11">
        <v>0</v>
      </c>
      <c r="AK249" s="11"/>
      <c r="AL249" s="8">
        <v>1143500</v>
      </c>
      <c r="AM249" s="8"/>
      <c r="AN249" s="8">
        <v>6031747</v>
      </c>
      <c r="AO249" s="8"/>
      <c r="AP249" s="8">
        <v>0</v>
      </c>
      <c r="AQ249" s="8"/>
      <c r="AR249" s="8">
        <f>+'GVFund Rev'!U249+'GVFund Rev'!W249-'GVFund Exp'!AH249-'GVFund Exp'!AL249+AJ249+AN249+AP249-'GV Fund BS'!W249</f>
        <v>0</v>
      </c>
      <c r="AS249" s="11"/>
    </row>
    <row r="250" spans="1:46" s="7" customFormat="1" ht="12.75" customHeight="1" x14ac:dyDescent="0.2">
      <c r="A250" s="6" t="s">
        <v>109</v>
      </c>
      <c r="C250" s="7" t="s">
        <v>78</v>
      </c>
      <c r="E250" s="8">
        <v>7614421</v>
      </c>
      <c r="F250" s="11"/>
      <c r="G250" s="8">
        <v>17396017</v>
      </c>
      <c r="H250" s="11"/>
      <c r="I250" s="8">
        <f>1766330+3291712</f>
        <v>5058042</v>
      </c>
      <c r="J250" s="11"/>
      <c r="K250" s="8">
        <v>631915</v>
      </c>
      <c r="L250" s="11"/>
      <c r="M250" s="8">
        <v>1661599</v>
      </c>
      <c r="N250" s="11"/>
      <c r="O250" s="8">
        <v>493165</v>
      </c>
      <c r="P250" s="11"/>
      <c r="Q250" s="8">
        <v>0</v>
      </c>
      <c r="R250" s="11"/>
      <c r="S250" s="8">
        <v>2681709</v>
      </c>
      <c r="T250" s="11"/>
      <c r="U250" s="8">
        <v>0</v>
      </c>
      <c r="V250" s="11"/>
      <c r="W250" s="11"/>
      <c r="X250" s="6"/>
      <c r="Z250" s="6"/>
      <c r="AA250" s="6"/>
      <c r="AB250" s="8">
        <v>1043101</v>
      </c>
      <c r="AC250" s="20"/>
      <c r="AD250" s="8">
        <v>256922</v>
      </c>
      <c r="AE250" s="20"/>
      <c r="AF250" s="8">
        <v>44710</v>
      </c>
      <c r="AG250" s="20"/>
      <c r="AH250" s="11">
        <f t="shared" si="17"/>
        <v>36881601</v>
      </c>
      <c r="AI250" s="11"/>
      <c r="AJ250" s="11">
        <v>0</v>
      </c>
      <c r="AK250" s="11"/>
      <c r="AL250" s="8">
        <f>1085009+2451128</f>
        <v>3536137</v>
      </c>
      <c r="AM250" s="8"/>
      <c r="AN250" s="8">
        <v>18562865</v>
      </c>
      <c r="AO250" s="8"/>
      <c r="AP250" s="8">
        <v>0</v>
      </c>
      <c r="AQ250" s="8"/>
      <c r="AR250" s="8">
        <f>+'GVFund Rev'!U250+'GVFund Rev'!W250-'GVFund Exp'!AH250-'GVFund Exp'!AL250+AJ250+AN250+AP250-'GV Fund BS'!W250</f>
        <v>0</v>
      </c>
      <c r="AS250" s="11"/>
    </row>
    <row r="251" spans="1:46" s="7" customFormat="1" ht="12.75" hidden="1" customHeight="1" x14ac:dyDescent="0.2">
      <c r="A251" s="6" t="s">
        <v>263</v>
      </c>
      <c r="C251" s="7" t="s">
        <v>25</v>
      </c>
      <c r="E251" s="8">
        <v>3264306</v>
      </c>
      <c r="F251" s="11"/>
      <c r="G251" s="8">
        <f>5445407+4063276</f>
        <v>9508683</v>
      </c>
      <c r="H251" s="11"/>
      <c r="I251" s="8">
        <v>882581</v>
      </c>
      <c r="J251" s="11"/>
      <c r="K251" s="8">
        <v>55903</v>
      </c>
      <c r="L251" s="11"/>
      <c r="M251" s="8">
        <v>1739710</v>
      </c>
      <c r="N251" s="11"/>
      <c r="O251" s="8">
        <v>227370</v>
      </c>
      <c r="P251" s="11"/>
      <c r="Q251" s="8">
        <v>995680</v>
      </c>
      <c r="R251" s="11"/>
      <c r="S251" s="8">
        <v>7233855</v>
      </c>
      <c r="T251" s="11"/>
      <c r="U251" s="8">
        <v>0</v>
      </c>
      <c r="V251" s="11"/>
      <c r="W251" s="11"/>
      <c r="X251" s="6"/>
      <c r="Z251" s="6"/>
      <c r="AA251" s="6"/>
      <c r="AB251" s="8">
        <v>4030000</v>
      </c>
      <c r="AC251" s="20"/>
      <c r="AD251" s="8">
        <f>491367+86600</f>
        <v>577967</v>
      </c>
      <c r="AE251" s="20"/>
      <c r="AF251" s="8">
        <v>0</v>
      </c>
      <c r="AG251" s="20"/>
      <c r="AH251" s="11">
        <f t="shared" si="17"/>
        <v>28516055</v>
      </c>
      <c r="AI251" s="11"/>
      <c r="AJ251" s="11">
        <v>0</v>
      </c>
      <c r="AK251" s="11"/>
      <c r="AL251" s="8">
        <f>8935060+1617682</f>
        <v>10552742</v>
      </c>
      <c r="AM251" s="8"/>
      <c r="AN251" s="8">
        <v>333486</v>
      </c>
      <c r="AO251" s="8"/>
      <c r="AP251" s="8">
        <v>0</v>
      </c>
      <c r="AQ251" s="8"/>
      <c r="AR251" s="8">
        <f>+'GVFund Rev'!U251+'GVFund Rev'!W251-'GVFund Exp'!AH251-'GVFund Exp'!AL251+AJ251+AN251+AP251-'GV Fund BS'!W251</f>
        <v>0</v>
      </c>
      <c r="AS251" s="11"/>
    </row>
    <row r="252" spans="1:46" s="7" customFormat="1" ht="12.75" customHeight="1" x14ac:dyDescent="0.2">
      <c r="A252" s="6" t="s">
        <v>498</v>
      </c>
      <c r="C252" s="10" t="s">
        <v>448</v>
      </c>
      <c r="E252" s="8">
        <v>2678023</v>
      </c>
      <c r="F252" s="11"/>
      <c r="G252" s="8">
        <v>4096047</v>
      </c>
      <c r="H252" s="11"/>
      <c r="I252" s="8">
        <v>1659231</v>
      </c>
      <c r="J252" s="11"/>
      <c r="K252" s="8">
        <v>306331</v>
      </c>
      <c r="L252" s="11"/>
      <c r="M252" s="8">
        <v>1306557</v>
      </c>
      <c r="N252" s="11"/>
      <c r="O252" s="8">
        <v>67150</v>
      </c>
      <c r="P252" s="11"/>
      <c r="Q252" s="8">
        <v>0</v>
      </c>
      <c r="R252" s="11"/>
      <c r="S252" s="8">
        <v>1114287</v>
      </c>
      <c r="T252" s="11"/>
      <c r="U252" s="8">
        <v>0</v>
      </c>
      <c r="V252" s="11"/>
      <c r="W252" s="11"/>
      <c r="X252" s="6"/>
      <c r="Z252" s="6"/>
      <c r="AA252" s="6"/>
      <c r="AB252" s="8">
        <v>675932</v>
      </c>
      <c r="AC252" s="20"/>
      <c r="AD252" s="8">
        <v>598673</v>
      </c>
      <c r="AE252" s="20"/>
      <c r="AF252" s="8">
        <v>0</v>
      </c>
      <c r="AG252" s="20"/>
      <c r="AH252" s="11">
        <f t="shared" si="17"/>
        <v>12502231</v>
      </c>
      <c r="AI252" s="11"/>
      <c r="AJ252" s="11">
        <v>0</v>
      </c>
      <c r="AK252" s="11"/>
      <c r="AL252" s="8">
        <v>20000</v>
      </c>
      <c r="AM252" s="8"/>
      <c r="AN252" s="8">
        <v>3798052</v>
      </c>
      <c r="AO252" s="8"/>
      <c r="AP252" s="8">
        <v>0</v>
      </c>
      <c r="AQ252" s="8"/>
      <c r="AR252" s="8">
        <f>+'GVFund Rev'!U252+'GVFund Rev'!W252-'GVFund Exp'!AH252-'GVFund Exp'!AL252+AJ252+AN252+AP252-'GV Fund BS'!W252</f>
        <v>0</v>
      </c>
      <c r="AS252" s="11"/>
    </row>
    <row r="253" spans="1:46" s="7" customFormat="1" ht="12.75" customHeight="1" x14ac:dyDescent="0.2">
      <c r="A253" s="7" t="s">
        <v>499</v>
      </c>
      <c r="B253" s="10"/>
      <c r="C253" s="7" t="s">
        <v>161</v>
      </c>
      <c r="E253" s="8">
        <v>1124543</v>
      </c>
      <c r="F253" s="11"/>
      <c r="G253" s="8">
        <f>1124443+358712+69844</f>
        <v>1552999</v>
      </c>
      <c r="H253" s="11"/>
      <c r="I253" s="8">
        <v>85375</v>
      </c>
      <c r="J253" s="11"/>
      <c r="K253" s="8">
        <v>0</v>
      </c>
      <c r="L253" s="11"/>
      <c r="M253" s="8">
        <v>1136276</v>
      </c>
      <c r="N253" s="11"/>
      <c r="O253" s="8">
        <v>56565</v>
      </c>
      <c r="P253" s="11"/>
      <c r="Q253" s="8">
        <v>257572</v>
      </c>
      <c r="R253" s="11"/>
      <c r="S253" s="8">
        <v>0</v>
      </c>
      <c r="T253" s="11"/>
      <c r="U253" s="8">
        <v>0</v>
      </c>
      <c r="V253" s="11"/>
      <c r="W253" s="11"/>
      <c r="X253" s="6"/>
      <c r="Z253" s="6"/>
      <c r="AA253" s="6"/>
      <c r="AB253" s="8">
        <v>102646</v>
      </c>
      <c r="AC253" s="20"/>
      <c r="AD253" s="8">
        <v>318021</v>
      </c>
      <c r="AE253" s="20"/>
      <c r="AF253" s="8">
        <v>2352821</v>
      </c>
      <c r="AG253" s="20"/>
      <c r="AH253" s="11">
        <f t="shared" ref="AH253" si="18">SUM(E253:AF253)</f>
        <v>6986818</v>
      </c>
      <c r="AI253" s="11"/>
      <c r="AJ253" s="11">
        <v>0</v>
      </c>
      <c r="AK253" s="11"/>
      <c r="AL253" s="8">
        <f>1460545+574908</f>
        <v>2035453</v>
      </c>
      <c r="AM253" s="8"/>
      <c r="AN253" s="8">
        <v>1801823</v>
      </c>
      <c r="AO253" s="8"/>
      <c r="AP253" s="8">
        <v>0</v>
      </c>
      <c r="AQ253" s="8"/>
      <c r="AR253" s="8">
        <f>+'GVFund Rev'!U253+'GVFund Rev'!W253-'GVFund Exp'!AH253-'GVFund Exp'!AL253+AJ253+AN253+AP253-'GV Fund BS'!W253</f>
        <v>0</v>
      </c>
      <c r="AS253" s="11"/>
    </row>
    <row r="254" spans="1:46" s="7" customFormat="1" ht="12.75" customHeight="1" x14ac:dyDescent="0.2">
      <c r="A254" s="19" t="s">
        <v>264</v>
      </c>
      <c r="B254" s="9"/>
      <c r="C254" s="19" t="s">
        <v>265</v>
      </c>
      <c r="D254" s="9"/>
      <c r="E254" s="8">
        <v>589974</v>
      </c>
      <c r="F254" s="11"/>
      <c r="G254" s="8">
        <v>2360239</v>
      </c>
      <c r="H254" s="11"/>
      <c r="I254" s="8">
        <v>205510</v>
      </c>
      <c r="J254" s="11"/>
      <c r="K254" s="8">
        <v>0</v>
      </c>
      <c r="L254" s="11"/>
      <c r="M254" s="8">
        <v>671442</v>
      </c>
      <c r="N254" s="11"/>
      <c r="O254" s="8">
        <v>380274</v>
      </c>
      <c r="P254" s="11"/>
      <c r="Q254" s="8">
        <v>16310</v>
      </c>
      <c r="R254" s="11"/>
      <c r="S254" s="8">
        <v>923662</v>
      </c>
      <c r="T254" s="11"/>
      <c r="U254" s="8">
        <v>0</v>
      </c>
      <c r="V254" s="11"/>
      <c r="W254" s="11"/>
      <c r="X254" s="6"/>
      <c r="Z254" s="6"/>
      <c r="AA254" s="6"/>
      <c r="AB254" s="8">
        <v>125000</v>
      </c>
      <c r="AC254" s="20"/>
      <c r="AD254" s="8">
        <v>104625</v>
      </c>
      <c r="AE254" s="20"/>
      <c r="AF254" s="8">
        <v>0</v>
      </c>
      <c r="AG254" s="20"/>
      <c r="AH254" s="11">
        <f t="shared" si="17"/>
        <v>5377036</v>
      </c>
      <c r="AI254" s="11"/>
      <c r="AJ254" s="11">
        <v>0</v>
      </c>
      <c r="AK254" s="11"/>
      <c r="AL254" s="8">
        <f>39012+225625</f>
        <v>264637</v>
      </c>
      <c r="AM254" s="8"/>
      <c r="AN254" s="8">
        <v>4186141</v>
      </c>
      <c r="AO254" s="8"/>
      <c r="AP254" s="8">
        <v>-7530</v>
      </c>
      <c r="AQ254" s="8"/>
      <c r="AR254" s="8">
        <f>+'GVFund Rev'!U254+'GVFund Rev'!W254-'GVFund Exp'!AH254-'GVFund Exp'!AL254+AJ254+AN254+AP254-'GV Fund BS'!W254</f>
        <v>0</v>
      </c>
      <c r="AS254" s="11"/>
    </row>
    <row r="255" spans="1:46" s="9" customFormat="1" ht="12.75" hidden="1" customHeight="1" x14ac:dyDescent="0.2">
      <c r="A255" s="6" t="s">
        <v>266</v>
      </c>
      <c r="B255" s="7"/>
      <c r="C255" s="6" t="s">
        <v>267</v>
      </c>
      <c r="D255" s="7"/>
      <c r="E255" s="8">
        <v>843285</v>
      </c>
      <c r="F255" s="11"/>
      <c r="G255" s="8">
        <v>1376574</v>
      </c>
      <c r="H255" s="11"/>
      <c r="I255" s="8">
        <v>0</v>
      </c>
      <c r="J255" s="11"/>
      <c r="K255" s="8">
        <v>1470</v>
      </c>
      <c r="L255" s="11"/>
      <c r="M255" s="8">
        <v>543464</v>
      </c>
      <c r="N255" s="11"/>
      <c r="O255" s="8">
        <v>82919</v>
      </c>
      <c r="P255" s="11"/>
      <c r="Q255" s="8">
        <v>0</v>
      </c>
      <c r="R255" s="11"/>
      <c r="S255" s="8">
        <v>9191</v>
      </c>
      <c r="T255" s="11"/>
      <c r="U255" s="8">
        <v>0</v>
      </c>
      <c r="V255" s="11"/>
      <c r="W255" s="11"/>
      <c r="X255" s="6"/>
      <c r="Y255" s="7"/>
      <c r="Z255" s="6"/>
      <c r="AA255" s="6"/>
      <c r="AB255" s="8">
        <v>930702</v>
      </c>
      <c r="AC255" s="20"/>
      <c r="AD255" s="8">
        <v>32798</v>
      </c>
      <c r="AE255" s="20"/>
      <c r="AF255" s="8">
        <v>0</v>
      </c>
      <c r="AG255" s="20"/>
      <c r="AH255" s="11">
        <f t="shared" si="17"/>
        <v>3820403</v>
      </c>
      <c r="AI255" s="11"/>
      <c r="AJ255" s="11">
        <v>0</v>
      </c>
      <c r="AK255" s="11"/>
      <c r="AL255" s="8">
        <v>1079556</v>
      </c>
      <c r="AM255" s="8"/>
      <c r="AN255" s="8">
        <v>1487022</v>
      </c>
      <c r="AO255" s="8"/>
      <c r="AP255" s="8">
        <v>0</v>
      </c>
      <c r="AQ255" s="8"/>
      <c r="AR255" s="8">
        <f>+'GVFund Rev'!U255+'GVFund Rev'!W255-'GVFund Exp'!AH255-'GVFund Exp'!AL255+AJ255+AN255+AP255-'GV Fund BS'!W255</f>
        <v>0</v>
      </c>
      <c r="AS255" s="11"/>
    </row>
    <row r="256" spans="1:46" s="7" customFormat="1" ht="12.75" customHeight="1" x14ac:dyDescent="0.2">
      <c r="A256" s="6" t="s">
        <v>268</v>
      </c>
      <c r="C256" s="6" t="s">
        <v>134</v>
      </c>
      <c r="E256" s="8">
        <v>734164</v>
      </c>
      <c r="F256" s="11"/>
      <c r="G256" s="8">
        <v>1238036</v>
      </c>
      <c r="H256" s="11"/>
      <c r="I256" s="8">
        <v>1107014</v>
      </c>
      <c r="J256" s="11"/>
      <c r="K256" s="8">
        <v>11957</v>
      </c>
      <c r="L256" s="11"/>
      <c r="M256" s="8">
        <v>235065</v>
      </c>
      <c r="N256" s="11"/>
      <c r="O256" s="8">
        <v>0</v>
      </c>
      <c r="P256" s="11"/>
      <c r="Q256" s="8">
        <v>0</v>
      </c>
      <c r="R256" s="11"/>
      <c r="S256" s="8">
        <v>0</v>
      </c>
      <c r="T256" s="11"/>
      <c r="U256" s="8">
        <v>0</v>
      </c>
      <c r="V256" s="11"/>
      <c r="W256" s="11"/>
      <c r="X256" s="6"/>
      <c r="Z256" s="6"/>
      <c r="AA256" s="6"/>
      <c r="AB256" s="8">
        <v>15102</v>
      </c>
      <c r="AC256" s="20"/>
      <c r="AD256" s="8">
        <v>5897</v>
      </c>
      <c r="AE256" s="20"/>
      <c r="AF256" s="8">
        <v>0</v>
      </c>
      <c r="AG256" s="20"/>
      <c r="AH256" s="11">
        <f t="shared" si="17"/>
        <v>3347235</v>
      </c>
      <c r="AI256" s="11"/>
      <c r="AJ256" s="11">
        <v>0</v>
      </c>
      <c r="AK256" s="11"/>
      <c r="AL256" s="8">
        <v>189518</v>
      </c>
      <c r="AM256" s="8"/>
      <c r="AN256" s="8">
        <v>4486448</v>
      </c>
      <c r="AO256" s="8"/>
      <c r="AP256" s="8">
        <v>0</v>
      </c>
      <c r="AQ256" s="8"/>
      <c r="AR256" s="8">
        <f>+'GVFund Rev'!U256+'GVFund Rev'!W256-'GVFund Exp'!AH256-'GVFund Exp'!AL256+AJ256+AN256+AP256-'GV Fund BS'!W256</f>
        <v>0</v>
      </c>
      <c r="AS256" s="11"/>
    </row>
    <row r="257" spans="1:45" s="7" customFormat="1" ht="12.75" customHeight="1" x14ac:dyDescent="0.2">
      <c r="A257" s="19" t="s">
        <v>269</v>
      </c>
      <c r="B257" s="9"/>
      <c r="C257" s="19" t="s">
        <v>64</v>
      </c>
      <c r="D257" s="9"/>
      <c r="E257" s="8">
        <v>870550</v>
      </c>
      <c r="F257" s="11"/>
      <c r="G257" s="8">
        <v>5267419</v>
      </c>
      <c r="H257" s="11"/>
      <c r="I257" s="8">
        <v>1863931</v>
      </c>
      <c r="J257" s="11"/>
      <c r="K257" s="8">
        <v>0</v>
      </c>
      <c r="L257" s="11"/>
      <c r="M257" s="8">
        <v>1099474</v>
      </c>
      <c r="N257" s="11"/>
      <c r="O257" s="8">
        <v>700629</v>
      </c>
      <c r="P257" s="11"/>
      <c r="Q257" s="8">
        <v>0</v>
      </c>
      <c r="R257" s="11"/>
      <c r="S257" s="8">
        <v>0</v>
      </c>
      <c r="T257" s="11"/>
      <c r="U257" s="8">
        <v>0</v>
      </c>
      <c r="V257" s="11"/>
      <c r="W257" s="11"/>
      <c r="X257" s="6"/>
      <c r="Z257" s="6"/>
      <c r="AA257" s="6"/>
      <c r="AB257" s="8">
        <v>325000</v>
      </c>
      <c r="AC257" s="20"/>
      <c r="AD257" s="8">
        <v>151035</v>
      </c>
      <c r="AE257" s="20"/>
      <c r="AF257" s="8">
        <v>0</v>
      </c>
      <c r="AG257" s="20"/>
      <c r="AH257" s="11">
        <f t="shared" si="17"/>
        <v>10278038</v>
      </c>
      <c r="AI257" s="11"/>
      <c r="AJ257" s="11">
        <v>0</v>
      </c>
      <c r="AK257" s="11"/>
      <c r="AL257" s="8">
        <v>1869541</v>
      </c>
      <c r="AM257" s="8"/>
      <c r="AN257" s="8">
        <v>2833065</v>
      </c>
      <c r="AO257" s="8"/>
      <c r="AP257" s="8">
        <v>0</v>
      </c>
      <c r="AQ257" s="8"/>
      <c r="AR257" s="8">
        <f>+'GVFund Rev'!U257+'GVFund Rev'!W257-'GVFund Exp'!AH257-'GVFund Exp'!AL257+AJ257+AN257+AP257-'GV Fund BS'!W257</f>
        <v>0</v>
      </c>
      <c r="AS257" s="11"/>
    </row>
    <row r="258" spans="1:45" s="7" customFormat="1" ht="12.75" customHeight="1" x14ac:dyDescent="0.2">
      <c r="A258" s="6" t="s">
        <v>270</v>
      </c>
      <c r="C258" s="6" t="s">
        <v>41</v>
      </c>
      <c r="E258" s="8">
        <v>14196157</v>
      </c>
      <c r="F258" s="11"/>
      <c r="G258" s="8">
        <v>26593184</v>
      </c>
      <c r="H258" s="11"/>
      <c r="I258" s="8">
        <v>2853154</v>
      </c>
      <c r="J258" s="11"/>
      <c r="K258" s="8">
        <v>71500</v>
      </c>
      <c r="L258" s="11"/>
      <c r="M258" s="8">
        <v>2148313</v>
      </c>
      <c r="N258" s="11"/>
      <c r="O258" s="8">
        <v>8698270</v>
      </c>
      <c r="P258" s="11"/>
      <c r="Q258" s="8">
        <v>665789</v>
      </c>
      <c r="R258" s="11"/>
      <c r="S258" s="8">
        <v>11274360</v>
      </c>
      <c r="T258" s="11"/>
      <c r="U258" s="8">
        <v>0</v>
      </c>
      <c r="V258" s="11"/>
      <c r="W258" s="11"/>
      <c r="X258" s="6"/>
      <c r="Z258" s="6"/>
      <c r="AA258" s="6"/>
      <c r="AB258" s="8">
        <v>2779781</v>
      </c>
      <c r="AC258" s="20"/>
      <c r="AD258" s="8">
        <v>1227503</v>
      </c>
      <c r="AE258" s="20"/>
      <c r="AF258" s="8">
        <v>0</v>
      </c>
      <c r="AG258" s="20"/>
      <c r="AH258" s="11">
        <f t="shared" si="17"/>
        <v>70508011</v>
      </c>
      <c r="AI258" s="11"/>
      <c r="AJ258" s="11">
        <v>0</v>
      </c>
      <c r="AK258" s="11"/>
      <c r="AL258" s="8">
        <f>4083163+13896402</f>
        <v>17979565</v>
      </c>
      <c r="AM258" s="8"/>
      <c r="AN258" s="8">
        <v>52432962</v>
      </c>
      <c r="AO258" s="8"/>
      <c r="AP258" s="8">
        <v>0</v>
      </c>
      <c r="AQ258" s="8"/>
      <c r="AR258" s="8">
        <f>+'GVFund Rev'!U258+'GVFund Rev'!W258-'GVFund Exp'!AH258-'GVFund Exp'!AL258+AJ258+AN258+AP258-'GV Fund BS'!W258</f>
        <v>0</v>
      </c>
      <c r="AS258" s="11"/>
    </row>
    <row r="259" spans="1:45" s="7" customFormat="1" ht="12.75" customHeight="1" x14ac:dyDescent="0.2">
      <c r="A259" s="6" t="s">
        <v>271</v>
      </c>
      <c r="C259" s="6" t="s">
        <v>25</v>
      </c>
      <c r="E259" s="8">
        <v>6937556</v>
      </c>
      <c r="F259" s="11"/>
      <c r="G259" s="8">
        <v>14314721</v>
      </c>
      <c r="H259" s="11"/>
      <c r="I259" s="8">
        <v>1468880</v>
      </c>
      <c r="J259" s="11"/>
      <c r="K259" s="8">
        <v>1060754</v>
      </c>
      <c r="L259" s="11"/>
      <c r="M259" s="8">
        <v>7028529</v>
      </c>
      <c r="N259" s="11"/>
      <c r="O259" s="8">
        <v>3097749</v>
      </c>
      <c r="P259" s="11"/>
      <c r="Q259" s="8">
        <v>817980</v>
      </c>
      <c r="R259" s="11"/>
      <c r="S259" s="8">
        <v>5210403</v>
      </c>
      <c r="T259" s="11"/>
      <c r="U259" s="8">
        <v>0</v>
      </c>
      <c r="V259" s="11"/>
      <c r="W259" s="11"/>
      <c r="X259" s="6"/>
      <c r="Z259" s="6"/>
      <c r="AA259" s="6"/>
      <c r="AB259" s="8">
        <v>2008451</v>
      </c>
      <c r="AC259" s="20"/>
      <c r="AD259" s="8">
        <v>719472</v>
      </c>
      <c r="AE259" s="20"/>
      <c r="AF259" s="8">
        <v>0</v>
      </c>
      <c r="AG259" s="20"/>
      <c r="AH259" s="11">
        <f t="shared" si="17"/>
        <v>42664495</v>
      </c>
      <c r="AI259" s="11"/>
      <c r="AJ259" s="11">
        <v>0</v>
      </c>
      <c r="AK259" s="11"/>
      <c r="AL259" s="8">
        <v>1742430</v>
      </c>
      <c r="AM259" s="8"/>
      <c r="AN259" s="8">
        <v>66607037</v>
      </c>
      <c r="AO259" s="8"/>
      <c r="AP259" s="8">
        <v>0</v>
      </c>
      <c r="AQ259" s="8"/>
      <c r="AR259" s="8">
        <f>+'GVFund Rev'!U259+'GVFund Rev'!W259-'GVFund Exp'!AH259-'GVFund Exp'!AL259+AJ259+AN259+AP259-'GV Fund BS'!W259</f>
        <v>0</v>
      </c>
      <c r="AS259" s="11"/>
    </row>
    <row r="260" spans="1:45" s="7" customFormat="1" ht="12.75" customHeight="1" x14ac:dyDescent="0.2">
      <c r="A260" s="6" t="s">
        <v>272</v>
      </c>
      <c r="C260" s="6" t="s">
        <v>41</v>
      </c>
      <c r="E260" s="8">
        <v>7891199</v>
      </c>
      <c r="F260" s="11"/>
      <c r="G260" s="8">
        <v>12105729</v>
      </c>
      <c r="H260" s="11"/>
      <c r="I260" s="8">
        <f>27635+253708</f>
        <v>281343</v>
      </c>
      <c r="J260" s="11"/>
      <c r="K260" s="8">
        <v>105603</v>
      </c>
      <c r="L260" s="11"/>
      <c r="M260" s="8">
        <v>1630671</v>
      </c>
      <c r="N260" s="11"/>
      <c r="O260" s="8">
        <v>724127</v>
      </c>
      <c r="P260" s="11"/>
      <c r="Q260" s="8">
        <v>1236778</v>
      </c>
      <c r="R260" s="11"/>
      <c r="S260" s="8">
        <v>3030160</v>
      </c>
      <c r="T260" s="11"/>
      <c r="U260" s="8">
        <v>0</v>
      </c>
      <c r="V260" s="11"/>
      <c r="W260" s="11"/>
      <c r="X260" s="6"/>
      <c r="Z260" s="6"/>
      <c r="AA260" s="6"/>
      <c r="AB260" s="8">
        <v>240955</v>
      </c>
      <c r="AC260" s="20"/>
      <c r="AD260" s="8">
        <v>55260</v>
      </c>
      <c r="AE260" s="20"/>
      <c r="AF260" s="8">
        <v>0</v>
      </c>
      <c r="AG260" s="20"/>
      <c r="AH260" s="11">
        <f t="shared" si="17"/>
        <v>27301825</v>
      </c>
      <c r="AI260" s="11"/>
      <c r="AJ260" s="11">
        <v>0</v>
      </c>
      <c r="AK260" s="11"/>
      <c r="AL260" s="8">
        <v>2831434</v>
      </c>
      <c r="AM260" s="8"/>
      <c r="AN260" s="8">
        <v>13431483</v>
      </c>
      <c r="AO260" s="8"/>
      <c r="AP260" s="8">
        <v>0</v>
      </c>
      <c r="AQ260" s="8"/>
      <c r="AR260" s="8">
        <f>+'GVFund Rev'!U260+'GVFund Rev'!W260-'GVFund Exp'!AH260-'GVFund Exp'!AL260+AJ260+AN260+AP260-'GV Fund BS'!W260</f>
        <v>0</v>
      </c>
      <c r="AS260" s="11"/>
    </row>
    <row r="261" spans="1:45" s="7" customFormat="1" ht="12.75" customHeight="1" x14ac:dyDescent="0.2">
      <c r="A261" s="6" t="s">
        <v>273</v>
      </c>
      <c r="C261" s="6" t="s">
        <v>90</v>
      </c>
      <c r="E261" s="8">
        <v>4544594</v>
      </c>
      <c r="F261" s="11"/>
      <c r="G261" s="8">
        <v>6376558</v>
      </c>
      <c r="H261" s="11"/>
      <c r="I261" s="8">
        <v>280302</v>
      </c>
      <c r="J261" s="11"/>
      <c r="K261" s="8">
        <v>79610</v>
      </c>
      <c r="L261" s="11"/>
      <c r="M261" s="8">
        <v>1953975</v>
      </c>
      <c r="N261" s="11"/>
      <c r="O261" s="8">
        <v>879056</v>
      </c>
      <c r="P261" s="11"/>
      <c r="Q261" s="8">
        <v>1140837</v>
      </c>
      <c r="R261" s="11"/>
      <c r="S261" s="8">
        <v>4923176</v>
      </c>
      <c r="T261" s="11"/>
      <c r="U261" s="8">
        <v>0</v>
      </c>
      <c r="V261" s="11"/>
      <c r="W261" s="11"/>
      <c r="X261" s="6"/>
      <c r="Z261" s="6"/>
      <c r="AA261" s="6"/>
      <c r="AB261" s="8">
        <v>177097</v>
      </c>
      <c r="AC261" s="20"/>
      <c r="AD261" s="8">
        <v>88279</v>
      </c>
      <c r="AE261" s="20"/>
      <c r="AF261" s="8">
        <v>0</v>
      </c>
      <c r="AG261" s="20"/>
      <c r="AH261" s="11">
        <f t="shared" si="17"/>
        <v>20443484</v>
      </c>
      <c r="AI261" s="11"/>
      <c r="AJ261" s="11">
        <v>0</v>
      </c>
      <c r="AK261" s="11"/>
      <c r="AL261" s="8">
        <v>213753</v>
      </c>
      <c r="AM261" s="8"/>
      <c r="AN261" s="8">
        <v>11852403</v>
      </c>
      <c r="AO261" s="8"/>
      <c r="AP261" s="8">
        <v>-1137</v>
      </c>
      <c r="AQ261" s="8"/>
      <c r="AR261" s="8">
        <f>+'GVFund Rev'!U261+'GVFund Rev'!W261-'GVFund Exp'!AH261-'GVFund Exp'!AL261+AJ261+AN261+AP261-'GV Fund BS'!W261</f>
        <v>0</v>
      </c>
      <c r="AS261" s="11"/>
    </row>
    <row r="262" spans="1:45" s="7" customFormat="1" ht="12.75" customHeight="1" x14ac:dyDescent="0.2">
      <c r="A262" s="6" t="s">
        <v>274</v>
      </c>
      <c r="C262" s="6" t="s">
        <v>36</v>
      </c>
      <c r="E262" s="8">
        <v>731113</v>
      </c>
      <c r="F262" s="11"/>
      <c r="G262" s="8">
        <v>2327024</v>
      </c>
      <c r="H262" s="11"/>
      <c r="I262" s="8">
        <v>210868</v>
      </c>
      <c r="J262" s="11"/>
      <c r="K262" s="8">
        <v>36929</v>
      </c>
      <c r="L262" s="11"/>
      <c r="M262" s="8">
        <v>737599</v>
      </c>
      <c r="N262" s="11"/>
      <c r="O262" s="8">
        <v>294073</v>
      </c>
      <c r="P262" s="11"/>
      <c r="Q262" s="8">
        <v>0</v>
      </c>
      <c r="R262" s="11"/>
      <c r="S262" s="8">
        <v>769659</v>
      </c>
      <c r="T262" s="11"/>
      <c r="U262" s="8">
        <v>0</v>
      </c>
      <c r="V262" s="11"/>
      <c r="W262" s="11"/>
      <c r="X262" s="6"/>
      <c r="Z262" s="6"/>
      <c r="AA262" s="6"/>
      <c r="AB262" s="8">
        <v>198302</v>
      </c>
      <c r="AC262" s="20"/>
      <c r="AD262" s="8">
        <v>33088</v>
      </c>
      <c r="AE262" s="20"/>
      <c r="AF262" s="8">
        <v>0</v>
      </c>
      <c r="AG262" s="20"/>
      <c r="AH262" s="11">
        <f t="shared" si="17"/>
        <v>5338655</v>
      </c>
      <c r="AI262" s="11"/>
      <c r="AJ262" s="11">
        <v>0</v>
      </c>
      <c r="AK262" s="11"/>
      <c r="AL262" s="8">
        <v>268000</v>
      </c>
      <c r="AM262" s="8"/>
      <c r="AN262" s="8">
        <v>6451803</v>
      </c>
      <c r="AO262" s="8"/>
      <c r="AP262" s="8">
        <v>0</v>
      </c>
      <c r="AQ262" s="8"/>
      <c r="AR262" s="8">
        <f>+'GVFund Rev'!U262+'GVFund Rev'!W262-'GVFund Exp'!AH262-'GVFund Exp'!AL262+AJ262+AN262+AP262-'GV Fund BS'!W262</f>
        <v>0</v>
      </c>
      <c r="AS262" s="11"/>
    </row>
    <row r="263" spans="1:45" s="7" customFormat="1" ht="12.75" customHeight="1" x14ac:dyDescent="0.2">
      <c r="A263" s="6" t="s">
        <v>275</v>
      </c>
      <c r="C263" s="6" t="s">
        <v>90</v>
      </c>
      <c r="E263" s="8">
        <v>6445748</v>
      </c>
      <c r="F263" s="11"/>
      <c r="G263" s="8">
        <v>14120745</v>
      </c>
      <c r="H263" s="11"/>
      <c r="I263" s="8">
        <v>820394</v>
      </c>
      <c r="J263" s="11"/>
      <c r="K263" s="8">
        <v>390500</v>
      </c>
      <c r="L263" s="11"/>
      <c r="M263" s="8">
        <v>1236377</v>
      </c>
      <c r="N263" s="11"/>
      <c r="O263" s="8">
        <v>1806323</v>
      </c>
      <c r="P263" s="11"/>
      <c r="Q263" s="8">
        <v>718336</v>
      </c>
      <c r="R263" s="11"/>
      <c r="S263" s="8">
        <v>2637979</v>
      </c>
      <c r="T263" s="11"/>
      <c r="U263" s="8">
        <v>0</v>
      </c>
      <c r="V263" s="11"/>
      <c r="W263" s="11"/>
      <c r="X263" s="6"/>
      <c r="Z263" s="6"/>
      <c r="AA263" s="6"/>
      <c r="AB263" s="8">
        <v>582784</v>
      </c>
      <c r="AC263" s="20"/>
      <c r="AD263" s="8">
        <v>303736</v>
      </c>
      <c r="AE263" s="20"/>
      <c r="AF263" s="8">
        <v>229294</v>
      </c>
      <c r="AG263" s="20"/>
      <c r="AH263" s="11">
        <f t="shared" si="17"/>
        <v>29292216</v>
      </c>
      <c r="AI263" s="11"/>
      <c r="AJ263" s="11">
        <v>0</v>
      </c>
      <c r="AK263" s="11"/>
      <c r="AL263" s="8">
        <f>4720610+4594158</f>
        <v>9314768</v>
      </c>
      <c r="AM263" s="8"/>
      <c r="AN263" s="8">
        <v>13105467</v>
      </c>
      <c r="AO263" s="8"/>
      <c r="AP263" s="8">
        <v>97093</v>
      </c>
      <c r="AQ263" s="8"/>
      <c r="AR263" s="8">
        <f>+'GVFund Rev'!U263+'GVFund Rev'!W263-'GVFund Exp'!AH263-'GVFund Exp'!AL263+AJ263+AN263+AP263-'GV Fund BS'!W263</f>
        <v>0</v>
      </c>
      <c r="AS263" s="11"/>
    </row>
    <row r="264" spans="1:45" s="7" customFormat="1" ht="12.75" customHeight="1" x14ac:dyDescent="0.2">
      <c r="A264" s="19" t="s">
        <v>276</v>
      </c>
      <c r="B264" s="9"/>
      <c r="C264" s="19" t="s">
        <v>90</v>
      </c>
      <c r="D264" s="9"/>
      <c r="E264" s="8">
        <v>2819011</v>
      </c>
      <c r="F264" s="11"/>
      <c r="G264" s="8">
        <f>3405006+2060488</f>
        <v>5465494</v>
      </c>
      <c r="H264" s="11"/>
      <c r="I264" s="8">
        <v>163049</v>
      </c>
      <c r="J264" s="11"/>
      <c r="K264" s="8">
        <v>0</v>
      </c>
      <c r="L264" s="11"/>
      <c r="M264" s="8">
        <v>2210420</v>
      </c>
      <c r="N264" s="11"/>
      <c r="O264" s="8">
        <v>258876</v>
      </c>
      <c r="P264" s="11"/>
      <c r="Q264" s="8">
        <v>0</v>
      </c>
      <c r="R264" s="11"/>
      <c r="S264" s="8">
        <v>546685</v>
      </c>
      <c r="T264" s="11"/>
      <c r="U264" s="8">
        <v>0</v>
      </c>
      <c r="V264" s="11"/>
      <c r="W264" s="11"/>
      <c r="X264" s="6"/>
      <c r="Z264" s="6"/>
      <c r="AA264" s="6"/>
      <c r="AB264" s="8">
        <v>700970</v>
      </c>
      <c r="AC264" s="20"/>
      <c r="AD264" s="8">
        <v>356930</v>
      </c>
      <c r="AE264" s="20"/>
      <c r="AF264" s="8">
        <v>1200000</v>
      </c>
      <c r="AG264" s="20"/>
      <c r="AH264" s="11">
        <f t="shared" si="17"/>
        <v>13721435</v>
      </c>
      <c r="AI264" s="11"/>
      <c r="AJ264" s="11">
        <v>0</v>
      </c>
      <c r="AK264" s="11"/>
      <c r="AL264" s="8">
        <v>4801447</v>
      </c>
      <c r="AM264" s="8"/>
      <c r="AN264" s="8">
        <v>2355261</v>
      </c>
      <c r="AO264" s="8"/>
      <c r="AP264" s="8">
        <v>0</v>
      </c>
      <c r="AQ264" s="8"/>
      <c r="AR264" s="8">
        <f>+'GVFund Rev'!U264+'GVFund Rev'!W264-'GVFund Exp'!AH264-'GVFund Exp'!AL264+AJ264+AN264+AP264-'GV Fund BS'!W264</f>
        <v>0</v>
      </c>
      <c r="AS264" s="11"/>
    </row>
    <row r="265" spans="1:45" s="7" customFormat="1" ht="12.75" customHeight="1" x14ac:dyDescent="0.2">
      <c r="A265" s="6" t="s">
        <v>277</v>
      </c>
      <c r="C265" s="6" t="s">
        <v>90</v>
      </c>
      <c r="E265" s="8">
        <v>1665061</v>
      </c>
      <c r="F265" s="11"/>
      <c r="G265" s="8">
        <v>4976655</v>
      </c>
      <c r="H265" s="11"/>
      <c r="I265" s="8">
        <v>417343</v>
      </c>
      <c r="J265" s="11"/>
      <c r="K265" s="8">
        <v>102327</v>
      </c>
      <c r="L265" s="11"/>
      <c r="M265" s="8">
        <v>934407</v>
      </c>
      <c r="N265" s="11"/>
      <c r="O265" s="8">
        <v>829275</v>
      </c>
      <c r="P265" s="11"/>
      <c r="Q265" s="8">
        <v>1311156</v>
      </c>
      <c r="R265" s="11"/>
      <c r="S265" s="8">
        <v>1591385</v>
      </c>
      <c r="T265" s="11"/>
      <c r="U265" s="8">
        <v>0</v>
      </c>
      <c r="V265" s="11"/>
      <c r="W265" s="11"/>
      <c r="X265" s="6"/>
      <c r="Z265" s="6"/>
      <c r="AA265" s="6"/>
      <c r="AB265" s="8">
        <v>2207752</v>
      </c>
      <c r="AC265" s="20"/>
      <c r="AD265" s="8">
        <v>28402</v>
      </c>
      <c r="AE265" s="20"/>
      <c r="AF265" s="8">
        <v>0</v>
      </c>
      <c r="AG265" s="20"/>
      <c r="AH265" s="11">
        <f t="shared" si="17"/>
        <v>14063763</v>
      </c>
      <c r="AI265" s="11"/>
      <c r="AJ265" s="11">
        <v>0</v>
      </c>
      <c r="AK265" s="11"/>
      <c r="AL265" s="8">
        <v>310000</v>
      </c>
      <c r="AM265" s="8"/>
      <c r="AN265" s="8">
        <v>5764080</v>
      </c>
      <c r="AO265" s="8"/>
      <c r="AP265" s="8">
        <v>0</v>
      </c>
      <c r="AQ265" s="8"/>
      <c r="AR265" s="8">
        <f>+'GVFund Rev'!U265+'GVFund Rev'!W265-'GVFund Exp'!AH265-'GVFund Exp'!AL265+AJ265+AN265+AP265-'GV Fund BS'!W265</f>
        <v>0</v>
      </c>
      <c r="AS265" s="11"/>
    </row>
    <row r="266" spans="1:45" s="7" customFormat="1" ht="12.75" customHeight="1" x14ac:dyDescent="0.2">
      <c r="A266" s="6" t="s">
        <v>278</v>
      </c>
      <c r="C266" s="6" t="s">
        <v>279</v>
      </c>
      <c r="E266" s="8">
        <v>3767232</v>
      </c>
      <c r="F266" s="11"/>
      <c r="G266" s="8">
        <v>4443189</v>
      </c>
      <c r="H266" s="11"/>
      <c r="I266" s="8">
        <v>0</v>
      </c>
      <c r="J266" s="11"/>
      <c r="K266" s="8">
        <v>659974</v>
      </c>
      <c r="L266" s="11"/>
      <c r="M266" s="8">
        <v>2097244</v>
      </c>
      <c r="N266" s="11"/>
      <c r="O266" s="8">
        <v>592296</v>
      </c>
      <c r="P266" s="11"/>
      <c r="Q266" s="8">
        <v>0</v>
      </c>
      <c r="R266" s="11"/>
      <c r="S266" s="8">
        <v>179681</v>
      </c>
      <c r="T266" s="11"/>
      <c r="U266" s="8">
        <v>0</v>
      </c>
      <c r="V266" s="11"/>
      <c r="W266" s="11"/>
      <c r="X266" s="6"/>
      <c r="Z266" s="6"/>
      <c r="AA266" s="6"/>
      <c r="AB266" s="8">
        <v>535000</v>
      </c>
      <c r="AC266" s="20"/>
      <c r="AD266" s="8">
        <v>299173</v>
      </c>
      <c r="AE266" s="20"/>
      <c r="AF266" s="8">
        <v>0</v>
      </c>
      <c r="AG266" s="20"/>
      <c r="AH266" s="11">
        <f t="shared" si="17"/>
        <v>12573789</v>
      </c>
      <c r="AI266" s="11"/>
      <c r="AJ266" s="11">
        <v>0</v>
      </c>
      <c r="AK266" s="11"/>
      <c r="AL266" s="8">
        <v>4459117</v>
      </c>
      <c r="AM266" s="8"/>
      <c r="AN266" s="8">
        <v>4963082</v>
      </c>
      <c r="AO266" s="8"/>
      <c r="AP266" s="8">
        <v>0</v>
      </c>
      <c r="AQ266" s="8"/>
      <c r="AR266" s="8">
        <f>+'GVFund Rev'!U266+'GVFund Rev'!W266-'GVFund Exp'!AH266-'GVFund Exp'!AL266+AJ266+AN266+AP266-'GV Fund BS'!W266</f>
        <v>0</v>
      </c>
      <c r="AS266" s="11"/>
    </row>
    <row r="267" spans="1:45" s="7" customFormat="1" ht="12.75" customHeight="1" x14ac:dyDescent="0.2">
      <c r="A267" s="6" t="s">
        <v>280</v>
      </c>
      <c r="C267" s="6" t="s">
        <v>197</v>
      </c>
      <c r="E267" s="8">
        <v>2873611</v>
      </c>
      <c r="F267" s="11"/>
      <c r="G267" s="8">
        <v>10340689</v>
      </c>
      <c r="H267" s="11"/>
      <c r="I267" s="8">
        <v>1243963</v>
      </c>
      <c r="J267" s="11"/>
      <c r="K267" s="8">
        <v>137140</v>
      </c>
      <c r="L267" s="11"/>
      <c r="M267" s="8">
        <v>1617545</v>
      </c>
      <c r="N267" s="11"/>
      <c r="O267" s="8">
        <v>1364780</v>
      </c>
      <c r="P267" s="11"/>
      <c r="Q267" s="8">
        <v>0</v>
      </c>
      <c r="R267" s="11"/>
      <c r="S267" s="8">
        <v>3997176</v>
      </c>
      <c r="T267" s="11"/>
      <c r="U267" s="8">
        <v>0</v>
      </c>
      <c r="V267" s="11"/>
      <c r="W267" s="11"/>
      <c r="X267" s="6"/>
      <c r="Z267" s="6"/>
      <c r="AA267" s="6"/>
      <c r="AB267" s="8">
        <v>389092</v>
      </c>
      <c r="AC267" s="20"/>
      <c r="AD267" s="8">
        <v>137321</v>
      </c>
      <c r="AE267" s="20"/>
      <c r="AF267" s="8">
        <v>0</v>
      </c>
      <c r="AG267" s="20"/>
      <c r="AH267" s="11">
        <f t="shared" si="17"/>
        <v>22101317</v>
      </c>
      <c r="AI267" s="11"/>
      <c r="AJ267" s="11">
        <v>0</v>
      </c>
      <c r="AK267" s="11"/>
      <c r="AL267" s="8">
        <v>1361000</v>
      </c>
      <c r="AM267" s="8"/>
      <c r="AN267" s="8">
        <v>15796281</v>
      </c>
      <c r="AO267" s="8"/>
      <c r="AP267" s="8">
        <v>0</v>
      </c>
      <c r="AQ267" s="8"/>
      <c r="AR267" s="8">
        <f>+'GVFund Rev'!U267+'GVFund Rev'!W267-'GVFund Exp'!AH267-'GVFund Exp'!AL267+AJ267+AN267+AP267-'GV Fund BS'!W267</f>
        <v>0</v>
      </c>
      <c r="AS267" s="11"/>
    </row>
    <row r="268" spans="1:45" s="7" customFormat="1" ht="12.75" customHeight="1" x14ac:dyDescent="0.2">
      <c r="A268" s="6" t="s">
        <v>281</v>
      </c>
      <c r="C268" s="6" t="s">
        <v>41</v>
      </c>
      <c r="E268" s="8">
        <v>6447799</v>
      </c>
      <c r="F268" s="11"/>
      <c r="G268" s="8">
        <v>10398620</v>
      </c>
      <c r="H268" s="11"/>
      <c r="I268" s="8">
        <v>867755</v>
      </c>
      <c r="J268" s="11"/>
      <c r="K268" s="8">
        <v>96968</v>
      </c>
      <c r="L268" s="11"/>
      <c r="M268" s="8">
        <v>2403610</v>
      </c>
      <c r="N268" s="11"/>
      <c r="O268" s="8">
        <v>3866350</v>
      </c>
      <c r="P268" s="11"/>
      <c r="Q268" s="8">
        <v>1878005</v>
      </c>
      <c r="R268" s="11"/>
      <c r="S268" s="8">
        <v>2362059</v>
      </c>
      <c r="T268" s="11"/>
      <c r="U268" s="8">
        <v>0</v>
      </c>
      <c r="V268" s="11"/>
      <c r="W268" s="11"/>
      <c r="X268" s="6"/>
      <c r="Z268" s="6"/>
      <c r="AA268" s="6"/>
      <c r="AB268" s="8">
        <v>2177810</v>
      </c>
      <c r="AC268" s="20"/>
      <c r="AD268" s="8">
        <v>294075</v>
      </c>
      <c r="AE268" s="20"/>
      <c r="AF268" s="8">
        <v>0</v>
      </c>
      <c r="AG268" s="20"/>
      <c r="AH268" s="11">
        <f t="shared" si="17"/>
        <v>30793051</v>
      </c>
      <c r="AI268" s="11"/>
      <c r="AJ268" s="11">
        <v>0</v>
      </c>
      <c r="AK268" s="11"/>
      <c r="AL268" s="8">
        <f>1646083+26848</f>
        <v>1672931</v>
      </c>
      <c r="AM268" s="8"/>
      <c r="AN268" s="8">
        <v>14740623</v>
      </c>
      <c r="AO268" s="8"/>
      <c r="AP268" s="8">
        <v>0</v>
      </c>
      <c r="AQ268" s="8"/>
      <c r="AR268" s="8">
        <f>+'GVFund Rev'!U268+'GVFund Rev'!W268-'GVFund Exp'!AH268-'GVFund Exp'!AL268+AJ268+AN268+AP268-'GV Fund BS'!W268</f>
        <v>0</v>
      </c>
      <c r="AS268" s="11"/>
    </row>
    <row r="269" spans="1:45" s="7" customFormat="1" ht="12.75" customHeight="1" x14ac:dyDescent="0.2">
      <c r="A269" s="6" t="s">
        <v>282</v>
      </c>
      <c r="C269" s="6" t="s">
        <v>43</v>
      </c>
      <c r="E269" s="8">
        <v>2712071</v>
      </c>
      <c r="F269" s="11"/>
      <c r="G269" s="8">
        <v>2642384</v>
      </c>
      <c r="H269" s="11"/>
      <c r="I269" s="8">
        <v>376313</v>
      </c>
      <c r="J269" s="11"/>
      <c r="K269" s="8">
        <v>67294</v>
      </c>
      <c r="L269" s="11"/>
      <c r="M269" s="8">
        <v>1173447</v>
      </c>
      <c r="N269" s="11"/>
      <c r="O269" s="8">
        <v>1397640</v>
      </c>
      <c r="P269" s="11"/>
      <c r="Q269" s="8">
        <v>559625</v>
      </c>
      <c r="R269" s="11"/>
      <c r="S269" s="8">
        <v>2470834</v>
      </c>
      <c r="T269" s="11"/>
      <c r="U269" s="8">
        <v>0</v>
      </c>
      <c r="V269" s="11"/>
      <c r="W269" s="11"/>
      <c r="X269" s="6"/>
      <c r="Z269" s="6"/>
      <c r="AA269" s="6"/>
      <c r="AB269" s="8">
        <v>701923</v>
      </c>
      <c r="AC269" s="20"/>
      <c r="AD269" s="8">
        <v>423804</v>
      </c>
      <c r="AE269" s="20"/>
      <c r="AF269" s="8">
        <v>52250</v>
      </c>
      <c r="AG269" s="20"/>
      <c r="AH269" s="11">
        <f t="shared" si="17"/>
        <v>12577585</v>
      </c>
      <c r="AI269" s="11"/>
      <c r="AJ269" s="11">
        <v>0</v>
      </c>
      <c r="AK269" s="11"/>
      <c r="AL269" s="8">
        <f>2431835+1686333</f>
        <v>4118168</v>
      </c>
      <c r="AM269" s="8"/>
      <c r="AN269" s="8">
        <v>5584414</v>
      </c>
      <c r="AO269" s="8"/>
      <c r="AP269" s="8">
        <v>20664</v>
      </c>
      <c r="AQ269" s="8"/>
      <c r="AR269" s="8">
        <f>+'GVFund Rev'!U269+'GVFund Rev'!W269-'GVFund Exp'!AH269-'GVFund Exp'!AL269+AJ269+AN269+AP269-'GV Fund BS'!W269</f>
        <v>0</v>
      </c>
      <c r="AS269" s="11"/>
    </row>
    <row r="270" spans="1:45" s="7" customFormat="1" ht="12.75" customHeight="1" x14ac:dyDescent="0.2">
      <c r="A270" s="6" t="s">
        <v>283</v>
      </c>
      <c r="C270" s="6" t="s">
        <v>28</v>
      </c>
      <c r="E270" s="8">
        <v>3490798</v>
      </c>
      <c r="F270" s="11"/>
      <c r="G270" s="8">
        <v>11927807</v>
      </c>
      <c r="H270" s="11"/>
      <c r="I270" s="8">
        <f>91730+153967</f>
        <v>245697</v>
      </c>
      <c r="J270" s="11"/>
      <c r="K270" s="8">
        <v>0</v>
      </c>
      <c r="L270" s="11"/>
      <c r="M270" s="8">
        <v>1290424</v>
      </c>
      <c r="N270" s="11"/>
      <c r="O270" s="8">
        <v>166091</v>
      </c>
      <c r="P270" s="11"/>
      <c r="Q270" s="8">
        <v>0</v>
      </c>
      <c r="R270" s="11"/>
      <c r="S270" s="8">
        <v>2829747</v>
      </c>
      <c r="T270" s="11"/>
      <c r="U270" s="8">
        <v>0</v>
      </c>
      <c r="V270" s="11"/>
      <c r="W270" s="11"/>
      <c r="X270" s="6"/>
      <c r="Z270" s="6"/>
      <c r="AA270" s="6"/>
      <c r="AB270" s="8">
        <v>538820</v>
      </c>
      <c r="AC270" s="20"/>
      <c r="AD270" s="8">
        <v>74378</v>
      </c>
      <c r="AE270" s="20"/>
      <c r="AF270" s="8">
        <v>0</v>
      </c>
      <c r="AG270" s="20"/>
      <c r="AH270" s="11">
        <f t="shared" si="17"/>
        <v>20563762</v>
      </c>
      <c r="AI270" s="11"/>
      <c r="AJ270" s="11">
        <v>0</v>
      </c>
      <c r="AK270" s="11"/>
      <c r="AL270" s="8">
        <v>4569000</v>
      </c>
      <c r="AM270" s="8"/>
      <c r="AN270" s="8">
        <v>10372478</v>
      </c>
      <c r="AO270" s="8"/>
      <c r="AP270" s="8">
        <v>68816</v>
      </c>
      <c r="AQ270" s="8"/>
      <c r="AR270" s="8">
        <f>+'GVFund Rev'!U270+'GVFund Rev'!W270-'GVFund Exp'!AH270-'GVFund Exp'!AL270+AJ270+AN270+AP270-'GV Fund BS'!W270</f>
        <v>0</v>
      </c>
      <c r="AS270" s="11"/>
    </row>
    <row r="271" spans="1:45" s="7" customFormat="1" ht="12.75" customHeight="1" x14ac:dyDescent="0.2">
      <c r="A271" s="6" t="s">
        <v>284</v>
      </c>
      <c r="C271" s="6" t="s">
        <v>59</v>
      </c>
      <c r="E271" s="8">
        <v>11161377</v>
      </c>
      <c r="F271" s="11"/>
      <c r="G271" s="8">
        <v>35272312</v>
      </c>
      <c r="H271" s="11"/>
      <c r="I271" s="8">
        <v>5108455</v>
      </c>
      <c r="J271" s="11"/>
      <c r="K271" s="8">
        <v>2461202</v>
      </c>
      <c r="L271" s="11"/>
      <c r="M271" s="8">
        <v>7350174</v>
      </c>
      <c r="N271" s="11"/>
      <c r="O271" s="8">
        <v>2834169</v>
      </c>
      <c r="P271" s="11"/>
      <c r="Q271" s="8">
        <v>2499893</v>
      </c>
      <c r="R271" s="11"/>
      <c r="S271" s="8">
        <v>7425741</v>
      </c>
      <c r="T271" s="11"/>
      <c r="U271" s="8">
        <v>0</v>
      </c>
      <c r="V271" s="11"/>
      <c r="W271" s="11"/>
      <c r="X271" s="6"/>
      <c r="Z271" s="6"/>
      <c r="AA271" s="6"/>
      <c r="AB271" s="8">
        <v>1781329</v>
      </c>
      <c r="AC271" s="20"/>
      <c r="AD271" s="8">
        <v>1716383</v>
      </c>
      <c r="AE271" s="20"/>
      <c r="AF271" s="8">
        <v>0</v>
      </c>
      <c r="AG271" s="20"/>
      <c r="AH271" s="11">
        <f t="shared" si="17"/>
        <v>77611035</v>
      </c>
      <c r="AI271" s="11"/>
      <c r="AJ271" s="11">
        <v>0</v>
      </c>
      <c r="AK271" s="11"/>
      <c r="AL271" s="8">
        <v>25048629</v>
      </c>
      <c r="AM271" s="8"/>
      <c r="AN271" s="8">
        <v>604801</v>
      </c>
      <c r="AO271" s="8"/>
      <c r="AP271" s="8">
        <v>0</v>
      </c>
      <c r="AQ271" s="8"/>
      <c r="AR271" s="8">
        <f>+'GVFund Rev'!U271+'GVFund Rev'!W271-'GVFund Exp'!AH271-'GVFund Exp'!AL271+AJ271+AN271+AP271-'GV Fund BS'!W271</f>
        <v>0</v>
      </c>
      <c r="AS271" s="11"/>
    </row>
    <row r="272" spans="1:45" s="7" customFormat="1" ht="12.75" customHeight="1" x14ac:dyDescent="0.2">
      <c r="A272" s="6" t="s">
        <v>285</v>
      </c>
      <c r="C272" s="6" t="s">
        <v>286</v>
      </c>
      <c r="E272" s="8">
        <f>3850922+498953</f>
        <v>4349875</v>
      </c>
      <c r="F272" s="11"/>
      <c r="G272" s="8">
        <f>7422201+5598994+122664</f>
        <v>13143859</v>
      </c>
      <c r="H272" s="11"/>
      <c r="I272" s="8">
        <v>1286152</v>
      </c>
      <c r="J272" s="11"/>
      <c r="K272" s="8">
        <v>376949</v>
      </c>
      <c r="L272" s="11"/>
      <c r="M272" s="8">
        <v>3423838</v>
      </c>
      <c r="N272" s="11"/>
      <c r="O272" s="8">
        <v>885836</v>
      </c>
      <c r="P272" s="11"/>
      <c r="Q272" s="8">
        <v>0</v>
      </c>
      <c r="R272" s="11"/>
      <c r="S272" s="8">
        <v>336411</v>
      </c>
      <c r="T272" s="11"/>
      <c r="U272" s="8">
        <v>0</v>
      </c>
      <c r="V272" s="11"/>
      <c r="W272" s="11"/>
      <c r="X272" s="6"/>
      <c r="Z272" s="6"/>
      <c r="AA272" s="6"/>
      <c r="AB272" s="8">
        <v>504963</v>
      </c>
      <c r="AC272" s="20"/>
      <c r="AD272" s="8">
        <v>206763</v>
      </c>
      <c r="AE272" s="20"/>
      <c r="AF272" s="8">
        <v>0</v>
      </c>
      <c r="AG272" s="20"/>
      <c r="AH272" s="11">
        <f t="shared" si="17"/>
        <v>24514646</v>
      </c>
      <c r="AI272" s="11"/>
      <c r="AJ272" s="11">
        <v>0</v>
      </c>
      <c r="AK272" s="11"/>
      <c r="AL272" s="8">
        <v>6874019</v>
      </c>
      <c r="AM272" s="8"/>
      <c r="AN272" s="8">
        <v>7288673</v>
      </c>
      <c r="AO272" s="8"/>
      <c r="AP272" s="8">
        <v>0</v>
      </c>
      <c r="AQ272" s="8"/>
      <c r="AR272" s="8">
        <f>+'GVFund Rev'!U272+'GVFund Rev'!W272-'GVFund Exp'!AH272-'GVFund Exp'!AL272+AJ272+AN272+AP272-'GV Fund BS'!W272</f>
        <v>0</v>
      </c>
      <c r="AS272" s="11"/>
    </row>
    <row r="273" spans="2:45" ht="12.75" customHeight="1" x14ac:dyDescent="0.2">
      <c r="B273" s="10"/>
      <c r="F273" s="7"/>
      <c r="H273" s="7"/>
      <c r="J273" s="7"/>
      <c r="L273" s="7"/>
      <c r="N273" s="7"/>
      <c r="P273" s="7"/>
      <c r="R273" s="7"/>
      <c r="T273" s="7"/>
      <c r="V273" s="7"/>
      <c r="W273" s="7"/>
      <c r="X273" s="7"/>
      <c r="Y273" s="7"/>
      <c r="Z273" s="7"/>
      <c r="AA273" s="7"/>
      <c r="AC273" s="20"/>
      <c r="AE273" s="20"/>
      <c r="AF273" s="12"/>
      <c r="AG273" s="20"/>
      <c r="AH273" s="7"/>
      <c r="AI273" s="7"/>
      <c r="AJ273" s="7"/>
      <c r="AK273" s="7"/>
      <c r="AM273" s="8"/>
      <c r="AO273" s="7"/>
      <c r="AQ273" s="7"/>
      <c r="AR273" s="8"/>
      <c r="AS273" s="7"/>
    </row>
    <row r="274" spans="2:45" ht="12.75" customHeight="1" x14ac:dyDescent="0.2">
      <c r="B274" s="10"/>
      <c r="F274" s="7"/>
      <c r="H274" s="7"/>
      <c r="J274" s="7"/>
      <c r="L274" s="7"/>
      <c r="N274" s="7"/>
      <c r="P274" s="7"/>
      <c r="R274" s="7"/>
      <c r="T274" s="7"/>
      <c r="V274" s="7"/>
      <c r="W274" s="7"/>
      <c r="X274" s="7"/>
      <c r="Y274" s="7"/>
      <c r="Z274" s="7"/>
      <c r="AA274" s="7"/>
      <c r="AC274" s="20"/>
      <c r="AE274" s="20"/>
      <c r="AF274" s="12"/>
      <c r="AG274" s="20"/>
      <c r="AH274" s="7"/>
      <c r="AI274" s="7"/>
      <c r="AJ274" s="7"/>
      <c r="AK274" s="7"/>
      <c r="AR274" s="8"/>
      <c r="AS274" s="7"/>
    </row>
    <row r="275" spans="2:45" ht="12.75" customHeight="1" x14ac:dyDescent="0.2">
      <c r="B275" s="10"/>
      <c r="D275" s="12"/>
      <c r="AF275" s="12"/>
    </row>
    <row r="276" spans="2:45" ht="12.75" customHeight="1" x14ac:dyDescent="0.2">
      <c r="B276" s="10"/>
      <c r="D276" s="12"/>
      <c r="AF276" s="12"/>
    </row>
    <row r="277" spans="2:45" ht="12.75" customHeight="1" x14ac:dyDescent="0.2">
      <c r="B277" s="10"/>
      <c r="D277" s="12"/>
      <c r="AF277" s="12"/>
    </row>
    <row r="278" spans="2:45" ht="12.75" customHeight="1" x14ac:dyDescent="0.2">
      <c r="B278" s="10"/>
      <c r="AF278" s="12"/>
    </row>
    <row r="279" spans="2:45" ht="12.75" customHeight="1" x14ac:dyDescent="0.2">
      <c r="B279" s="10"/>
      <c r="E279" s="59"/>
      <c r="G279" s="59"/>
      <c r="I279" s="59"/>
      <c r="K279" s="59"/>
      <c r="M279" s="59"/>
      <c r="O279" s="59"/>
      <c r="Q279" s="59"/>
      <c r="S279" s="59"/>
      <c r="U279" s="59"/>
      <c r="AB279" s="59"/>
      <c r="AD279" s="59"/>
      <c r="AF279" s="59"/>
      <c r="AL279" s="59"/>
      <c r="AN279" s="59"/>
      <c r="AP279" s="59"/>
    </row>
    <row r="280" spans="2:45" ht="12.75" customHeight="1" x14ac:dyDescent="0.2">
      <c r="E280" s="59"/>
      <c r="G280" s="59"/>
      <c r="I280" s="59"/>
      <c r="K280" s="59"/>
      <c r="M280" s="59"/>
      <c r="O280" s="59"/>
      <c r="Q280" s="59"/>
      <c r="S280" s="59"/>
      <c r="U280" s="59"/>
      <c r="AB280" s="59"/>
      <c r="AD280" s="59"/>
      <c r="AF280" s="59"/>
      <c r="AL280" s="59"/>
      <c r="AN280" s="59"/>
      <c r="AP280" s="59"/>
    </row>
    <row r="281" spans="2:45" ht="12.75" customHeight="1" x14ac:dyDescent="0.2">
      <c r="E281" s="59"/>
      <c r="G281" s="59"/>
      <c r="I281" s="59"/>
      <c r="K281" s="59"/>
      <c r="M281" s="59"/>
      <c r="O281" s="59"/>
      <c r="Q281" s="59"/>
      <c r="S281" s="59"/>
      <c r="U281" s="59"/>
      <c r="AB281" s="59"/>
      <c r="AD281" s="59"/>
      <c r="AF281" s="59"/>
      <c r="AL281" s="59"/>
      <c r="AN281" s="59"/>
      <c r="AP281" s="59"/>
    </row>
    <row r="282" spans="2:45" ht="12.75" customHeight="1" x14ac:dyDescent="0.2">
      <c r="E282" s="59"/>
      <c r="G282" s="59"/>
      <c r="I282" s="59"/>
      <c r="K282" s="59"/>
      <c r="M282" s="59"/>
      <c r="O282" s="59"/>
      <c r="Q282" s="59"/>
      <c r="S282" s="59"/>
      <c r="U282" s="59"/>
      <c r="AB282" s="59"/>
      <c r="AD282" s="59"/>
      <c r="AF282" s="59"/>
      <c r="AL282" s="59"/>
      <c r="AN282" s="59"/>
      <c r="AP282" s="59"/>
    </row>
    <row r="283" spans="2:45" ht="12.75" customHeight="1" x14ac:dyDescent="0.2">
      <c r="E283" s="59"/>
      <c r="G283" s="59"/>
      <c r="I283" s="59"/>
      <c r="K283" s="59"/>
      <c r="M283" s="59"/>
      <c r="O283" s="59"/>
      <c r="Q283" s="59"/>
      <c r="S283" s="59"/>
      <c r="U283" s="59"/>
      <c r="AB283" s="59"/>
      <c r="AD283" s="59"/>
      <c r="AF283" s="59"/>
      <c r="AL283" s="59"/>
      <c r="AN283" s="59"/>
      <c r="AP283" s="59"/>
    </row>
    <row r="284" spans="2:45" ht="12.75" customHeight="1" x14ac:dyDescent="0.2">
      <c r="E284" s="59"/>
      <c r="G284" s="59"/>
      <c r="I284" s="59"/>
      <c r="K284" s="59"/>
      <c r="M284" s="59"/>
      <c r="O284" s="59"/>
      <c r="Q284" s="59"/>
      <c r="S284" s="59"/>
      <c r="U284" s="59"/>
      <c r="AB284" s="59"/>
      <c r="AD284" s="59"/>
      <c r="AF284" s="59"/>
      <c r="AL284" s="59"/>
      <c r="AN284" s="59"/>
      <c r="AP284" s="59"/>
    </row>
    <row r="285" spans="2:45" ht="12.75" customHeight="1" x14ac:dyDescent="0.2">
      <c r="E285" s="59"/>
      <c r="G285" s="59"/>
      <c r="I285" s="59"/>
      <c r="K285" s="59"/>
      <c r="M285" s="59"/>
      <c r="O285" s="59"/>
      <c r="Q285" s="59"/>
      <c r="S285" s="59"/>
      <c r="U285" s="59"/>
      <c r="AB285" s="59"/>
      <c r="AD285" s="59"/>
      <c r="AF285" s="59"/>
      <c r="AL285" s="59"/>
      <c r="AN285" s="59"/>
      <c r="AP285" s="59"/>
    </row>
    <row r="286" spans="2:45" ht="12.75" customHeight="1" x14ac:dyDescent="0.2">
      <c r="E286" s="59"/>
      <c r="G286" s="59"/>
      <c r="I286" s="59"/>
      <c r="K286" s="59"/>
      <c r="M286" s="59"/>
      <c r="O286" s="59"/>
      <c r="Q286" s="59"/>
      <c r="S286" s="59"/>
      <c r="U286" s="59"/>
      <c r="AB286" s="59"/>
      <c r="AD286" s="59"/>
      <c r="AF286" s="59"/>
      <c r="AL286" s="59"/>
      <c r="AN286" s="59"/>
      <c r="AP286" s="59"/>
    </row>
    <row r="287" spans="2:45" ht="12.75" customHeight="1" x14ac:dyDescent="0.2">
      <c r="E287" s="59"/>
      <c r="G287" s="59"/>
      <c r="I287" s="59"/>
      <c r="K287" s="59"/>
      <c r="M287" s="59"/>
      <c r="O287" s="59"/>
      <c r="Q287" s="59"/>
      <c r="S287" s="59"/>
      <c r="U287" s="59"/>
      <c r="AB287" s="59"/>
      <c r="AD287" s="59"/>
      <c r="AF287" s="59"/>
      <c r="AL287" s="59"/>
      <c r="AN287" s="59"/>
      <c r="AP287" s="59"/>
    </row>
    <row r="288" spans="2:45" ht="12.75" customHeight="1" x14ac:dyDescent="0.2">
      <c r="E288" s="59"/>
      <c r="G288" s="59"/>
      <c r="I288" s="59"/>
      <c r="K288" s="59"/>
      <c r="M288" s="59"/>
      <c r="O288" s="59"/>
      <c r="Q288" s="59"/>
      <c r="S288" s="59"/>
      <c r="U288" s="59"/>
      <c r="AB288" s="59"/>
      <c r="AD288" s="59"/>
      <c r="AF288" s="59"/>
      <c r="AL288" s="59"/>
      <c r="AN288" s="59"/>
      <c r="AP288" s="59"/>
    </row>
    <row r="289" spans="5:42" ht="12.75" customHeight="1" x14ac:dyDescent="0.2">
      <c r="E289" s="59"/>
      <c r="G289" s="59"/>
      <c r="I289" s="59"/>
      <c r="K289" s="59"/>
      <c r="M289" s="59"/>
      <c r="O289" s="59"/>
      <c r="Q289" s="59"/>
      <c r="S289" s="59"/>
      <c r="U289" s="59"/>
      <c r="AB289" s="59"/>
      <c r="AD289" s="59"/>
      <c r="AF289" s="59"/>
      <c r="AL289" s="59"/>
      <c r="AN289" s="59"/>
      <c r="AP289" s="59"/>
    </row>
    <row r="290" spans="5:42" ht="12.75" customHeight="1" x14ac:dyDescent="0.2">
      <c r="E290" s="59"/>
      <c r="G290" s="59"/>
      <c r="I290" s="59"/>
      <c r="K290" s="59"/>
      <c r="M290" s="59"/>
      <c r="O290" s="59"/>
      <c r="Q290" s="59"/>
      <c r="S290" s="59"/>
      <c r="U290" s="59"/>
      <c r="AB290" s="59"/>
      <c r="AD290" s="59"/>
      <c r="AF290" s="59"/>
      <c r="AL290" s="59"/>
      <c r="AN290" s="59"/>
      <c r="AP290" s="59"/>
    </row>
    <row r="291" spans="5:42" ht="12.75" customHeight="1" x14ac:dyDescent="0.2">
      <c r="E291" s="59"/>
      <c r="G291" s="59"/>
      <c r="I291" s="59"/>
      <c r="K291" s="59"/>
      <c r="M291" s="59"/>
      <c r="O291" s="59"/>
      <c r="Q291" s="59"/>
      <c r="S291" s="59"/>
      <c r="U291" s="59"/>
      <c r="AB291" s="59"/>
      <c r="AD291" s="59"/>
      <c r="AF291" s="59"/>
      <c r="AL291" s="59"/>
      <c r="AN291" s="59"/>
      <c r="AP291" s="59"/>
    </row>
    <row r="292" spans="5:42" ht="12.75" customHeight="1" x14ac:dyDescent="0.2">
      <c r="E292" s="59"/>
      <c r="G292" s="59"/>
      <c r="I292" s="59"/>
      <c r="K292" s="59"/>
      <c r="M292" s="59"/>
      <c r="O292" s="59"/>
      <c r="Q292" s="59"/>
      <c r="S292" s="59"/>
      <c r="U292" s="59"/>
      <c r="AB292" s="59"/>
      <c r="AD292" s="59"/>
      <c r="AF292" s="59"/>
      <c r="AL292" s="59"/>
      <c r="AN292" s="59"/>
      <c r="AP292" s="59"/>
    </row>
    <row r="293" spans="5:42" ht="12.75" customHeight="1" x14ac:dyDescent="0.2">
      <c r="E293" s="59"/>
      <c r="G293" s="59"/>
      <c r="I293" s="59"/>
      <c r="K293" s="59"/>
      <c r="M293" s="59"/>
      <c r="O293" s="59"/>
      <c r="Q293" s="59"/>
      <c r="S293" s="59"/>
      <c r="U293" s="59"/>
      <c r="AB293" s="59"/>
      <c r="AD293" s="59"/>
      <c r="AF293" s="59"/>
      <c r="AL293" s="59"/>
      <c r="AN293" s="59"/>
      <c r="AP293" s="59"/>
    </row>
    <row r="294" spans="5:42" ht="12.75" customHeight="1" x14ac:dyDescent="0.2">
      <c r="E294" s="59"/>
      <c r="G294" s="59"/>
      <c r="I294" s="59"/>
      <c r="K294" s="59"/>
      <c r="M294" s="59"/>
      <c r="O294" s="59"/>
      <c r="Q294" s="59"/>
      <c r="S294" s="59"/>
      <c r="U294" s="59"/>
      <c r="AB294" s="59"/>
      <c r="AD294" s="59"/>
      <c r="AF294" s="59"/>
      <c r="AL294" s="59"/>
      <c r="AN294" s="59"/>
      <c r="AP294" s="59"/>
    </row>
    <row r="295" spans="5:42" ht="12.75" customHeight="1" x14ac:dyDescent="0.2">
      <c r="E295" s="59"/>
      <c r="G295" s="59"/>
      <c r="I295" s="59"/>
      <c r="K295" s="59"/>
      <c r="M295" s="59"/>
      <c r="O295" s="59"/>
      <c r="Q295" s="59"/>
      <c r="S295" s="59"/>
      <c r="U295" s="59"/>
      <c r="AB295" s="59"/>
      <c r="AD295" s="59"/>
      <c r="AF295" s="59"/>
      <c r="AL295" s="59"/>
      <c r="AN295" s="59"/>
      <c r="AP295" s="59"/>
    </row>
    <row r="296" spans="5:42" ht="12.75" customHeight="1" x14ac:dyDescent="0.2">
      <c r="E296" s="59"/>
      <c r="G296" s="59"/>
      <c r="I296" s="59"/>
      <c r="K296" s="59"/>
      <c r="M296" s="59"/>
      <c r="O296" s="59"/>
      <c r="Q296" s="59"/>
      <c r="S296" s="59"/>
      <c r="U296" s="59"/>
      <c r="AB296" s="59"/>
      <c r="AD296" s="59"/>
      <c r="AF296" s="59"/>
      <c r="AL296" s="59"/>
      <c r="AN296" s="59"/>
      <c r="AP296" s="59"/>
    </row>
    <row r="297" spans="5:42" ht="12.75" customHeight="1" x14ac:dyDescent="0.2">
      <c r="E297" s="59"/>
      <c r="G297" s="59"/>
      <c r="I297" s="59"/>
      <c r="K297" s="59"/>
      <c r="M297" s="59"/>
      <c r="O297" s="59"/>
      <c r="Q297" s="59"/>
      <c r="S297" s="59"/>
      <c r="U297" s="59"/>
      <c r="AB297" s="59"/>
      <c r="AD297" s="59"/>
      <c r="AF297" s="59"/>
      <c r="AL297" s="59"/>
      <c r="AN297" s="59"/>
      <c r="AP297" s="59"/>
    </row>
    <row r="298" spans="5:42" ht="12.75" customHeight="1" x14ac:dyDescent="0.2">
      <c r="E298" s="59"/>
      <c r="G298" s="59"/>
      <c r="I298" s="59"/>
      <c r="K298" s="59"/>
      <c r="M298" s="59"/>
      <c r="O298" s="59"/>
      <c r="Q298" s="59"/>
      <c r="S298" s="59"/>
      <c r="U298" s="59"/>
      <c r="AB298" s="59"/>
      <c r="AD298" s="59"/>
      <c r="AF298" s="59"/>
      <c r="AL298" s="59"/>
      <c r="AN298" s="59"/>
      <c r="AP298" s="59"/>
    </row>
    <row r="299" spans="5:42" ht="12.75" customHeight="1" x14ac:dyDescent="0.2">
      <c r="E299" s="59"/>
      <c r="G299" s="59"/>
      <c r="I299" s="59"/>
      <c r="K299" s="59"/>
      <c r="M299" s="59"/>
      <c r="O299" s="59"/>
      <c r="Q299" s="59"/>
      <c r="S299" s="59"/>
      <c r="U299" s="59"/>
      <c r="AB299" s="59"/>
      <c r="AD299" s="59"/>
      <c r="AF299" s="59"/>
      <c r="AL299" s="59"/>
      <c r="AN299" s="59"/>
      <c r="AP299" s="59"/>
    </row>
    <row r="300" spans="5:42" ht="12.75" customHeight="1" x14ac:dyDescent="0.2">
      <c r="E300" s="59"/>
      <c r="G300" s="59"/>
      <c r="I300" s="59"/>
      <c r="K300" s="59"/>
      <c r="M300" s="59"/>
      <c r="O300" s="59"/>
      <c r="Q300" s="59"/>
      <c r="S300" s="59"/>
      <c r="U300" s="59"/>
      <c r="AB300" s="59"/>
      <c r="AD300" s="59"/>
      <c r="AF300" s="59"/>
      <c r="AL300" s="59"/>
      <c r="AN300" s="59"/>
      <c r="AP300" s="59"/>
    </row>
    <row r="301" spans="5:42" ht="12.75" customHeight="1" x14ac:dyDescent="0.2">
      <c r="E301" s="59"/>
      <c r="G301" s="59"/>
      <c r="I301" s="59"/>
      <c r="K301" s="59"/>
      <c r="M301" s="59"/>
      <c r="O301" s="59"/>
      <c r="Q301" s="59"/>
      <c r="S301" s="59"/>
      <c r="U301" s="59"/>
      <c r="AB301" s="59"/>
      <c r="AD301" s="59"/>
      <c r="AF301" s="59"/>
      <c r="AL301" s="59"/>
      <c r="AN301" s="59"/>
      <c r="AP301" s="59"/>
    </row>
    <row r="302" spans="5:42" ht="12.75" customHeight="1" x14ac:dyDescent="0.2">
      <c r="E302" s="59"/>
      <c r="G302" s="59"/>
      <c r="I302" s="59"/>
      <c r="K302" s="59"/>
      <c r="M302" s="59"/>
      <c r="O302" s="59"/>
      <c r="Q302" s="59"/>
      <c r="S302" s="59"/>
      <c r="U302" s="59"/>
      <c r="AB302" s="59"/>
      <c r="AD302" s="59"/>
      <c r="AF302" s="59"/>
      <c r="AL302" s="59"/>
      <c r="AN302" s="59"/>
      <c r="AP302" s="59"/>
    </row>
    <row r="303" spans="5:42" ht="12.75" customHeight="1" x14ac:dyDescent="0.2">
      <c r="E303" s="59"/>
      <c r="G303" s="59"/>
      <c r="I303" s="59"/>
      <c r="K303" s="59"/>
      <c r="M303" s="59"/>
      <c r="O303" s="59"/>
      <c r="Q303" s="59"/>
      <c r="S303" s="59"/>
      <c r="U303" s="59"/>
      <c r="AB303" s="59"/>
      <c r="AD303" s="59"/>
      <c r="AF303" s="59"/>
      <c r="AL303" s="59"/>
      <c r="AN303" s="59"/>
      <c r="AP303" s="59"/>
    </row>
    <row r="304" spans="5:42" ht="12.75" customHeight="1" x14ac:dyDescent="0.2">
      <c r="E304" s="59"/>
      <c r="G304" s="59"/>
      <c r="I304" s="59"/>
      <c r="K304" s="59"/>
      <c r="M304" s="59"/>
      <c r="O304" s="59"/>
      <c r="Q304" s="59"/>
      <c r="S304" s="59"/>
      <c r="U304" s="59"/>
      <c r="AB304" s="59"/>
      <c r="AD304" s="59"/>
      <c r="AF304" s="59"/>
      <c r="AL304" s="59"/>
      <c r="AN304" s="59"/>
      <c r="AP304" s="59"/>
    </row>
    <row r="305" spans="5:42" ht="12.75" customHeight="1" x14ac:dyDescent="0.2">
      <c r="E305" s="59"/>
      <c r="G305" s="59"/>
      <c r="I305" s="59"/>
      <c r="K305" s="59"/>
      <c r="M305" s="59"/>
      <c r="O305" s="59"/>
      <c r="Q305" s="59"/>
      <c r="S305" s="59"/>
      <c r="U305" s="59"/>
      <c r="AB305" s="59"/>
      <c r="AD305" s="59"/>
      <c r="AF305" s="59"/>
      <c r="AL305" s="59"/>
      <c r="AN305" s="59"/>
      <c r="AP305" s="59"/>
    </row>
    <row r="306" spans="5:42" ht="12.75" customHeight="1" x14ac:dyDescent="0.2">
      <c r="E306" s="59"/>
      <c r="G306" s="59"/>
      <c r="I306" s="59"/>
      <c r="K306" s="59"/>
      <c r="M306" s="59"/>
      <c r="O306" s="59"/>
      <c r="Q306" s="59"/>
      <c r="S306" s="59"/>
      <c r="U306" s="59"/>
      <c r="AB306" s="59"/>
      <c r="AD306" s="59"/>
      <c r="AF306" s="59"/>
      <c r="AL306" s="59"/>
      <c r="AN306" s="59"/>
      <c r="AP306" s="59"/>
    </row>
    <row r="307" spans="5:42" ht="12.75" customHeight="1" x14ac:dyDescent="0.2">
      <c r="E307" s="59"/>
      <c r="G307" s="59"/>
      <c r="I307" s="59"/>
      <c r="K307" s="59"/>
      <c r="M307" s="59"/>
      <c r="O307" s="59"/>
      <c r="Q307" s="59"/>
      <c r="S307" s="59"/>
      <c r="U307" s="59"/>
      <c r="AB307" s="59"/>
      <c r="AD307" s="59"/>
      <c r="AF307" s="59"/>
      <c r="AL307" s="59"/>
      <c r="AN307" s="59"/>
      <c r="AP307" s="59"/>
    </row>
    <row r="308" spans="5:42" ht="12.75" customHeight="1" x14ac:dyDescent="0.2">
      <c r="E308" s="59"/>
      <c r="G308" s="59"/>
      <c r="I308" s="59"/>
      <c r="K308" s="59"/>
      <c r="M308" s="59"/>
      <c r="O308" s="59"/>
      <c r="Q308" s="59"/>
      <c r="S308" s="59"/>
      <c r="U308" s="59"/>
      <c r="AB308" s="59"/>
      <c r="AD308" s="59"/>
      <c r="AF308" s="59"/>
      <c r="AL308" s="59"/>
      <c r="AN308" s="59"/>
      <c r="AP308" s="59"/>
    </row>
    <row r="309" spans="5:42" ht="12.75" customHeight="1" x14ac:dyDescent="0.2">
      <c r="E309" s="59"/>
      <c r="G309" s="59"/>
      <c r="I309" s="59"/>
      <c r="K309" s="59"/>
      <c r="M309" s="59"/>
      <c r="O309" s="59"/>
      <c r="Q309" s="59"/>
      <c r="S309" s="59"/>
      <c r="U309" s="59"/>
      <c r="AB309" s="59"/>
      <c r="AD309" s="59"/>
      <c r="AF309" s="59"/>
      <c r="AL309" s="59"/>
      <c r="AN309" s="59"/>
      <c r="AP309" s="59"/>
    </row>
    <row r="310" spans="5:42" ht="12.75" customHeight="1" x14ac:dyDescent="0.2">
      <c r="E310" s="59"/>
      <c r="G310" s="59"/>
      <c r="I310" s="59"/>
      <c r="K310" s="59"/>
      <c r="M310" s="59"/>
      <c r="O310" s="59"/>
      <c r="Q310" s="59"/>
      <c r="S310" s="59"/>
      <c r="U310" s="59"/>
      <c r="AB310" s="59"/>
      <c r="AD310" s="59"/>
      <c r="AF310" s="59"/>
      <c r="AL310" s="59"/>
      <c r="AN310" s="59"/>
      <c r="AP310" s="59"/>
    </row>
    <row r="311" spans="5:42" ht="12.75" customHeight="1" x14ac:dyDescent="0.2">
      <c r="E311" s="59"/>
      <c r="G311" s="59"/>
      <c r="I311" s="59"/>
      <c r="K311" s="59"/>
      <c r="M311" s="59"/>
      <c r="O311" s="59"/>
      <c r="Q311" s="59"/>
      <c r="S311" s="59"/>
      <c r="U311" s="59"/>
      <c r="AB311" s="59"/>
      <c r="AD311" s="59"/>
      <c r="AF311" s="59"/>
      <c r="AL311" s="59"/>
      <c r="AN311" s="59"/>
      <c r="AP311" s="59"/>
    </row>
    <row r="312" spans="5:42" ht="12.75" customHeight="1" x14ac:dyDescent="0.2">
      <c r="E312" s="59"/>
      <c r="G312" s="59"/>
      <c r="I312" s="59"/>
      <c r="K312" s="59"/>
      <c r="M312" s="59"/>
      <c r="O312" s="59"/>
      <c r="Q312" s="59"/>
      <c r="S312" s="59"/>
      <c r="U312" s="59"/>
      <c r="AB312" s="59"/>
      <c r="AD312" s="59"/>
      <c r="AF312" s="59"/>
      <c r="AL312" s="59"/>
      <c r="AN312" s="59"/>
      <c r="AP312" s="59"/>
    </row>
    <row r="313" spans="5:42" ht="12.75" customHeight="1" x14ac:dyDescent="0.2">
      <c r="E313" s="59"/>
      <c r="G313" s="59"/>
      <c r="I313" s="59"/>
      <c r="K313" s="59"/>
      <c r="M313" s="59"/>
      <c r="O313" s="59"/>
      <c r="Q313" s="59"/>
      <c r="S313" s="59"/>
      <c r="U313" s="59"/>
      <c r="AB313" s="59"/>
      <c r="AD313" s="59"/>
      <c r="AF313" s="59"/>
      <c r="AL313" s="59"/>
      <c r="AN313" s="59"/>
      <c r="AP313" s="59"/>
    </row>
    <row r="314" spans="5:42" ht="12.75" customHeight="1" x14ac:dyDescent="0.2">
      <c r="E314" s="59"/>
      <c r="G314" s="59"/>
      <c r="I314" s="59"/>
      <c r="K314" s="59"/>
      <c r="M314" s="59"/>
      <c r="O314" s="59"/>
      <c r="Q314" s="59"/>
      <c r="S314" s="59"/>
      <c r="U314" s="59"/>
      <c r="AB314" s="59"/>
      <c r="AD314" s="59"/>
      <c r="AF314" s="59"/>
      <c r="AL314" s="59"/>
      <c r="AN314" s="59"/>
      <c r="AP314" s="59"/>
    </row>
    <row r="315" spans="5:42" ht="12.75" customHeight="1" x14ac:dyDescent="0.2">
      <c r="E315" s="59"/>
      <c r="G315" s="59"/>
      <c r="I315" s="59"/>
      <c r="K315" s="59"/>
      <c r="M315" s="59"/>
      <c r="O315" s="59"/>
      <c r="Q315" s="59"/>
      <c r="S315" s="59"/>
      <c r="U315" s="59"/>
      <c r="AB315" s="59"/>
      <c r="AD315" s="59"/>
      <c r="AF315" s="59"/>
      <c r="AL315" s="59"/>
      <c r="AN315" s="59"/>
      <c r="AP315" s="59"/>
    </row>
    <row r="316" spans="5:42" ht="12.75" customHeight="1" x14ac:dyDescent="0.2">
      <c r="E316" s="59"/>
      <c r="G316" s="59"/>
      <c r="I316" s="59"/>
      <c r="K316" s="59"/>
      <c r="M316" s="59"/>
      <c r="O316" s="59"/>
      <c r="Q316" s="59"/>
      <c r="S316" s="59"/>
      <c r="U316" s="59"/>
      <c r="AB316" s="59"/>
      <c r="AD316" s="59"/>
      <c r="AF316" s="59"/>
      <c r="AL316" s="59"/>
      <c r="AN316" s="59"/>
      <c r="AP316" s="59"/>
    </row>
    <row r="317" spans="5:42" ht="12.75" customHeight="1" x14ac:dyDescent="0.2">
      <c r="E317" s="59"/>
      <c r="G317" s="59"/>
      <c r="I317" s="59"/>
      <c r="K317" s="59"/>
      <c r="M317" s="59"/>
      <c r="O317" s="59"/>
      <c r="Q317" s="59"/>
      <c r="S317" s="59"/>
      <c r="U317" s="59"/>
      <c r="AB317" s="59"/>
      <c r="AD317" s="59"/>
      <c r="AF317" s="59"/>
      <c r="AL317" s="59"/>
      <c r="AN317" s="59"/>
      <c r="AP317" s="59"/>
    </row>
    <row r="318" spans="5:42" ht="12.75" customHeight="1" x14ac:dyDescent="0.2">
      <c r="E318" s="59"/>
      <c r="G318" s="59"/>
      <c r="I318" s="59"/>
      <c r="K318" s="59"/>
      <c r="M318" s="59"/>
      <c r="O318" s="59"/>
      <c r="Q318" s="59"/>
      <c r="S318" s="59"/>
      <c r="U318" s="59"/>
      <c r="AB318" s="59"/>
      <c r="AD318" s="59"/>
      <c r="AF318" s="59"/>
      <c r="AL318" s="59"/>
      <c r="AN318" s="59"/>
      <c r="AP318" s="59"/>
    </row>
    <row r="319" spans="5:42" ht="12.75" customHeight="1" x14ac:dyDescent="0.2">
      <c r="E319" s="59"/>
      <c r="G319" s="59"/>
      <c r="I319" s="59"/>
      <c r="K319" s="59"/>
      <c r="M319" s="59"/>
      <c r="O319" s="59"/>
      <c r="Q319" s="59"/>
      <c r="S319" s="59"/>
      <c r="U319" s="59"/>
      <c r="AB319" s="59"/>
      <c r="AD319" s="59"/>
      <c r="AF319" s="59"/>
      <c r="AL319" s="59"/>
      <c r="AN319" s="59"/>
      <c r="AP319" s="59"/>
    </row>
    <row r="320" spans="5:42" ht="12.75" customHeight="1" x14ac:dyDescent="0.2">
      <c r="E320" s="59"/>
      <c r="G320" s="59"/>
      <c r="I320" s="59"/>
      <c r="K320" s="59"/>
      <c r="M320" s="59"/>
      <c r="O320" s="59"/>
      <c r="Q320" s="59"/>
      <c r="S320" s="59"/>
      <c r="U320" s="59"/>
      <c r="AB320" s="59"/>
      <c r="AD320" s="59"/>
      <c r="AF320" s="59"/>
      <c r="AL320" s="59"/>
      <c r="AN320" s="59"/>
      <c r="AP320" s="59"/>
    </row>
  </sheetData>
  <phoneticPr fontId="4" type="noConversion"/>
  <pageMargins left="0.75" right="0.75" top="0.5" bottom="0.5" header="0" footer="0.3"/>
  <pageSetup scale="74" firstPageNumber="68" pageOrder="overThenDown" orientation="portrait" useFirstPageNumber="1" r:id="rId1"/>
  <headerFooter alignWithMargins="0">
    <oddFooter>&amp;C&amp;"Times New Roman,Regular"&amp;12&amp;P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27</vt:i4>
      </vt:variant>
    </vt:vector>
  </HeadingPairs>
  <TitlesOfParts>
    <vt:vector size="41" baseType="lpstr">
      <vt:lpstr>Stmt net assets</vt:lpstr>
      <vt:lpstr>Stmt of activities-GA rev</vt:lpstr>
      <vt:lpstr>Stmt of activities-GAexp</vt:lpstr>
      <vt:lpstr>Gen Bal</vt:lpstr>
      <vt:lpstr>GV Fund BS</vt:lpstr>
      <vt:lpstr>Gen rev</vt:lpstr>
      <vt:lpstr>Gen exp</vt:lpstr>
      <vt:lpstr>GVFund Rev</vt:lpstr>
      <vt:lpstr>GVFund Exp</vt:lpstr>
      <vt:lpstr>Water</vt:lpstr>
      <vt:lpstr>Sewer</vt:lpstr>
      <vt:lpstr>Electric</vt:lpstr>
      <vt:lpstr>Sanitation</vt:lpstr>
      <vt:lpstr>LT Lia GA</vt:lpstr>
      <vt:lpstr>Electric!Print_Area</vt:lpstr>
      <vt:lpstr>'Gen Bal'!Print_Area</vt:lpstr>
      <vt:lpstr>'Gen exp'!Print_Area</vt:lpstr>
      <vt:lpstr>'Gen rev'!Print_Area</vt:lpstr>
      <vt:lpstr>'GV Fund BS'!Print_Area</vt:lpstr>
      <vt:lpstr>'GVFund Exp'!Print_Area</vt:lpstr>
      <vt:lpstr>'GVFund Rev'!Print_Area</vt:lpstr>
      <vt:lpstr>'LT Lia GA'!Print_Area</vt:lpstr>
      <vt:lpstr>Sanitation!Print_Area</vt:lpstr>
      <vt:lpstr>Sewer!Print_Area</vt:lpstr>
      <vt:lpstr>'Stmt net assets'!Print_Area</vt:lpstr>
      <vt:lpstr>'Stmt of activities-GA rev'!Print_Area</vt:lpstr>
      <vt:lpstr>'Stmt of activities-GAexp'!Print_Area</vt:lpstr>
      <vt:lpstr>Water!Print_Area</vt:lpstr>
      <vt:lpstr>Electric!Print_Titles</vt:lpstr>
      <vt:lpstr>'Gen Bal'!Print_Titles</vt:lpstr>
      <vt:lpstr>'Gen exp'!Print_Titles</vt:lpstr>
      <vt:lpstr>'Gen rev'!Print_Titles</vt:lpstr>
      <vt:lpstr>'GV Fund BS'!Print_Titles</vt:lpstr>
      <vt:lpstr>'GVFund Exp'!Print_Titles</vt:lpstr>
      <vt:lpstr>'GVFund Rev'!Print_Titles</vt:lpstr>
      <vt:lpstr>'LT Lia GA'!Print_Titles</vt:lpstr>
      <vt:lpstr>Sewer!Print_Titles</vt:lpstr>
      <vt:lpstr>'Stmt net assets'!Print_Titles</vt:lpstr>
      <vt:lpstr>'Stmt of activities-GA rev'!Print_Titles</vt:lpstr>
      <vt:lpstr>'Stmt of activities-GAexp'!Print_Titles</vt:lpstr>
      <vt:lpstr>Water!Print_Titles</vt:lpstr>
    </vt:vector>
  </TitlesOfParts>
  <Company>Auditor of State of Ohio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Christopher S. McKee</cp:lastModifiedBy>
  <cp:lastPrinted>2014-02-10T15:20:31Z</cp:lastPrinted>
  <dcterms:created xsi:type="dcterms:W3CDTF">2004-05-27T13:05:31Z</dcterms:created>
  <dcterms:modified xsi:type="dcterms:W3CDTF">2014-02-10T15:41:46Z</dcterms:modified>
</cp:coreProperties>
</file>